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E0DD1867-D1DF-4037-B845-43717DB14487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1_234726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</calcChain>
</file>

<file path=xl/sharedStrings.xml><?xml version="1.0" encoding="utf-8"?>
<sst xmlns="http://schemas.openxmlformats.org/spreadsheetml/2006/main" count="19291" uniqueCount="10117">
  <si>
    <t>交易所</t>
  </si>
  <si>
    <t>代码</t>
  </si>
  <si>
    <t>公司</t>
  </si>
  <si>
    <t>行业</t>
  </si>
  <si>
    <t>归属于母公司普通股股东的净利润 累积 2022-09-30 (元)</t>
  </si>
  <si>
    <t>归属于母公司普通股股东的净利润 累积 2021-09-30 (元)</t>
  </si>
  <si>
    <t>归属于母公司普通股股东的净利润 累积 2020-09-30 (元)</t>
  </si>
  <si>
    <t>归属于母公司普通股股东的净利润 累积 2019-09-30 (元)</t>
  </si>
  <si>
    <t>归属于母公司普通股股东的净利润 累积 2018-09-30 (元)</t>
  </si>
  <si>
    <t>归属于母公司普通股股东的净利润 累积 2017-09-30 (元)</t>
  </si>
  <si>
    <t>归属于母公司普通股股东的净利润 累积 2016-09-30 (元)</t>
  </si>
  <si>
    <t>归属于母公司普通股股东的净利润 累积 2015-09-30 (元)</t>
  </si>
  <si>
    <t>归属于母公司普通股股东的净利润 累积 2014-09-30 (元)</t>
  </si>
  <si>
    <t>归属于母公司普通股股东的净利润 累积 2013-09-30 (元)</t>
  </si>
  <si>
    <t>归属于母公司普通股股东的净利润 累积 2012-09-30 (元)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</si>
  <si>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</si>
  <si>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</si>
  <si>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</si>
  <si>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</si>
  <si>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</si>
  <si>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</si>
  <si>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</si>
  <si>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</si>
  <si>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</si>
  <si>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</si>
  <si>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</si>
  <si>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</si>
  <si>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</si>
  <si>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</si>
  <si>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</si>
  <si>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</si>
  <si>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</si>
  <si>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</si>
  <si>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</si>
  <si>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</si>
  <si>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</si>
  <si>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</si>
  <si>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</si>
  <si>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</si>
  <si>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</si>
  <si>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</si>
  <si>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</si>
  <si>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</si>
  <si>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</si>
  <si>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</si>
  <si>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</si>
  <si>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</si>
  <si>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</si>
  <si>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</si>
  <si>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</si>
  <si>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</si>
  <si>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</si>
  <si>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</si>
  <si>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</si>
  <si>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</si>
  <si>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</si>
  <si>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</si>
  <si>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</si>
  <si>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</si>
  <si>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</si>
  <si>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</si>
  <si>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</si>
  <si>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</si>
  <si>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</si>
  <si>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</si>
  <si>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</si>
  <si>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</si>
  <si>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</si>
  <si>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</si>
  <si>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</si>
  <si>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</si>
  <si>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</si>
  <si>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</si>
  <si>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</si>
  <si>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</si>
  <si>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</si>
  <si>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</si>
  <si>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</si>
  <si>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</si>
  <si>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</si>
  <si>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</si>
  <si>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</si>
  <si>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</si>
  <si>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</si>
  <si>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</si>
  <si>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</si>
  <si>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</si>
  <si>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</si>
  <si>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</si>
  <si>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</si>
  <si>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</si>
  <si>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</si>
  <si>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</si>
  <si>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</si>
  <si>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</si>
  <si>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</si>
  <si>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</si>
  <si>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</si>
  <si>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</si>
  <si>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</si>
  <si>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</si>
  <si>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</si>
  <si>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</si>
  <si>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</si>
  <si>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</si>
  <si>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</si>
  <si>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</si>
  <si>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</si>
  <si>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</si>
  <si>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</si>
  <si>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</si>
  <si>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</si>
  <si>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</si>
  <si>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</si>
  <si>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</si>
  <si>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</si>
  <si>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</si>
  <si>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</si>
  <si>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</si>
  <si>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</si>
  <si>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</si>
  <si>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</si>
  <si>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</si>
  <si>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</si>
  <si>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</si>
  <si>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</si>
  <si>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</si>
  <si>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</si>
  <si>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</si>
  <si>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</si>
  <si>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</si>
  <si>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</si>
  <si>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</si>
  <si>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</si>
  <si>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</si>
  <si>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</si>
  <si>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</si>
  <si>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</si>
  <si>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</si>
  <si>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</si>
  <si>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</si>
  <si>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</si>
  <si>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</si>
  <si>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</si>
  <si>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</si>
  <si>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</si>
  <si>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</si>
  <si>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</si>
  <si>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</si>
  <si>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</si>
  <si>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</si>
  <si>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</si>
  <si>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</si>
  <si>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</si>
  <si>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</si>
  <si>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</si>
  <si>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</si>
  <si>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</si>
  <si>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</si>
  <si>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</si>
  <si>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</si>
  <si>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</si>
  <si>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</si>
  <si>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</si>
  <si>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</si>
  <si>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</si>
  <si>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</si>
  <si>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</si>
  <si>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</si>
  <si>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</si>
  <si>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</si>
  <si>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</si>
  <si>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</si>
  <si>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</si>
  <si>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</si>
  <si>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</si>
  <si>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</si>
  <si>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</si>
  <si>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</si>
  <si>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</si>
  <si>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</si>
  <si>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</si>
  <si>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</si>
  <si>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</si>
  <si>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</si>
  <si>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</si>
  <si>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</si>
  <si>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</si>
  <si>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</si>
  <si>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</si>
  <si>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</si>
  <si>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</si>
  <si>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</si>
  <si>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</si>
  <si>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</si>
  <si>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</si>
  <si>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</si>
  <si>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</si>
  <si>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</si>
  <si>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</si>
  <si>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</si>
  <si>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</si>
  <si>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</si>
  <si>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</si>
  <si>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</si>
  <si>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</si>
  <si>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</si>
  <si>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</si>
  <si>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</si>
  <si>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</si>
  <si>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</si>
  <si>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</si>
  <si>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</si>
  <si>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</si>
  <si>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</si>
  <si>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</si>
  <si>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</si>
  <si>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</si>
  <si>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</si>
  <si>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</si>
  <si>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</si>
  <si>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</si>
  <si>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</si>
  <si>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</si>
  <si>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</si>
  <si>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</si>
  <si>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</si>
  <si>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</si>
  <si>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</si>
  <si>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</si>
  <si>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</si>
  <si>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</si>
  <si>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</si>
  <si>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</si>
  <si>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</si>
  <si>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</si>
  <si>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</si>
  <si>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</si>
  <si>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</si>
  <si>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</si>
  <si>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</si>
  <si>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</si>
  <si>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</si>
  <si>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</si>
  <si>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</si>
  <si>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</si>
  <si>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</si>
  <si>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</si>
  <si>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</si>
  <si>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</si>
  <si>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</si>
  <si>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</si>
  <si>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</si>
  <si>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</si>
  <si>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</si>
  <si>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</si>
  <si>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</si>
  <si>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</si>
  <si>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</si>
  <si>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</si>
  <si>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</si>
  <si>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</si>
  <si>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</si>
  <si>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</si>
  <si>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</si>
  <si>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</si>
  <si>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</si>
  <si>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</si>
  <si>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</si>
  <si>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</si>
  <si>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</si>
  <si>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</si>
  <si>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</si>
  <si>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</si>
  <si>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</si>
  <si>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</si>
  <si>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</si>
  <si>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</si>
  <si>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</si>
  <si>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</si>
  <si>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</si>
  <si>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</si>
  <si>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</si>
  <si>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</si>
  <si>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</si>
  <si>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</si>
  <si>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</si>
  <si>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</si>
  <si>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</si>
  <si>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</si>
  <si>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</si>
  <si>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</si>
  <si>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</si>
  <si>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</si>
  <si>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</si>
  <si>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</si>
  <si>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</si>
  <si>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</si>
  <si>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</si>
  <si>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</si>
  <si>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</si>
  <si>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</si>
  <si>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</si>
  <si>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</si>
  <si>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</si>
  <si>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</si>
  <si>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</si>
  <si>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</si>
  <si>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</si>
  <si>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</si>
  <si>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</si>
  <si>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</si>
  <si>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</si>
  <si>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</si>
  <si>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</si>
  <si>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</si>
  <si>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</si>
  <si>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</si>
  <si>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</si>
  <si>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</si>
  <si>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</si>
  <si>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</si>
  <si>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</si>
  <si>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</si>
  <si>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</si>
  <si>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</si>
  <si>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</si>
  <si>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</si>
  <si>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</si>
  <si>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</si>
  <si>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</si>
  <si>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</si>
  <si>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</si>
  <si>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</si>
  <si>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</si>
  <si>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</si>
  <si>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</si>
  <si>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</si>
  <si>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</si>
  <si>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</si>
  <si>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</si>
  <si>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</si>
  <si>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</si>
  <si>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</si>
  <si>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</si>
  <si>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</si>
  <si>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</si>
  <si>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</si>
  <si>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</si>
  <si>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</si>
  <si>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</si>
  <si>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</si>
  <si>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</si>
  <si>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</si>
  <si>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</si>
  <si>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</si>
  <si>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</si>
  <si>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</si>
  <si>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</si>
  <si>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</si>
  <si>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</si>
  <si>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</si>
  <si>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</si>
  <si>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</si>
  <si>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</si>
  <si>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</si>
  <si>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</si>
  <si>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</si>
  <si>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</si>
  <si>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</si>
  <si>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</si>
  <si>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</si>
  <si>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</si>
  <si>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</si>
  <si>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</si>
  <si>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</si>
  <si>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</si>
  <si>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</si>
  <si>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</si>
  <si>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</si>
  <si>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</si>
  <si>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</si>
  <si>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</si>
  <si>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</si>
  <si>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</si>
  <si>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</si>
  <si>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</si>
  <si>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</si>
  <si>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</si>
  <si>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</si>
  <si>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</si>
  <si>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</si>
  <si>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</si>
  <si>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</si>
  <si>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</si>
  <si>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</si>
  <si>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</si>
  <si>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</si>
  <si>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</si>
  <si>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</si>
  <si>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</si>
  <si>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</si>
  <si>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</si>
  <si>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</si>
  <si>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</si>
  <si>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</si>
  <si>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</si>
  <si>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</si>
  <si>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</si>
  <si>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</si>
  <si>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</si>
  <si>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</si>
  <si>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</si>
  <si>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</si>
  <si>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</si>
  <si>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</si>
  <si>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</si>
  <si>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</si>
  <si>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</si>
  <si>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</si>
  <si>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</si>
  <si>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</si>
  <si>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</si>
  <si>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</si>
  <si>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</si>
  <si>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</si>
  <si>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</si>
  <si>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</si>
  <si>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</si>
  <si>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</si>
  <si>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</si>
  <si>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</si>
  <si>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</si>
  <si>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</si>
  <si>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</si>
  <si>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</si>
  <si>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</si>
  <si>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</si>
  <si>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</si>
  <si>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</si>
  <si>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</si>
  <si>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</si>
  <si>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</si>
  <si>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</si>
  <si>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</si>
  <si>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</si>
  <si>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</si>
  <si>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</si>
  <si>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</si>
  <si>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</si>
  <si>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</si>
  <si>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</si>
  <si>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</si>
  <si>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</si>
  <si>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</si>
  <si>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</si>
  <si>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</si>
  <si>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</si>
  <si>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</si>
  <si>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</si>
  <si>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</si>
  <si>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</si>
  <si>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</si>
  <si>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</si>
  <si>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</si>
  <si>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</si>
  <si>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</si>
  <si>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</si>
  <si>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</si>
  <si>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</si>
  <si>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</si>
  <si>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</si>
  <si>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</si>
  <si>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</si>
  <si>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</si>
  <si>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</si>
  <si>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</si>
  <si>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</si>
  <si>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</si>
  <si>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</si>
  <si>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</si>
  <si>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</si>
  <si>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</si>
  <si>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</si>
  <si>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</si>
  <si>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</si>
  <si>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</si>
  <si>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</si>
  <si>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</si>
  <si>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</si>
  <si>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</si>
  <si>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</si>
  <si>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</si>
  <si>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</si>
  <si>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</si>
  <si>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</si>
  <si>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</si>
  <si>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</si>
  <si>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</si>
  <si>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</si>
  <si>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</si>
  <si>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</si>
  <si>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</si>
  <si>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</si>
  <si>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</si>
  <si>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</si>
  <si>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</si>
  <si>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</si>
  <si>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</si>
  <si>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</si>
  <si>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</si>
  <si>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</si>
  <si>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</si>
  <si>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</si>
  <si>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</si>
  <si>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</si>
  <si>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</si>
  <si>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</si>
  <si>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</si>
  <si>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</si>
  <si>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</si>
  <si>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</si>
  <si>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</si>
  <si>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</si>
  <si>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</si>
  <si>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</si>
  <si>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</si>
  <si>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</si>
  <si>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</si>
  <si>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</si>
  <si>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</si>
  <si>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</si>
  <si>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</si>
  <si>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</si>
  <si>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</si>
  <si>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</si>
  <si>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</si>
  <si>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</si>
  <si>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</si>
  <si>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</si>
  <si>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</si>
  <si>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</si>
  <si>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</si>
  <si>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</si>
  <si>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</si>
  <si>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</si>
  <si>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</si>
  <si>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</si>
  <si>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</si>
  <si>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</si>
  <si>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</si>
  <si>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</si>
  <si>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</si>
  <si>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</si>
  <si>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</si>
  <si>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</si>
  <si>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</si>
  <si>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</si>
  <si>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</si>
  <si>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</si>
  <si>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</si>
  <si>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</si>
  <si>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</si>
  <si>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</si>
  <si>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</si>
  <si>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</si>
  <si>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</si>
  <si>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</si>
  <si>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</si>
  <si>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</si>
  <si>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</si>
  <si>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</si>
  <si>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</si>
  <si>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</si>
  <si>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</si>
  <si>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</si>
  <si>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</si>
  <si>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</si>
  <si>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</si>
  <si>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</si>
  <si>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</si>
  <si>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</si>
  <si>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</si>
  <si>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</si>
  <si>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</si>
  <si>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</si>
  <si>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</si>
  <si>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</si>
  <si>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</si>
  <si>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</si>
  <si>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</si>
  <si>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</si>
  <si>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</si>
  <si>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</si>
  <si>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</si>
  <si>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</si>
  <si>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</si>
  <si>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</si>
  <si>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</si>
  <si>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</si>
  <si>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</si>
  <si>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</si>
  <si>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</si>
  <si>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</si>
  <si>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</si>
  <si>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</si>
  <si>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</si>
  <si>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</si>
  <si>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</si>
  <si>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</si>
  <si>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</si>
  <si>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</si>
  <si>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</si>
  <si>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</si>
  <si>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</si>
  <si>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</si>
  <si>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</si>
  <si>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</si>
  <si>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</si>
  <si>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</si>
  <si>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</si>
  <si>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</si>
  <si>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</si>
  <si>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</si>
  <si>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</si>
  <si>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</si>
  <si>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</si>
  <si>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</si>
  <si>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</si>
  <si>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</si>
  <si>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</si>
  <si>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</si>
  <si>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</si>
  <si>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</si>
  <si>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</si>
  <si>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</si>
  <si>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</si>
  <si>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</si>
  <si>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</si>
  <si>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</si>
  <si>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</si>
  <si>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</si>
  <si>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</si>
  <si>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</si>
  <si>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</si>
  <si>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</si>
  <si>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</si>
  <si>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</si>
  <si>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</si>
  <si>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</si>
  <si>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</si>
  <si>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</si>
  <si>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</si>
  <si>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</si>
  <si>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</si>
  <si>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</si>
  <si>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</si>
  <si>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</si>
  <si>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</si>
  <si>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</si>
  <si>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</si>
  <si>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</si>
  <si>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</si>
  <si>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</si>
  <si>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</si>
  <si>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</si>
  <si>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</si>
  <si>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</si>
  <si>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</si>
  <si>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</si>
  <si>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</si>
  <si>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</si>
  <si>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</si>
  <si>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</si>
  <si>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</si>
  <si>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</si>
  <si>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</si>
  <si>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</si>
  <si>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</si>
  <si>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</si>
  <si>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</si>
  <si>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</si>
  <si>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</si>
  <si>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</si>
  <si>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</si>
  <si>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</si>
  <si>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</si>
  <si>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</si>
  <si>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</si>
  <si>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</si>
  <si>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</si>
  <si>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</si>
  <si>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</si>
  <si>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</si>
  <si>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</si>
  <si>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</si>
  <si>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</si>
  <si>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</si>
  <si>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</si>
  <si>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</si>
  <si>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</si>
  <si>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</si>
  <si>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</si>
  <si>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</si>
  <si>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</si>
  <si>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</si>
  <si>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</si>
  <si>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</si>
  <si>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</si>
  <si>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</si>
  <si>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</si>
  <si>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</si>
  <si>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</si>
  <si>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</si>
  <si>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</si>
  <si>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</si>
  <si>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</si>
  <si>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</si>
  <si>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</si>
  <si>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</si>
  <si>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</si>
  <si>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</si>
  <si>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</si>
  <si>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</si>
  <si>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</si>
  <si>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</si>
  <si>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</si>
  <si>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</si>
  <si>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</si>
  <si>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</si>
  <si>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</si>
  <si>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</si>
  <si>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</si>
  <si>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</si>
  <si>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</si>
  <si>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</si>
  <si>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</si>
  <si>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</si>
  <si>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</si>
  <si>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</si>
  <si>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</si>
  <si>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</si>
  <si>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</si>
  <si>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</si>
  <si>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</si>
  <si>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</si>
  <si>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</si>
  <si>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</si>
  <si>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</si>
  <si>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</si>
  <si>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</si>
  <si>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</si>
  <si>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</si>
  <si>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</si>
  <si>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</si>
  <si>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</si>
  <si>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</si>
  <si>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</si>
  <si>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</si>
  <si>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</si>
  <si>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</si>
  <si>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</si>
  <si>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</si>
  <si>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</si>
  <si>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</si>
  <si>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</si>
  <si>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</si>
  <si>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</si>
  <si>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</si>
  <si>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</si>
  <si>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</si>
  <si>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</si>
  <si>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</si>
  <si>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</si>
  <si>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</si>
  <si>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</si>
  <si>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</si>
  <si>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</si>
  <si>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</si>
  <si>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</si>
  <si>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</si>
  <si>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</si>
  <si>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</si>
  <si>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</si>
  <si>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</si>
  <si>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</si>
  <si>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</si>
  <si>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</si>
  <si>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</si>
  <si>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</si>
  <si>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</si>
  <si>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</si>
  <si>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</si>
  <si>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</si>
  <si>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</si>
  <si>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</si>
  <si>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</si>
  <si>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</si>
  <si>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</si>
  <si>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</si>
  <si>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</si>
  <si>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</si>
  <si>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</si>
  <si>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</si>
  <si>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</si>
  <si>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</si>
  <si>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</si>
  <si>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</si>
  <si>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</si>
  <si>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</si>
  <si>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</si>
  <si>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</si>
  <si>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</si>
  <si>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</si>
  <si>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</si>
  <si>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</si>
  <si>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</si>
  <si>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</si>
  <si>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</si>
  <si>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</si>
  <si>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</si>
  <si>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</si>
  <si>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</si>
  <si>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</si>
  <si>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</si>
  <si>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</si>
  <si>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</si>
  <si>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</si>
  <si>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</si>
  <si>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</si>
  <si>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</si>
  <si>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</si>
  <si>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</si>
  <si>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</si>
  <si>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</si>
  <si>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</si>
  <si>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</si>
  <si>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</si>
  <si>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</si>
  <si>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</si>
  <si>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</si>
  <si>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</si>
  <si>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</si>
  <si>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</si>
  <si>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</si>
  <si>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</si>
  <si>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</si>
  <si>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</si>
  <si>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</si>
  <si>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</si>
  <si>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</si>
  <si>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</si>
  <si>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</si>
  <si>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</si>
  <si>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</si>
  <si>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</si>
  <si>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</si>
  <si>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</si>
  <si>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</si>
  <si>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</si>
  <si>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</si>
  <si>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</si>
  <si>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</si>
  <si>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</si>
  <si>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</si>
  <si>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</si>
  <si>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</si>
  <si>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</si>
  <si>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</si>
  <si>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</si>
  <si>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</si>
  <si>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</si>
  <si>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</si>
  <si>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</si>
  <si>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</si>
  <si>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</si>
  <si>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</si>
  <si>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</si>
  <si>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</si>
  <si>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</si>
  <si>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</si>
  <si>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</si>
  <si>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</si>
  <si>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</si>
  <si>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</si>
  <si>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</si>
  <si>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</si>
  <si>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</si>
  <si>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</si>
  <si>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</si>
  <si>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</si>
  <si>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</si>
  <si>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</si>
  <si>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</si>
  <si>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</si>
  <si>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</si>
  <si>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</si>
  <si>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</si>
  <si>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</si>
  <si>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</si>
  <si>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</si>
  <si>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</si>
  <si>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</si>
  <si>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</si>
  <si>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</si>
  <si>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</si>
  <si>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</si>
  <si>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</si>
  <si>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</si>
  <si>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</si>
  <si>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</si>
  <si>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</si>
  <si>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</si>
  <si>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</si>
  <si>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</si>
  <si>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</si>
  <si>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</si>
  <si>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</si>
  <si>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</si>
  <si>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</si>
  <si>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</si>
  <si>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</si>
  <si>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</si>
  <si>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</si>
  <si>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</si>
  <si>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</si>
  <si>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</si>
  <si>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</si>
  <si>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</si>
  <si>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</si>
  <si>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</si>
  <si>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</si>
  <si>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</si>
  <si>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</si>
  <si>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</si>
  <si>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</si>
  <si>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</si>
  <si>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</si>
  <si>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</si>
  <si>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</si>
  <si>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</si>
  <si>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</si>
  <si>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</si>
  <si>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</si>
  <si>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</si>
  <si>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</si>
  <si>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</si>
  <si>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</si>
  <si>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</si>
  <si>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</si>
  <si>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</si>
  <si>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</si>
  <si>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</si>
  <si>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</si>
  <si>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</si>
  <si>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</si>
  <si>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</si>
  <si>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</si>
  <si>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</si>
  <si>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</si>
  <si>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</si>
  <si>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</si>
  <si>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</si>
  <si>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</si>
  <si>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</si>
  <si>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</si>
  <si>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</si>
  <si>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</si>
  <si>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</si>
  <si>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</si>
  <si>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</si>
  <si>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</si>
  <si>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</si>
  <si>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</si>
  <si>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</si>
  <si>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</si>
  <si>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</si>
  <si>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</si>
  <si>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</si>
  <si>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</si>
  <si>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</si>
  <si>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</si>
  <si>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</si>
  <si>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</si>
  <si>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</si>
  <si>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</si>
  <si>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</si>
  <si>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</si>
  <si>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</si>
  <si>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</si>
  <si>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</si>
  <si>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</si>
  <si>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</si>
  <si>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</si>
  <si>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</si>
  <si>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</si>
  <si>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</si>
  <si>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</si>
  <si>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</si>
  <si>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</si>
  <si>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</si>
  <si>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</si>
  <si>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</si>
  <si>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</si>
  <si>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</si>
  <si>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</si>
  <si>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</si>
  <si>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</si>
  <si>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</si>
  <si>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</si>
  <si>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</si>
  <si>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</si>
  <si>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</si>
  <si>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</si>
  <si>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</si>
  <si>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</si>
  <si>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</si>
  <si>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</si>
  <si>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</si>
  <si>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</si>
  <si>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</si>
  <si>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</si>
  <si>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</si>
  <si>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</si>
  <si>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</si>
  <si>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</si>
  <si>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</si>
  <si>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</si>
  <si>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</si>
  <si>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</si>
  <si>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</si>
  <si>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</si>
  <si>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</si>
  <si>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</si>
  <si>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</si>
  <si>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</si>
  <si>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</si>
  <si>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</si>
  <si>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</si>
  <si>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</si>
  <si>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</si>
  <si>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</si>
  <si>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</si>
  <si>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</si>
  <si>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</si>
  <si>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</si>
  <si>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</si>
  <si>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</si>
  <si>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</si>
  <si>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</si>
  <si>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</si>
  <si>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</si>
  <si>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</si>
  <si>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</si>
  <si>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</si>
  <si>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</si>
  <si>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</si>
  <si>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</si>
  <si>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</si>
  <si>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</si>
  <si>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</si>
  <si>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</si>
  <si>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</si>
  <si>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</si>
  <si>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</si>
  <si>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</si>
  <si>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</si>
  <si>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</si>
  <si>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</si>
  <si>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</si>
  <si>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</si>
  <si>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</si>
  <si>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</si>
  <si>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</si>
  <si>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</si>
  <si>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</si>
  <si>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</si>
  <si>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</si>
  <si>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</si>
  <si>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</si>
  <si>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</si>
  <si>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</si>
  <si>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</si>
  <si>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</si>
  <si>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</si>
  <si>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</si>
  <si>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</si>
  <si>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</si>
  <si>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</si>
  <si>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</si>
  <si>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</si>
  <si>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</si>
  <si>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</si>
  <si>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</si>
  <si>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</si>
  <si>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</si>
  <si>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</si>
  <si>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</si>
  <si>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</si>
  <si>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</si>
  <si>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</si>
  <si>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</si>
  <si>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</si>
  <si>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</si>
  <si>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</si>
  <si>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</si>
  <si>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</si>
  <si>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</si>
  <si>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</si>
  <si>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</si>
  <si>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</si>
  <si>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</si>
  <si>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</si>
  <si>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</si>
  <si>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</si>
  <si>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</si>
  <si>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</si>
  <si>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</si>
  <si>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</si>
  <si>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</si>
  <si>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</si>
  <si>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</si>
  <si>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</si>
  <si>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</si>
  <si>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</si>
  <si>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</si>
  <si>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</si>
  <si>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</si>
  <si>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</si>
  <si>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</si>
  <si>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</si>
  <si>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</si>
  <si>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</si>
  <si>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</si>
  <si>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</si>
  <si>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</si>
  <si>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</si>
  <si>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</si>
  <si>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</si>
  <si>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</si>
  <si>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</si>
  <si>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</si>
  <si>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</si>
  <si>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</si>
  <si>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</si>
  <si>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</si>
  <si>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</si>
  <si>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</si>
  <si>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</si>
  <si>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</si>
  <si>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</si>
  <si>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</si>
  <si>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</si>
  <si>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</si>
  <si>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</si>
  <si>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</si>
  <si>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</si>
  <si>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</si>
  <si>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</si>
  <si>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</si>
  <si>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</si>
  <si>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</si>
  <si>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</si>
  <si>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</si>
  <si>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</si>
  <si>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</si>
  <si>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</si>
  <si>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</si>
  <si>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</si>
  <si>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</si>
  <si>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</si>
  <si>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</si>
  <si>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</si>
  <si>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</si>
  <si>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</si>
  <si>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</si>
  <si>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</si>
  <si>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</si>
  <si>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</si>
  <si>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</si>
  <si>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</si>
  <si>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</si>
  <si>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</si>
  <si>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</si>
  <si>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</si>
  <si>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</si>
  <si>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</si>
  <si>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</si>
  <si>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</si>
  <si>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</si>
  <si>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</si>
  <si>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</si>
  <si>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</si>
  <si>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</si>
  <si>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</si>
  <si>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</si>
  <si>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</si>
  <si>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</si>
  <si>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</si>
  <si>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</si>
  <si>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</si>
  <si>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</si>
  <si>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</si>
  <si>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</si>
  <si>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</si>
  <si>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</si>
  <si>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</si>
  <si>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</si>
  <si>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</si>
  <si>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</si>
  <si>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</si>
  <si>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</si>
  <si>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</si>
  <si>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</si>
  <si>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</si>
  <si>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</si>
  <si>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</si>
  <si>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</si>
  <si>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</si>
  <si>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</si>
  <si>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</si>
  <si>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</si>
  <si>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</si>
  <si>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</si>
  <si>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</si>
  <si>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</si>
  <si>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</si>
  <si>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</si>
  <si>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</si>
  <si>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</si>
  <si>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</si>
  <si>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</si>
  <si>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</si>
  <si>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</si>
  <si>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</si>
  <si>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</si>
  <si>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</si>
  <si>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</si>
  <si>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</si>
  <si>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</si>
  <si>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</si>
  <si>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</si>
  <si>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</si>
  <si>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</si>
  <si>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</si>
  <si>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</si>
  <si>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</si>
  <si>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</si>
  <si>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</si>
  <si>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</si>
  <si>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</si>
  <si>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</si>
  <si>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</si>
  <si>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</si>
  <si>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</si>
  <si>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</si>
  <si>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</si>
  <si>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</si>
  <si>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</si>
  <si>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</si>
  <si>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</si>
  <si>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</si>
  <si>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</si>
  <si>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</si>
  <si>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</si>
  <si>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</si>
  <si>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</si>
  <si>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</si>
  <si>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</si>
  <si>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</si>
  <si>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</si>
  <si>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</si>
  <si>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</si>
  <si>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</si>
  <si>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</si>
  <si>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</si>
  <si>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</si>
  <si>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</si>
  <si>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</si>
  <si>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</si>
  <si>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</si>
  <si>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</si>
  <si>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</si>
  <si>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</si>
  <si>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</si>
  <si>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</si>
  <si>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</si>
  <si>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</si>
  <si>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</si>
  <si>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</si>
  <si>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</si>
  <si>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</si>
  <si>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</si>
  <si>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</si>
  <si>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</si>
  <si>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</si>
  <si>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</si>
  <si>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</si>
  <si>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</si>
  <si>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</si>
  <si>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</si>
  <si>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</si>
  <si>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</si>
  <si>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</si>
  <si>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</si>
  <si>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</si>
  <si>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</si>
  <si>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</si>
  <si>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</si>
  <si>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</si>
  <si>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</si>
  <si>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</si>
  <si>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</si>
  <si>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</si>
  <si>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</si>
  <si>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</si>
  <si>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</si>
  <si>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</si>
  <si>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</si>
  <si>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</si>
  <si>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</si>
  <si>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</si>
  <si>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</si>
  <si>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</si>
  <si>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</si>
  <si>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</si>
  <si>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</si>
  <si>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</si>
  <si>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</si>
  <si>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</si>
  <si>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</si>
  <si>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</si>
  <si>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</si>
  <si>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</si>
  <si>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</si>
  <si>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</si>
  <si>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</si>
  <si>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</si>
  <si>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</si>
  <si>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</si>
  <si>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</si>
  <si>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</si>
  <si>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</si>
  <si>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</si>
  <si>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</si>
  <si>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</si>
  <si>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</si>
  <si>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</si>
  <si>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</si>
  <si>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</si>
  <si>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</si>
  <si>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</si>
  <si>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</si>
  <si>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</si>
  <si>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</si>
  <si>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</si>
  <si>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</si>
  <si>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</si>
  <si>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</si>
  <si>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</si>
  <si>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</si>
  <si>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</si>
  <si>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</si>
  <si>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</si>
  <si>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</si>
  <si>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</si>
  <si>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</si>
  <si>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</si>
  <si>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</si>
  <si>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</si>
  <si>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</si>
  <si>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</si>
  <si>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</si>
  <si>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</si>
  <si>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</si>
  <si>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</si>
  <si>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</si>
  <si>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</si>
  <si>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</si>
  <si>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</si>
  <si>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</si>
  <si>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</si>
  <si>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</si>
  <si>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</si>
  <si>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</si>
  <si>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</si>
  <si>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</si>
  <si>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</si>
  <si>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</si>
  <si>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</si>
  <si>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</si>
  <si>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</si>
  <si>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</si>
  <si>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</si>
  <si>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</si>
  <si>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</si>
  <si>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</si>
  <si>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</si>
  <si>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</si>
  <si>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</si>
  <si>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</si>
  <si>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</si>
  <si>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</si>
  <si>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</si>
  <si>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</si>
  <si>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</si>
  <si>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</si>
  <si>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</si>
  <si>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</si>
  <si>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</si>
  <si>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</si>
  <si>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</si>
  <si>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</si>
  <si>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</si>
  <si>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</si>
  <si>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</si>
  <si>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</si>
  <si>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</si>
  <si>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</si>
  <si>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</si>
  <si>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</si>
  <si>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</si>
  <si>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</si>
  <si>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</si>
  <si>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</si>
  <si>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</si>
  <si>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</si>
  <si>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</si>
  <si>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</si>
  <si>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</si>
  <si>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</si>
  <si>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</si>
  <si>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</si>
  <si>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</si>
  <si>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</si>
  <si>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</si>
  <si>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</si>
  <si>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</si>
  <si>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</si>
  <si>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</si>
  <si>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</si>
  <si>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</si>
  <si>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</si>
  <si>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</si>
  <si>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</si>
  <si>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</si>
  <si>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</si>
  <si>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</si>
  <si>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</si>
  <si>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</si>
  <si>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</si>
  <si>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</si>
  <si>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</si>
  <si>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</si>
  <si>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</si>
  <si>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</si>
  <si>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</si>
  <si>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</si>
  <si>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</si>
  <si>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</si>
  <si>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</si>
  <si>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</si>
  <si>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</si>
  <si>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</si>
  <si>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</si>
  <si>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</si>
  <si>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</si>
  <si>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</si>
  <si>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</si>
  <si>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</si>
  <si>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</si>
  <si>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</si>
  <si>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</si>
  <si>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</si>
  <si>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</si>
  <si>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</si>
  <si>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</si>
  <si>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</si>
  <si>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</si>
  <si>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</si>
  <si>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</si>
  <si>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</si>
  <si>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</si>
  <si>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</si>
  <si>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</si>
  <si>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</si>
  <si>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</si>
  <si>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</si>
  <si>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</si>
  <si>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</si>
  <si>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</si>
  <si>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</si>
  <si>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</si>
  <si>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</si>
  <si>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</si>
  <si>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</si>
  <si>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</si>
  <si>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</si>
  <si>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</si>
  <si>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</si>
  <si>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</si>
  <si>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</si>
  <si>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</si>
  <si>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</si>
  <si>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</si>
  <si>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</si>
  <si>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</si>
  <si>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</si>
  <si>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</si>
  <si>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</si>
  <si>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</si>
  <si>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</si>
  <si>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</si>
  <si>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</si>
  <si>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</si>
  <si>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</si>
  <si>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</si>
  <si>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</si>
  <si>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</si>
  <si>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</si>
  <si>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</si>
  <si>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</si>
  <si>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</si>
  <si>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</si>
  <si>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</si>
  <si>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</si>
  <si>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</si>
  <si>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</si>
  <si>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</si>
  <si>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</si>
  <si>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</si>
  <si>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</si>
  <si>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</si>
  <si>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</si>
  <si>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</si>
  <si>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</si>
  <si>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</si>
  <si>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</si>
  <si>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</si>
  <si>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</si>
  <si>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</si>
  <si>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</si>
  <si>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</si>
  <si>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</si>
  <si>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</si>
  <si>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</si>
  <si>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</si>
  <si>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</si>
  <si>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</si>
  <si>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</si>
  <si>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</si>
  <si>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</si>
  <si>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</si>
  <si>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</si>
  <si>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</si>
  <si>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</si>
  <si>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</si>
  <si>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</si>
  <si>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</si>
  <si>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</si>
  <si>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</si>
  <si>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</si>
  <si>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</si>
  <si>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</si>
  <si>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</si>
  <si>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</si>
  <si>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</si>
  <si>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</si>
  <si>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</si>
  <si>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</si>
  <si>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</si>
  <si>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</si>
  <si>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</si>
  <si>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</si>
  <si>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</si>
  <si>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</si>
  <si>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</si>
  <si>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</si>
  <si>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</si>
  <si>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</si>
  <si>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</si>
  <si>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</si>
  <si>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</si>
  <si>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</si>
  <si>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</si>
  <si>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</si>
  <si>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</si>
  <si>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</si>
  <si>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</si>
  <si>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</si>
  <si>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</si>
  <si>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</si>
  <si>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</si>
  <si>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</si>
  <si>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</si>
  <si>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</si>
  <si>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</si>
  <si>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</si>
  <si>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</si>
  <si>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</si>
  <si>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</si>
  <si>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</si>
  <si>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</si>
  <si>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</si>
  <si>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</si>
  <si>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</si>
  <si>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</si>
  <si>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</si>
  <si>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</si>
  <si>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</si>
  <si>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</si>
  <si>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</si>
  <si>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</si>
  <si>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</si>
  <si>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</si>
  <si>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</si>
  <si>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</si>
  <si>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</si>
  <si>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</si>
  <si>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</si>
  <si>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</si>
  <si>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</si>
  <si>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</si>
  <si>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</si>
  <si>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</si>
  <si>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</si>
  <si>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</si>
  <si>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</si>
  <si>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</si>
  <si>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</si>
  <si>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</si>
  <si>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</si>
  <si>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</si>
  <si>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</si>
  <si>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</si>
  <si>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</si>
  <si>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</si>
  <si>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</si>
  <si>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</si>
  <si>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</si>
  <si>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</si>
  <si>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</si>
  <si>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</si>
  <si>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</si>
  <si>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</si>
  <si>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</si>
  <si>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</si>
  <si>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</si>
  <si>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</si>
  <si>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</si>
  <si>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</si>
  <si>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</si>
  <si>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</si>
  <si>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</si>
  <si>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</si>
  <si>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</si>
  <si>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</si>
  <si>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</si>
  <si>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</si>
  <si>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</si>
  <si>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</si>
  <si>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</si>
  <si>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</si>
  <si>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</si>
  <si>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</si>
  <si>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</si>
  <si>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</si>
  <si>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</si>
  <si>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</si>
  <si>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</si>
  <si>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</si>
  <si>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</si>
  <si>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</si>
  <si>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</si>
  <si>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</si>
  <si>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</si>
  <si>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</si>
  <si>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</si>
  <si>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</si>
  <si>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</si>
  <si>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</si>
  <si>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</si>
  <si>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</si>
  <si>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</si>
  <si>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</si>
  <si>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</si>
  <si>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</si>
  <si>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</si>
  <si>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</si>
  <si>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</si>
  <si>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</si>
  <si>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</si>
  <si>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</si>
  <si>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</si>
  <si>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</si>
  <si>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</si>
  <si>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</si>
  <si>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</si>
  <si>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</si>
  <si>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</si>
  <si>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</si>
  <si>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</si>
  <si>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</si>
  <si>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</si>
  <si>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</si>
  <si>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</si>
  <si>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</si>
  <si>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</si>
  <si>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</si>
  <si>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</si>
  <si>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</si>
  <si>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</si>
  <si>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</si>
  <si>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</si>
  <si>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</si>
  <si>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</si>
  <si>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</si>
  <si>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</si>
  <si>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</si>
  <si>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</si>
  <si>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</si>
  <si>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</si>
  <si>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</si>
  <si>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</si>
  <si>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</si>
  <si>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</si>
  <si>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</si>
  <si>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</si>
  <si>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</si>
  <si>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</si>
  <si>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</si>
  <si>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</si>
  <si>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</si>
  <si>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</si>
  <si>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</si>
  <si>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</si>
  <si>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</si>
  <si>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</si>
  <si>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</si>
  <si>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</si>
  <si>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</si>
  <si>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</si>
  <si>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</si>
  <si>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</si>
  <si>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</si>
  <si>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</si>
  <si>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</si>
  <si>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</si>
  <si>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</si>
  <si>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</si>
  <si>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</si>
  <si>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</si>
  <si>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</si>
  <si>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</si>
  <si>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</si>
  <si>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</si>
  <si>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</si>
  <si>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</si>
  <si>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</si>
  <si>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</si>
  <si>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</si>
  <si>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</si>
  <si>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</si>
  <si>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</si>
  <si>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</si>
  <si>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</si>
  <si>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</si>
  <si>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</si>
  <si>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</si>
  <si>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</si>
  <si>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</si>
  <si>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</si>
  <si>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</si>
  <si>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</si>
  <si>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</si>
  <si>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</si>
  <si>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</si>
  <si>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</si>
  <si>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</si>
  <si>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</si>
  <si>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</si>
  <si>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</si>
  <si>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</si>
  <si>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</si>
  <si>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</si>
  <si>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</si>
  <si>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</si>
  <si>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</si>
  <si>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</si>
  <si>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</si>
  <si>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</si>
  <si>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</si>
  <si>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</si>
  <si>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</si>
  <si>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</si>
  <si>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</si>
  <si>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</si>
  <si>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</si>
  <si>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</si>
  <si>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</si>
  <si>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</si>
  <si>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</si>
  <si>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</si>
  <si>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</si>
  <si>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</si>
  <si>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</si>
  <si>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</si>
  <si>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</si>
  <si>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</si>
  <si>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</si>
  <si>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</si>
  <si>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</si>
  <si>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</si>
  <si>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</si>
  <si>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</si>
  <si>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</si>
  <si>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</si>
  <si>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</si>
  <si>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</si>
  <si>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</si>
  <si>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</si>
  <si>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</si>
  <si>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</si>
  <si>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</si>
  <si>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</si>
  <si>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</si>
  <si>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</si>
  <si>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</si>
  <si>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</si>
  <si>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</si>
  <si>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</si>
  <si>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</si>
  <si>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</si>
  <si>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</si>
  <si>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</si>
  <si>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</si>
  <si>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</si>
  <si>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</si>
  <si>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</si>
  <si>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</si>
  <si>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</si>
  <si>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</si>
  <si>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</si>
  <si>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</si>
  <si>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</si>
  <si>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</si>
  <si>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</si>
  <si>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</si>
  <si>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</si>
  <si>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</si>
  <si>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</si>
  <si>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</si>
  <si>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</si>
  <si>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</si>
  <si>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</si>
  <si>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</si>
  <si>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</si>
  <si>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</si>
  <si>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</si>
  <si>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</si>
  <si>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</si>
  <si>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</si>
  <si>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</si>
  <si>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</si>
  <si>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</si>
  <si>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</si>
  <si>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</si>
  <si>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</si>
  <si>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</si>
  <si>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</si>
  <si>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</si>
  <si>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</si>
  <si>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</si>
  <si>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</si>
  <si>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</si>
  <si>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</si>
  <si>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</si>
  <si>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</si>
  <si>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</si>
  <si>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</si>
  <si>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</si>
  <si>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</si>
  <si>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</si>
  <si>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</si>
  <si>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</si>
  <si>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</si>
  <si>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</si>
  <si>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</si>
  <si>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</si>
  <si>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</si>
  <si>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</si>
  <si>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</si>
  <si>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</si>
  <si>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</si>
  <si>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</si>
  <si>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</si>
  <si>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</si>
  <si>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</si>
  <si>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</si>
  <si>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</si>
  <si>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</si>
  <si>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</si>
  <si>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</si>
  <si>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</si>
  <si>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</si>
  <si>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</si>
  <si>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</si>
  <si>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</si>
  <si>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</si>
  <si>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</si>
  <si>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</si>
  <si>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</si>
  <si>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</si>
  <si>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</si>
  <si>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</si>
  <si>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</si>
  <si>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</si>
  <si>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</si>
  <si>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</si>
  <si>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</si>
  <si>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</si>
  <si>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</si>
  <si>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</si>
  <si>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</si>
  <si>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</si>
  <si>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</si>
  <si>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</si>
  <si>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</si>
  <si>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</si>
  <si>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</si>
  <si>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</si>
  <si>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</si>
  <si>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</si>
  <si>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</si>
  <si>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</si>
  <si>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</si>
  <si>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</si>
  <si>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</si>
  <si>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</si>
  <si>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</si>
  <si>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</si>
  <si>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</si>
  <si>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</si>
  <si>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</si>
  <si>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</si>
  <si>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</si>
  <si>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</si>
  <si>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</si>
  <si>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</si>
  <si>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</si>
  <si>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</si>
  <si>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</si>
  <si>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</si>
  <si>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</si>
  <si>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</si>
  <si>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</si>
  <si>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</si>
  <si>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</si>
  <si>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</si>
  <si>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</si>
  <si>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</si>
  <si>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</si>
  <si>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</si>
  <si>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</si>
  <si>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</si>
  <si>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</si>
  <si>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</si>
  <si>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</si>
  <si>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</si>
  <si>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</si>
  <si>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</si>
  <si>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</si>
  <si>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</si>
  <si>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</si>
  <si>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</si>
  <si>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</si>
  <si>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</si>
  <si>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</si>
  <si>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</si>
  <si>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</si>
  <si>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</si>
  <si>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</si>
  <si>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</si>
  <si>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</si>
  <si>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</si>
  <si>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</si>
  <si>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</si>
  <si>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</si>
  <si>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</si>
  <si>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</si>
  <si>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</si>
  <si>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</si>
  <si>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</si>
  <si>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</si>
  <si>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</si>
  <si>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</si>
  <si>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</si>
  <si>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</si>
  <si>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</si>
  <si>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</si>
  <si>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</si>
  <si>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</si>
  <si>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</si>
  <si>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</si>
  <si>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</si>
  <si>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</si>
  <si>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</si>
  <si>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</si>
  <si>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</si>
  <si>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</si>
  <si>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</si>
  <si>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</si>
  <si>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</si>
  <si>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</si>
  <si>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</si>
  <si>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</si>
  <si>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</si>
  <si>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</si>
  <si>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</si>
  <si>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</si>
  <si>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</si>
  <si>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</si>
  <si>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</si>
  <si>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</si>
  <si>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</si>
  <si>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</si>
  <si>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</si>
  <si>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</si>
  <si>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</si>
  <si>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</si>
  <si>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</si>
  <si>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</si>
  <si>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</si>
  <si>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</si>
  <si>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</si>
  <si>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</si>
  <si>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</si>
  <si>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</si>
  <si>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</si>
  <si>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</si>
  <si>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</si>
  <si>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</si>
  <si>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</si>
  <si>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</si>
  <si>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</si>
  <si>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</si>
  <si>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</si>
  <si>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</si>
  <si>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</si>
  <si>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</si>
  <si>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</si>
  <si>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</si>
  <si>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</si>
  <si>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</si>
  <si>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</si>
  <si>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</si>
  <si>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</si>
  <si>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</si>
  <si>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</si>
  <si>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</si>
  <si>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</si>
  <si>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</si>
  <si>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</si>
  <si>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</si>
  <si>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</si>
  <si>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</si>
  <si>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</si>
  <si>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</si>
  <si>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</si>
  <si>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</si>
  <si>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</si>
  <si>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</si>
  <si>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</si>
  <si>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</si>
  <si>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</si>
  <si>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</si>
  <si>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</si>
  <si>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</si>
  <si>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</si>
  <si>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</si>
  <si>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</si>
  <si>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</si>
  <si>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</si>
  <si>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</si>
  <si>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</si>
  <si>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</si>
  <si>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</si>
  <si>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</si>
  <si>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</si>
  <si>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</si>
  <si>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</si>
  <si>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</si>
  <si>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</si>
  <si>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</si>
  <si>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</si>
  <si>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</si>
  <si>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</si>
  <si>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</si>
  <si>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</si>
  <si>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</si>
  <si>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</si>
  <si>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</si>
  <si>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</si>
  <si>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</si>
  <si>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</si>
  <si>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</si>
  <si>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</si>
  <si>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</si>
  <si>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</si>
  <si>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</si>
  <si>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</si>
  <si>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</si>
  <si>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</si>
  <si>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</si>
  <si>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</si>
  <si>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</si>
  <si>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</si>
  <si>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</si>
  <si>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</si>
  <si>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</si>
  <si>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</si>
  <si>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</si>
  <si>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</si>
  <si>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</si>
  <si>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</si>
  <si>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</si>
  <si>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</si>
  <si>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</si>
  <si>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</si>
  <si>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</si>
  <si>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</si>
  <si>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</si>
  <si>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</si>
  <si>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</si>
  <si>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</si>
  <si>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</si>
  <si>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</si>
  <si>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</si>
  <si>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</si>
  <si>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</si>
  <si>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</si>
  <si>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</si>
  <si>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</si>
  <si>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</si>
  <si>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</si>
  <si>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</si>
  <si>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</si>
  <si>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</si>
  <si>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</si>
  <si>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</si>
  <si>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</si>
  <si>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</si>
  <si>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</si>
  <si>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</si>
  <si>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</si>
  <si>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</si>
  <si>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</si>
  <si>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</si>
  <si>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</si>
  <si>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</si>
  <si>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</si>
  <si>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</si>
  <si>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</si>
  <si>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</si>
  <si>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</si>
  <si>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</si>
  <si>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</si>
  <si>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</si>
  <si>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</si>
  <si>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</si>
  <si>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</si>
  <si>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</si>
  <si>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</si>
  <si>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</si>
  <si>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</si>
  <si>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</si>
  <si>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</si>
  <si>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</si>
  <si>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</si>
  <si>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</si>
  <si>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</si>
  <si>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</si>
  <si>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</si>
  <si>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</si>
  <si>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</si>
  <si>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</si>
  <si>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</si>
  <si>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</si>
  <si>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</si>
  <si>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</si>
  <si>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</si>
  <si>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</si>
  <si>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</si>
  <si>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</si>
  <si>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</si>
  <si>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</si>
  <si>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</si>
  <si>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</si>
  <si>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</si>
  <si>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</si>
  <si>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</si>
  <si>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</si>
  <si>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</si>
  <si>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</si>
  <si>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</si>
  <si>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</si>
  <si>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</si>
  <si>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</si>
  <si>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</si>
  <si>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</si>
  <si>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</si>
  <si>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</si>
  <si>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</si>
  <si>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</si>
  <si>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</si>
  <si>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</si>
  <si>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</si>
  <si>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</si>
  <si>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</si>
  <si>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</si>
  <si>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</si>
  <si>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</si>
  <si>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</si>
  <si>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</si>
  <si>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</si>
  <si>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</si>
  <si>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</si>
  <si>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</si>
  <si>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</si>
  <si>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</si>
  <si>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</si>
  <si>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</si>
  <si>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</si>
  <si>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</si>
  <si>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</si>
  <si>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</si>
  <si>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</si>
  <si>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</si>
  <si>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</si>
  <si>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</si>
  <si>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</si>
  <si>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</si>
  <si>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</si>
  <si>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</si>
  <si>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</si>
  <si>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</si>
  <si>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</si>
  <si>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</si>
  <si>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</si>
  <si>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</si>
  <si>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</si>
  <si>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</si>
  <si>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</si>
  <si>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</si>
  <si>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</si>
  <si>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</si>
  <si>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</si>
  <si>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</si>
  <si>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</si>
  <si>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</si>
  <si>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</si>
  <si>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</si>
  <si>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</si>
  <si>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</si>
  <si>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</si>
  <si>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</si>
  <si>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</si>
  <si>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</si>
  <si>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</si>
  <si>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</si>
  <si>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</si>
  <si>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</si>
  <si>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</si>
  <si>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</si>
  <si>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</si>
  <si>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</si>
  <si>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</si>
  <si>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</si>
  <si>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</si>
  <si>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</si>
  <si>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</si>
  <si>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</si>
  <si>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</si>
  <si>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</si>
  <si>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</si>
  <si>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</si>
  <si>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</si>
  <si>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</si>
  <si>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</si>
  <si>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</si>
  <si>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</si>
  <si>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</si>
  <si>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</si>
  <si>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</si>
  <si>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</si>
  <si>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</si>
  <si>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</si>
  <si>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</si>
  <si>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</si>
  <si>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</si>
  <si>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</si>
  <si>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</si>
  <si>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</si>
  <si>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</si>
  <si>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</si>
  <si>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</si>
  <si>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</si>
  <si>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</si>
  <si>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</si>
  <si>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</si>
  <si>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</si>
  <si>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</si>
  <si>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</si>
  <si>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</si>
  <si>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</si>
  <si>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</si>
  <si>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</si>
  <si>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</si>
  <si>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</si>
  <si>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</si>
  <si>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</si>
  <si>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</si>
  <si>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</si>
  <si>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</si>
  <si>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</si>
  <si>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</si>
  <si>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</si>
  <si>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</si>
  <si>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</si>
  <si>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</si>
  <si>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</si>
  <si>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</si>
  <si>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</si>
  <si>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</si>
  <si>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</si>
  <si>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</si>
  <si>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</si>
  <si>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</si>
  <si>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</si>
  <si>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</si>
  <si>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</si>
  <si>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</si>
  <si>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</si>
  <si>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</si>
  <si>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</si>
  <si>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</si>
  <si>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</si>
  <si>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</si>
  <si>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</si>
  <si>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</si>
  <si>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</si>
  <si>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</si>
  <si>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</si>
  <si>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</si>
  <si>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</si>
  <si>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</si>
  <si>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</si>
  <si>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</si>
  <si>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</si>
  <si>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</si>
  <si>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</si>
  <si>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</si>
  <si>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</si>
  <si>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</si>
  <si>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</si>
  <si>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</si>
  <si>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</si>
  <si>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</si>
  <si>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</si>
  <si>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</si>
  <si>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</si>
  <si>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</si>
  <si>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</si>
  <si>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</si>
  <si>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</si>
  <si>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</si>
  <si>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</si>
  <si>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</si>
  <si>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</si>
  <si>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</si>
  <si>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</si>
  <si>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</si>
  <si>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</si>
  <si>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</si>
  <si>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</si>
  <si>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</si>
  <si>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</si>
  <si>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</si>
  <si>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</si>
  <si>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</si>
  <si>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</si>
  <si>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</si>
  <si>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</si>
  <si>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</si>
  <si>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</si>
  <si>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</si>
  <si>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</si>
  <si>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</si>
  <si>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</si>
  <si>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</si>
  <si>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</si>
  <si>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</si>
  <si>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</si>
  <si>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</si>
  <si>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</si>
  <si>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</si>
  <si>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</si>
  <si>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</si>
  <si>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</si>
  <si>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</si>
  <si>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</si>
  <si>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</si>
  <si>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</si>
  <si>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</si>
  <si>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</si>
  <si>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</si>
  <si>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</si>
  <si>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</si>
  <si>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</si>
  <si>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</si>
  <si>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</si>
  <si>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</si>
  <si>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</si>
  <si>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</si>
  <si>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</si>
  <si>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</si>
  <si>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</si>
  <si>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</si>
  <si>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</si>
  <si>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</si>
  <si>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</si>
  <si>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</si>
  <si>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</si>
  <si>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</si>
  <si>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</si>
  <si>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</si>
  <si>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</si>
  <si>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</si>
  <si>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</si>
  <si>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</si>
  <si>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</si>
  <si>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</si>
  <si>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</si>
  <si>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</si>
  <si>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</si>
  <si>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</si>
  <si>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</si>
  <si>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</si>
  <si>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</si>
  <si>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</si>
  <si>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</si>
  <si>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</si>
  <si>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</si>
  <si>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</si>
  <si>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</si>
  <si>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</si>
  <si>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</si>
  <si>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</si>
  <si>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</si>
  <si>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</si>
  <si>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</si>
  <si>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</si>
  <si>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</si>
  <si>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</si>
  <si>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</si>
  <si>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</si>
  <si>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</si>
  <si>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</si>
  <si>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</si>
  <si>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</si>
  <si>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</si>
  <si>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</si>
  <si>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</si>
  <si>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</si>
  <si>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</si>
  <si>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</si>
  <si>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</si>
  <si>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</si>
  <si>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</si>
  <si>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</si>
  <si>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</si>
  <si>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</si>
  <si>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</si>
  <si>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</si>
  <si>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</si>
  <si>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</si>
  <si>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</si>
  <si>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</si>
  <si>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</si>
  <si>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</si>
  <si>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</si>
  <si>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</si>
  <si>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</si>
  <si>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</si>
  <si>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</si>
  <si>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</si>
  <si>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</si>
  <si>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</si>
  <si>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</si>
  <si>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</si>
  <si>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</si>
  <si>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</si>
  <si>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</si>
  <si>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</si>
  <si>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</si>
  <si>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</si>
  <si>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</si>
  <si>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</si>
  <si>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</si>
  <si>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</si>
  <si>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</si>
  <si>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</si>
  <si>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</si>
  <si>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</si>
  <si>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</si>
  <si>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</si>
  <si>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</si>
  <si>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</si>
  <si>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</si>
  <si>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</si>
  <si>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</si>
  <si>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</si>
  <si>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</si>
  <si>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</si>
  <si>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</si>
  <si>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</si>
  <si>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</si>
  <si>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</si>
  <si>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</si>
  <si>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</si>
  <si>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</si>
  <si>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</si>
  <si>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</si>
  <si>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</si>
  <si>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</si>
  <si>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</si>
  <si>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</si>
  <si>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</si>
  <si>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</si>
  <si>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</si>
  <si>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</si>
  <si>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</si>
  <si>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</si>
  <si>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</si>
  <si>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</si>
  <si>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</si>
  <si>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</si>
  <si>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</si>
  <si>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</si>
  <si>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</si>
  <si>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</si>
  <si>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</si>
  <si>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</si>
  <si>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</si>
  <si>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</si>
  <si>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</si>
  <si>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</si>
  <si>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</si>
  <si>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</si>
  <si>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</si>
  <si>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</si>
  <si>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</si>
  <si>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</si>
  <si>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</si>
  <si>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</si>
  <si>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</si>
  <si>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</si>
  <si>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</si>
  <si>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</si>
  <si>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</si>
  <si>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</si>
  <si>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</si>
  <si>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</si>
  <si>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</si>
  <si>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</si>
  <si>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</si>
  <si>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</si>
  <si>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</si>
  <si>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</si>
  <si>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</si>
  <si>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</si>
  <si>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</si>
  <si>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</si>
  <si>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</si>
  <si>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</si>
  <si>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</si>
  <si>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</si>
  <si>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</si>
  <si>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</si>
  <si>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</si>
  <si>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</si>
  <si>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</si>
  <si>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</si>
  <si>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</si>
  <si>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</si>
  <si>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</si>
  <si>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</si>
  <si>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</si>
  <si>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</si>
  <si>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</si>
  <si>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</si>
  <si>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</si>
  <si>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</si>
  <si>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</si>
  <si>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</si>
  <si>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</si>
  <si>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</si>
  <si>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</si>
  <si>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</si>
  <si>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</si>
  <si>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</si>
  <si>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</si>
  <si>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</si>
  <si>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</si>
  <si>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</si>
  <si>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</si>
  <si>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</si>
  <si>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</si>
  <si>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</si>
  <si>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</si>
  <si>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</si>
  <si>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</si>
  <si>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</si>
  <si>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</si>
  <si>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</si>
  <si>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</si>
  <si>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</si>
  <si>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</si>
  <si>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</si>
  <si>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</si>
  <si>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</si>
  <si>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</si>
  <si>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</si>
  <si>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</si>
  <si>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</si>
  <si>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</si>
  <si>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</si>
  <si>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</si>
  <si>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</si>
  <si>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</si>
  <si>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</si>
  <si>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</si>
  <si>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</si>
  <si>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</si>
  <si>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</si>
  <si>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</si>
  <si>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</si>
  <si>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</si>
  <si>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</si>
  <si>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</si>
  <si>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</si>
  <si>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</si>
  <si>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</si>
  <si>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</si>
  <si>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</si>
  <si>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</si>
  <si>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</si>
  <si>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</si>
  <si>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</si>
  <si>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</si>
  <si>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</si>
  <si>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</si>
  <si>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</si>
  <si>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</si>
  <si>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</si>
  <si>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</si>
  <si>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</si>
  <si>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</si>
  <si>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</si>
  <si>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</si>
  <si>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</si>
  <si>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</si>
  <si>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</si>
  <si>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</si>
  <si>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</si>
  <si>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</si>
  <si>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</si>
  <si>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</si>
  <si>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</si>
  <si>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</si>
  <si>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</si>
  <si>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</si>
  <si>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</si>
  <si>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</si>
  <si>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</si>
  <si>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</si>
  <si>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</si>
  <si>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</si>
  <si>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</si>
  <si>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</si>
  <si>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</si>
  <si>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</si>
  <si>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</si>
  <si>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</si>
  <si>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</si>
  <si>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</si>
  <si>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</si>
  <si>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</si>
  <si>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</si>
  <si>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</si>
  <si>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</si>
  <si>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</si>
  <si>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</si>
  <si>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</si>
  <si>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</si>
  <si>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</si>
  <si>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</si>
  <si>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</si>
  <si>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</si>
  <si>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</si>
  <si>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</si>
  <si>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</si>
  <si>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</si>
  <si>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</si>
  <si>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</si>
  <si>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</si>
  <si>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</si>
  <si>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</si>
  <si>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</si>
  <si>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</si>
  <si>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</si>
  <si>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</si>
  <si>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</si>
  <si>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</si>
  <si>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</si>
  <si>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</si>
  <si>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</si>
  <si>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</si>
  <si>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</si>
  <si>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</si>
  <si>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</si>
  <si>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</si>
  <si>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</si>
  <si>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</si>
  <si>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</si>
  <si>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</si>
  <si>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</si>
  <si>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</si>
  <si>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</si>
  <si>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</si>
  <si>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</si>
  <si>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</si>
  <si>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</si>
  <si>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</si>
  <si>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</si>
  <si>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</si>
  <si>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</si>
  <si>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</si>
  <si>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</si>
  <si>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</si>
  <si>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</si>
  <si>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</si>
  <si>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</si>
  <si>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</si>
  <si>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</si>
  <si>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</si>
  <si>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</si>
  <si>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</si>
  <si>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</si>
  <si>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</si>
  <si>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</si>
  <si>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</si>
  <si>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</si>
  <si>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</si>
  <si>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</si>
  <si>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</si>
  <si>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</si>
  <si>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</si>
  <si>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</si>
  <si>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</si>
  <si>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</si>
  <si>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</si>
  <si>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</si>
  <si>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</si>
  <si>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</si>
  <si>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</si>
  <si>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</si>
  <si>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</si>
  <si>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</si>
  <si>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</si>
  <si>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</si>
  <si>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</si>
  <si>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</si>
  <si>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</si>
  <si>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</si>
  <si>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</si>
  <si>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</si>
  <si>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</si>
  <si>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</si>
  <si>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</si>
  <si>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</si>
  <si>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</si>
  <si>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</si>
  <si>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</si>
  <si>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</si>
  <si>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</si>
  <si>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</si>
  <si>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</si>
  <si>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</si>
  <si>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</si>
  <si>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</si>
  <si>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</si>
  <si>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</si>
  <si>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</si>
  <si>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</si>
  <si>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</si>
  <si>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</si>
  <si>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</si>
  <si>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</si>
  <si>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</si>
  <si>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</si>
  <si>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</si>
  <si>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</si>
  <si>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</si>
  <si>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</si>
  <si>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</si>
  <si>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</si>
  <si>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</si>
  <si>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</si>
  <si>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</si>
  <si>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</si>
  <si>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</si>
  <si>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</si>
  <si>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</si>
  <si>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</si>
  <si>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</si>
  <si>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</si>
  <si>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</si>
  <si>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</si>
  <si>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</si>
  <si>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</si>
  <si>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</si>
  <si>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</si>
  <si>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</si>
  <si>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</si>
  <si>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</si>
  <si>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</si>
  <si>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</si>
  <si>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</si>
  <si>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</si>
  <si>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</si>
  <si>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</si>
  <si>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</si>
  <si>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</si>
  <si>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</si>
  <si>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</si>
  <si>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</si>
  <si>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</si>
  <si>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</si>
  <si>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</si>
  <si>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</si>
  <si>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</si>
  <si>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</si>
  <si>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</si>
  <si>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</si>
  <si>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</si>
  <si>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</si>
  <si>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</si>
  <si>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</si>
  <si>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</si>
  <si>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</si>
  <si>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</si>
  <si>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</si>
  <si>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</si>
  <si>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</si>
  <si>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</si>
  <si>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</si>
  <si>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</si>
  <si>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</si>
  <si>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</si>
  <si>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</si>
  <si>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</si>
  <si>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</si>
  <si>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</si>
  <si>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</si>
  <si>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</si>
  <si>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</si>
  <si>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</si>
  <si>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</si>
  <si>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</si>
  <si>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</si>
  <si>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</si>
  <si>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</si>
  <si>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</si>
  <si>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</si>
  <si>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</si>
  <si>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</si>
  <si>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</si>
  <si>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</si>
  <si>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</si>
  <si>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</si>
  <si>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</si>
  <si>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</si>
  <si>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</si>
  <si>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</si>
  <si>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</si>
  <si>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</si>
  <si>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</si>
  <si>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</si>
  <si>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</si>
  <si>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</si>
  <si>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</si>
  <si>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</si>
  <si>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</si>
  <si>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</si>
  <si>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</si>
  <si>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</si>
  <si>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</si>
  <si>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</si>
  <si>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</si>
  <si>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</si>
  <si>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</si>
  <si>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</si>
  <si>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</si>
  <si>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</si>
  <si>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</si>
  <si>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</si>
  <si>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</si>
  <si>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</si>
  <si>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</si>
  <si>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</si>
  <si>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</si>
  <si>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</si>
  <si>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</si>
  <si>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</si>
  <si>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</si>
  <si>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</si>
  <si>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</si>
  <si>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</si>
  <si>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</si>
  <si>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</si>
  <si>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</si>
  <si>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</si>
  <si>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</si>
  <si>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</si>
  <si>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</si>
  <si>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</si>
  <si>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</si>
  <si>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</si>
  <si>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</si>
  <si>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</si>
  <si>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</si>
  <si>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</si>
  <si>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</si>
  <si>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</si>
  <si>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</si>
  <si>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</si>
  <si>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</si>
  <si>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</si>
  <si>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</si>
  <si>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</si>
  <si>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</si>
  <si>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</si>
  <si>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</si>
  <si>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</si>
  <si>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</si>
  <si>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</si>
  <si>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</si>
  <si>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</si>
  <si>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</si>
  <si>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</si>
  <si>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</si>
  <si>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</si>
  <si>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</si>
  <si>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</si>
  <si>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</si>
  <si>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</si>
  <si>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</si>
  <si>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</si>
  <si>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</si>
  <si>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</si>
  <si>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</si>
  <si>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</si>
  <si>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</si>
  <si>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</si>
  <si>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</si>
  <si>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</si>
  <si>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</si>
  <si>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</si>
  <si>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</si>
  <si>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</si>
  <si>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</si>
  <si>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</si>
  <si>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</si>
  <si>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</si>
  <si>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</si>
  <si>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</si>
  <si>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</si>
  <si>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</si>
  <si>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</si>
  <si>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</si>
  <si>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</si>
  <si>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</si>
  <si>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</si>
  <si>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</si>
  <si>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</si>
  <si>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</si>
  <si>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</si>
  <si>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</si>
  <si>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</si>
  <si>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</si>
  <si>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</si>
  <si>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</si>
  <si>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</si>
  <si>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</si>
  <si>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</si>
  <si>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</si>
  <si>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</si>
  <si>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</si>
  <si>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</si>
  <si>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</si>
  <si>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</si>
  <si>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</si>
  <si>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</si>
  <si>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</si>
  <si>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</si>
  <si>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</si>
  <si>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</si>
  <si>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</si>
  <si>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</si>
  <si>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</si>
  <si>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</si>
  <si>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</si>
  <si>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</si>
  <si>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</si>
  <si>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</si>
  <si>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</si>
  <si>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</si>
  <si>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</si>
  <si>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</si>
  <si>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</si>
  <si>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</si>
  <si>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</si>
  <si>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</si>
  <si>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</si>
  <si>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</si>
  <si>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</si>
  <si>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</si>
  <si>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</si>
  <si>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</si>
  <si>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</si>
  <si>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</si>
  <si>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</si>
  <si>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</si>
  <si>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</si>
  <si>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</si>
  <si>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</si>
  <si>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</si>
  <si>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</si>
  <si>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</si>
  <si>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</si>
  <si>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</si>
  <si>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</si>
  <si>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</si>
  <si>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</si>
  <si>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</si>
  <si>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</si>
  <si>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</si>
  <si>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</si>
  <si>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</si>
  <si>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</si>
  <si>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</si>
  <si>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</si>
  <si>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</si>
  <si>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</si>
  <si>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</si>
  <si>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</si>
  <si>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</si>
  <si>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</si>
  <si>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</si>
  <si>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</si>
  <si>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</si>
  <si>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</si>
  <si>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</si>
  <si>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</si>
  <si>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</si>
  <si>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</si>
  <si>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</si>
  <si>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</si>
  <si>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</si>
  <si>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</si>
  <si>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</si>
  <si>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</si>
  <si>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</si>
  <si>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</si>
  <si>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</si>
  <si>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</si>
  <si>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</si>
  <si>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</si>
  <si>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</si>
  <si>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</si>
  <si>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</si>
  <si>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</si>
  <si>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</si>
  <si>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</si>
  <si>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</si>
  <si>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</si>
  <si>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</si>
  <si>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</si>
  <si>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</si>
  <si>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</si>
  <si>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</si>
  <si>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</si>
  <si>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</si>
  <si>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</si>
  <si>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</si>
  <si>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</si>
  <si>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</si>
  <si>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</si>
  <si>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</si>
  <si>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</si>
  <si>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</si>
  <si>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</si>
  <si>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</si>
  <si>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</si>
  <si>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</si>
  <si>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</si>
  <si>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</si>
  <si>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</si>
  <si>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</si>
  <si>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</si>
  <si>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</si>
  <si>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</si>
  <si>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</si>
  <si>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</si>
  <si>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</si>
  <si>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</si>
  <si>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</si>
  <si>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</si>
  <si>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</si>
  <si>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</si>
  <si>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</si>
  <si>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</si>
  <si>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</si>
  <si>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</si>
  <si>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</si>
  <si>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</si>
  <si>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</si>
  <si>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</si>
  <si>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</si>
  <si>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</si>
  <si>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</si>
  <si>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</si>
  <si>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</si>
  <si>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</si>
  <si>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</si>
  <si>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</si>
  <si>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</si>
  <si>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</si>
  <si>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</si>
  <si>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</si>
  <si>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</si>
  <si>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</si>
  <si>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</si>
  <si>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</si>
  <si>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</si>
  <si>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</si>
  <si>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</si>
  <si>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</si>
  <si>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</si>
  <si>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</si>
  <si>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</si>
  <si>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</si>
  <si>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</si>
  <si>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</si>
  <si>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</si>
  <si>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</si>
  <si>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</si>
  <si>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</si>
  <si>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</si>
  <si>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</si>
  <si>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</si>
  <si>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</si>
  <si>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</si>
  <si>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</si>
  <si>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</si>
  <si>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</si>
  <si>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</si>
  <si>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</si>
  <si>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</si>
  <si>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</si>
  <si>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</si>
  <si>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</si>
  <si>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</si>
  <si>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</si>
  <si>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</si>
  <si>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</si>
  <si>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</si>
  <si>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</si>
  <si>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</si>
  <si>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</si>
  <si>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</si>
  <si>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</si>
  <si>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</si>
  <si>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</si>
  <si>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</si>
  <si>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</si>
  <si>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</si>
  <si>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</si>
  <si>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</si>
  <si>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</si>
  <si>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</si>
  <si>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</si>
  <si>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</si>
  <si>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</si>
  <si>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</si>
  <si>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</si>
  <si>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</si>
  <si>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</si>
  <si>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</si>
  <si>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</si>
  <si>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</si>
  <si>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</si>
  <si>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</si>
  <si>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</si>
  <si>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</si>
  <si>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</si>
  <si>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</si>
  <si>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</si>
  <si>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</si>
  <si>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</si>
  <si>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</si>
  <si>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</si>
  <si>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</si>
  <si>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</si>
  <si>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</si>
  <si>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</si>
  <si>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</si>
  <si>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</si>
  <si>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</si>
  <si>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</si>
  <si>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</si>
  <si>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</si>
  <si>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</si>
  <si>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</si>
  <si>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</si>
  <si>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</si>
  <si>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</si>
  <si>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</si>
  <si>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</si>
  <si>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</si>
  <si>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</si>
  <si>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</si>
  <si>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</si>
  <si>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</si>
  <si>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</si>
  <si>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</si>
  <si>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</si>
  <si>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</si>
  <si>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</si>
  <si>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</si>
  <si>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</si>
  <si>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</si>
  <si>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</si>
  <si>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</si>
  <si>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</si>
  <si>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</si>
  <si>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</si>
  <si>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</si>
  <si>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</si>
  <si>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</si>
  <si>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</si>
  <si>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</si>
  <si>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</si>
  <si>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</si>
  <si>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</si>
  <si>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</si>
  <si>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</si>
  <si>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</si>
  <si>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</si>
  <si>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</si>
  <si>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</si>
  <si>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</si>
  <si>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</si>
  <si>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</si>
  <si>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</si>
  <si>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</si>
  <si>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</si>
  <si>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</si>
  <si>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</si>
  <si>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</si>
  <si>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</si>
  <si>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</si>
  <si>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</si>
  <si>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</si>
  <si>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</si>
  <si>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</si>
  <si>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</si>
  <si>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</si>
  <si>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</si>
  <si>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</si>
  <si>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</si>
  <si>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</si>
  <si>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</si>
  <si>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</si>
  <si>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</si>
  <si>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</si>
  <si>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</si>
  <si>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</si>
  <si>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</si>
  <si>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</si>
  <si>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</si>
  <si>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</si>
  <si>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</si>
  <si>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</si>
  <si>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</si>
  <si>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</si>
  <si>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</si>
  <si>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</si>
  <si>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</si>
  <si>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</si>
  <si>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</si>
  <si>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</si>
  <si>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</si>
  <si>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</si>
  <si>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</si>
  <si>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</si>
  <si>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</si>
  <si>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</si>
  <si>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</si>
  <si>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</si>
  <si>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</si>
  <si>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</si>
  <si>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</si>
  <si>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</si>
  <si>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</si>
  <si>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</si>
  <si>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</si>
  <si>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</si>
  <si>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</si>
  <si>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</si>
  <si>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</si>
  <si>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</si>
  <si>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</si>
  <si>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</si>
  <si>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</si>
  <si>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</si>
  <si>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</si>
  <si>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</si>
  <si>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</si>
  <si>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</si>
  <si>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</si>
  <si>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</si>
  <si>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</si>
  <si>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</si>
  <si>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</si>
  <si>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</si>
  <si>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</si>
  <si>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</si>
  <si>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</si>
  <si>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</si>
  <si>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</si>
  <si>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</si>
  <si>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</si>
  <si>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</si>
  <si>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</si>
  <si>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</si>
  <si>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</si>
  <si>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</si>
  <si>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</si>
  <si>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</si>
  <si>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</si>
  <si>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</si>
  <si>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</si>
  <si>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</si>
  <si>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</si>
  <si>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</si>
  <si>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</si>
  <si>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</si>
  <si>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</si>
  <si>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</si>
  <si>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</si>
  <si>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</si>
  <si>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</si>
  <si>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</si>
  <si>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</si>
  <si>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</si>
  <si>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</si>
  <si>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</si>
  <si>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</si>
  <si>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</si>
  <si>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</si>
  <si>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</si>
  <si>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</si>
  <si>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</si>
  <si>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</si>
  <si>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</si>
  <si>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</si>
  <si>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</si>
  <si>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</si>
  <si>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</si>
  <si>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</si>
  <si>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</si>
  <si>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</si>
  <si>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</si>
  <si>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</si>
  <si>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</si>
  <si>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</si>
  <si>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</si>
  <si>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</si>
  <si>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</si>
  <si>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</si>
  <si>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</si>
  <si>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</si>
  <si>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</si>
  <si>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</si>
  <si>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</si>
  <si>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</si>
  <si>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</si>
  <si>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</si>
  <si>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</si>
  <si>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</si>
  <si>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</si>
  <si>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</si>
  <si>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</si>
  <si>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</si>
  <si>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</si>
  <si>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</si>
  <si>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</si>
  <si>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</si>
  <si>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</si>
  <si>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</si>
  <si>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</si>
  <si>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</si>
  <si>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</si>
  <si>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</si>
  <si>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</si>
  <si>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</si>
  <si>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</si>
  <si>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</si>
  <si>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</si>
  <si>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</si>
  <si>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</si>
  <si>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</si>
  <si>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</si>
  <si>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</si>
  <si>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</si>
  <si>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</si>
  <si>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</si>
  <si>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</si>
  <si>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</si>
  <si>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</si>
  <si>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</si>
  <si>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</si>
  <si>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</si>
  <si>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</si>
  <si>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</si>
  <si>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</si>
  <si>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</si>
  <si>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</si>
  <si>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</si>
  <si>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</si>
  <si>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</si>
  <si>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</si>
  <si>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</si>
  <si>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</si>
  <si>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</si>
  <si>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</si>
  <si>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</si>
  <si>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</si>
  <si>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</si>
  <si>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</si>
  <si>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</si>
  <si>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</si>
  <si>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</si>
  <si>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</si>
  <si>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</si>
  <si>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</si>
  <si>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</si>
  <si>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</si>
  <si>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</si>
  <si>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</si>
  <si>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</si>
  <si>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</si>
  <si>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</si>
  <si>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</si>
  <si>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</si>
  <si>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</si>
  <si>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</si>
  <si>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</si>
  <si>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</si>
  <si>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</si>
  <si>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</si>
  <si>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</si>
  <si>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</si>
  <si>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</si>
  <si>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</si>
  <si>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</si>
  <si>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</si>
  <si>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</si>
  <si>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</si>
  <si>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</si>
  <si>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</si>
  <si>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</si>
  <si>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</si>
  <si>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</si>
  <si>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</si>
  <si>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</si>
  <si>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</si>
  <si>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</si>
  <si>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</si>
  <si>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</si>
  <si>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</si>
  <si>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</si>
  <si>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</si>
  <si>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</si>
  <si>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</si>
  <si>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</si>
  <si>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</si>
  <si>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</si>
  <si>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</si>
  <si>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</si>
  <si>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</si>
  <si>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</si>
  <si>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</si>
  <si>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</si>
  <si>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</si>
  <si>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</si>
  <si>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</si>
  <si>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</si>
  <si>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</si>
  <si>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</si>
  <si>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</si>
  <si>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</si>
  <si>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</si>
  <si>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</si>
  <si>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</si>
  <si>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</si>
  <si>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</si>
  <si>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</si>
  <si>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</si>
  <si>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</si>
  <si>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</si>
  <si>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</si>
  <si>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</si>
  <si>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</si>
  <si>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</si>
  <si>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</si>
  <si>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</si>
  <si>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</si>
  <si>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</si>
  <si>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</si>
  <si>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</si>
  <si>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</si>
  <si>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</si>
  <si>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</si>
  <si>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</si>
  <si>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</si>
  <si>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</si>
  <si>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</si>
  <si>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</si>
  <si>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</si>
  <si>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</si>
  <si>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</si>
  <si>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</si>
  <si>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</si>
  <si>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</si>
  <si>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</si>
  <si>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</si>
  <si>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</si>
  <si>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</si>
  <si>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</si>
  <si>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</si>
  <si>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</si>
  <si>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</si>
  <si>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</si>
  <si>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</si>
  <si>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</si>
  <si>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</si>
  <si>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</si>
  <si>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</si>
  <si>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</si>
  <si>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</si>
  <si>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</si>
  <si>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</si>
  <si>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</si>
  <si>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</si>
  <si>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</si>
  <si>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</si>
  <si>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</si>
  <si>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</si>
  <si>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</si>
  <si>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</si>
  <si>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</si>
  <si>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</si>
  <si>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</si>
  <si>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</si>
  <si>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</si>
  <si>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</si>
  <si>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</si>
  <si>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</si>
  <si>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</si>
  <si>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</si>
  <si>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</si>
  <si>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</si>
  <si>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</si>
  <si>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</si>
  <si>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</si>
  <si>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</si>
  <si>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</si>
  <si>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</si>
  <si>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</si>
  <si>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</si>
  <si>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</si>
  <si>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</si>
  <si>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</si>
  <si>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</si>
  <si>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</si>
  <si>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</si>
  <si>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</si>
  <si>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</si>
  <si>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</si>
  <si>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</si>
  <si>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</si>
  <si>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</si>
  <si>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</si>
  <si>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</si>
  <si>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</si>
  <si>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</si>
  <si>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</si>
  <si>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</si>
  <si>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</si>
  <si>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</si>
  <si>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</si>
  <si>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</si>
  <si>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</si>
  <si>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</si>
  <si>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</si>
  <si>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</si>
  <si>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</si>
  <si>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</si>
  <si>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</si>
  <si>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</si>
  <si>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</si>
  <si>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</si>
  <si>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</si>
  <si>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</si>
  <si>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</si>
  <si>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</si>
  <si>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</si>
  <si>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</si>
  <si>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</si>
  <si>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</si>
  <si>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</si>
  <si>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</si>
  <si>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</si>
  <si>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</si>
  <si>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</si>
  <si>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</si>
  <si>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</si>
  <si>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</si>
  <si>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</si>
  <si>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</si>
  <si>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</si>
  <si>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</si>
  <si>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</si>
  <si>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</si>
  <si>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</si>
  <si>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</si>
  <si>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</si>
  <si>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</si>
  <si>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</si>
  <si>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</si>
  <si>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</si>
  <si>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</si>
  <si>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</si>
  <si>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</si>
  <si>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</si>
  <si>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</si>
  <si>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</si>
  <si>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</si>
  <si>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</si>
  <si>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</si>
  <si>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</si>
  <si>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</si>
  <si>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</si>
  <si>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</si>
  <si>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</si>
  <si>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</si>
  <si>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</si>
  <si>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</si>
  <si>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</si>
  <si>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</si>
  <si>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</si>
  <si>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</si>
  <si>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</si>
  <si>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</si>
  <si>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</si>
  <si>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</si>
  <si>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</si>
  <si>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</si>
  <si>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</si>
  <si>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</si>
  <si>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</si>
  <si>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</si>
  <si>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</si>
  <si>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</si>
  <si>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</si>
  <si>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</si>
  <si>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</si>
  <si>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</si>
  <si>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</si>
  <si>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</si>
  <si>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</si>
  <si>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</si>
  <si>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</si>
  <si>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</si>
  <si>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</si>
  <si>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</si>
  <si>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</si>
  <si>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</si>
  <si>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</si>
  <si>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</si>
  <si>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</si>
  <si>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</si>
  <si>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</si>
  <si>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</si>
  <si>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</si>
  <si>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</si>
  <si>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</si>
  <si>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</si>
  <si>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</si>
  <si>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</si>
  <si>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</si>
  <si>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</si>
  <si>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</si>
  <si>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</si>
  <si>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</si>
  <si>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</si>
  <si>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</si>
  <si>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</si>
  <si>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</si>
  <si>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</si>
  <si>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</si>
  <si>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</si>
  <si>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</si>
  <si>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</si>
  <si>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</si>
  <si>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</si>
  <si>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</si>
  <si>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</si>
  <si>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</si>
  <si>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</si>
  <si>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</si>
  <si>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</si>
  <si>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</si>
  <si>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</si>
  <si>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</si>
  <si>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</si>
  <si>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</si>
  <si>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</si>
  <si>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</si>
  <si>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</si>
  <si>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</si>
  <si>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</si>
  <si>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</si>
  <si>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</si>
  <si>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</si>
  <si>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</si>
  <si>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</si>
  <si>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</si>
  <si>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</si>
  <si>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</si>
  <si>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</si>
  <si>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</si>
  <si>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</si>
  <si>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</si>
  <si>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</si>
  <si>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</si>
  <si>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</si>
  <si>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</si>
  <si>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</si>
  <si>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</si>
  <si>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</si>
  <si>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</si>
  <si>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</si>
  <si>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</si>
  <si>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</si>
  <si>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</si>
  <si>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</si>
  <si>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</si>
  <si>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</si>
  <si>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</si>
  <si>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</si>
  <si>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</si>
  <si>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</si>
  <si>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</si>
  <si>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</si>
  <si>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</si>
  <si>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</si>
  <si>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</si>
  <si>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</si>
  <si>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</si>
  <si>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</si>
  <si>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</si>
  <si>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</si>
  <si>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</si>
  <si>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</si>
  <si>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</si>
  <si>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</si>
  <si>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</si>
  <si>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</si>
  <si>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</si>
  <si>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</si>
  <si>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</si>
  <si>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</si>
  <si>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</si>
  <si>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</si>
  <si>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</si>
  <si>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</si>
  <si>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</si>
  <si>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</si>
  <si>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</si>
  <si>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</si>
  <si>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</si>
  <si>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</si>
  <si>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</si>
  <si>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</si>
  <si>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</si>
  <si>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</si>
  <si>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</si>
  <si>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</si>
  <si>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</si>
  <si>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</si>
  <si>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</si>
  <si>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</si>
  <si>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</si>
  <si>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</si>
  <si>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</si>
  <si>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</si>
  <si>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</si>
  <si>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</si>
  <si>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</si>
  <si>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</si>
  <si>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</si>
  <si>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</si>
  <si>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</si>
  <si>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</si>
  <si>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</si>
  <si>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</si>
  <si>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</si>
  <si>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</si>
  <si>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</si>
  <si>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</si>
  <si>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</si>
  <si>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</si>
  <si>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</si>
  <si>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</si>
  <si>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</si>
  <si>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</si>
  <si>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</si>
  <si>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</si>
  <si>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</si>
  <si>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</si>
  <si>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</si>
  <si>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</si>
  <si>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</si>
  <si>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</si>
  <si>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</si>
  <si>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</si>
  <si>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</si>
  <si>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</si>
  <si>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</si>
  <si>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</si>
  <si>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</si>
  <si>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</si>
  <si>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</si>
  <si>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</si>
  <si>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</si>
  <si>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</si>
  <si>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</si>
  <si>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</si>
  <si>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</si>
  <si>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</si>
  <si>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</si>
  <si>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</si>
  <si>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</si>
  <si>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</si>
  <si>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</si>
  <si>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</si>
  <si>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</si>
  <si>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</si>
  <si>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</si>
  <si>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</si>
  <si>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</si>
  <si>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</si>
  <si>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</si>
  <si>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</si>
  <si>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</si>
  <si>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</si>
  <si>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</si>
  <si>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</si>
  <si>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</si>
  <si>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</si>
  <si>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</si>
  <si>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</si>
  <si>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</si>
  <si>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</si>
  <si>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</si>
  <si>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</si>
  <si>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</si>
  <si>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</si>
  <si>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</si>
  <si>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</si>
  <si>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</si>
  <si>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</si>
  <si>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</si>
  <si>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</si>
  <si>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</si>
  <si>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</si>
  <si>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</si>
  <si>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</si>
  <si>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</si>
  <si>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</si>
  <si>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</si>
  <si>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</si>
  <si>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</si>
  <si>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</si>
  <si>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</si>
  <si>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</si>
  <si>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</si>
  <si>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</si>
  <si>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</si>
  <si>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</si>
  <si>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</si>
  <si>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</si>
  <si>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</si>
  <si>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</si>
  <si>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</si>
  <si>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</si>
  <si>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</si>
  <si>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</si>
  <si>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</si>
  <si>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</si>
  <si>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</si>
  <si>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</si>
  <si>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</si>
  <si>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</si>
  <si>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</si>
  <si>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</si>
  <si>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</si>
  <si>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</si>
  <si>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</si>
  <si>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</si>
  <si>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</si>
  <si>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</si>
  <si>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</si>
  <si>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</si>
  <si>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</si>
  <si>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</si>
  <si>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</si>
  <si>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</si>
  <si>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</si>
  <si>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</si>
  <si>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</si>
  <si>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</si>
  <si>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</si>
  <si>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华强科技</t>
  </si>
  <si>
    <t>www.lixinger.com/analytics/company/sh/688151/688151/detail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</si>
  <si>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</si>
  <si>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</si>
  <si>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</si>
  <si>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</si>
  <si>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</si>
  <si>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</si>
  <si>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</si>
  <si>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</si>
  <si>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</si>
  <si>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</si>
  <si>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</si>
  <si>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</si>
  <si>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</si>
  <si>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</si>
  <si>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</si>
  <si>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</si>
  <si>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</si>
  <si>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</si>
  <si>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</si>
  <si>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</si>
  <si>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</si>
  <si>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</si>
  <si>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</si>
  <si>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</si>
  <si>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</si>
  <si>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</si>
  <si>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</si>
  <si>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</si>
  <si>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纬德信息</t>
  </si>
  <si>
    <t>www.lixinger.com/analytics/company/sh/688171/688171/detail</t>
  </si>
  <si>
    <t>希荻微</t>
  </si>
  <si>
    <t>www.lixinger.com/analytics/company/sh/688173/688173/detail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</si>
  <si>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</si>
  <si>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</si>
  <si>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</si>
  <si>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</si>
  <si>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</si>
  <si>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</si>
  <si>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</si>
  <si>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</si>
  <si>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</si>
  <si>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</si>
  <si>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</si>
  <si>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</si>
  <si>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</si>
  <si>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</si>
  <si>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</si>
  <si>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</si>
  <si>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</si>
  <si>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</si>
  <si>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</si>
  <si>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</si>
  <si>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</si>
  <si>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</si>
  <si>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</si>
  <si>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</si>
  <si>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</si>
  <si>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</si>
  <si>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</si>
  <si>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</si>
  <si>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</si>
  <si>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</si>
  <si>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</si>
  <si>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</si>
  <si>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</si>
  <si>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</si>
  <si>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</si>
  <si>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</si>
  <si>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</si>
  <si>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</si>
  <si>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</si>
  <si>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</si>
  <si>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</si>
  <si>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</si>
  <si>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</si>
  <si>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</si>
  <si>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</si>
  <si>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</si>
  <si>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</si>
  <si>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</si>
  <si>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</si>
  <si>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</si>
  <si>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</si>
  <si>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</si>
  <si>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</si>
  <si>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</si>
  <si>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</si>
  <si>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</si>
  <si>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</si>
  <si>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</si>
  <si>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</si>
  <si>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</si>
  <si>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</si>
  <si>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</si>
  <si>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</si>
  <si>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</si>
  <si>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</si>
  <si>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</si>
  <si>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</si>
  <si>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</si>
  <si>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</si>
  <si>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</si>
  <si>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</si>
  <si>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</si>
  <si>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</si>
  <si>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</si>
  <si>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</si>
  <si>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</si>
  <si>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</si>
  <si>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</si>
  <si>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</si>
  <si>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</si>
  <si>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</si>
  <si>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</si>
  <si>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</si>
  <si>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</si>
  <si>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</si>
  <si>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</si>
  <si>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</si>
  <si>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</si>
  <si>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</si>
  <si>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</si>
  <si>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</si>
  <si>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</si>
  <si>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</si>
  <si>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</si>
  <si>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</si>
  <si>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</si>
  <si>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</si>
  <si>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</si>
  <si>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</si>
  <si>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</si>
  <si>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</si>
  <si>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</si>
  <si>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</si>
  <si>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</si>
  <si>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</si>
  <si>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</si>
  <si>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</si>
  <si>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</si>
  <si>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</si>
  <si>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</si>
  <si>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</si>
  <si>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</si>
  <si>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</si>
  <si>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</si>
  <si>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</si>
  <si>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</si>
  <si>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</si>
  <si>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</si>
  <si>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</si>
  <si>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</si>
  <si>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</si>
  <si>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</si>
  <si>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</si>
  <si>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</si>
  <si>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</si>
  <si>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</si>
  <si>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</si>
  <si>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</si>
  <si>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</si>
  <si>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</si>
  <si>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</si>
  <si>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</si>
  <si>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</si>
  <si>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</si>
  <si>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</si>
  <si>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</si>
  <si>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</si>
  <si>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</si>
  <si>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</si>
  <si>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</si>
  <si>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</si>
  <si>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</si>
  <si>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</si>
  <si>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</si>
  <si>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</si>
  <si>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</si>
  <si>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</si>
  <si>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</si>
  <si>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</si>
  <si>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</si>
  <si>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</si>
  <si>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</si>
  <si>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</si>
  <si>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</si>
  <si>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</si>
  <si>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</si>
  <si>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</si>
  <si>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</si>
  <si>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</si>
  <si>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</si>
  <si>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</si>
  <si>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</si>
  <si>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</si>
  <si>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</si>
  <si>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</si>
  <si>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</si>
  <si>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</si>
  <si>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</si>
  <si>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</si>
  <si>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</si>
  <si>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</si>
  <si>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</si>
  <si>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</si>
  <si>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</si>
  <si>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</si>
  <si>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</si>
  <si>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</si>
  <si>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</si>
  <si>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</si>
  <si>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</si>
  <si>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</si>
  <si>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</si>
  <si>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</si>
  <si>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</si>
  <si>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</si>
  <si>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</si>
  <si>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</si>
  <si>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</si>
  <si>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</si>
  <si>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</si>
  <si>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</si>
  <si>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</si>
  <si>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</si>
  <si>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</si>
  <si>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</si>
  <si>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</si>
  <si>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</si>
  <si>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</si>
  <si>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</si>
  <si>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</si>
  <si>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</si>
  <si>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微芯生物</t>
  </si>
  <si>
    <t>www.lixinger.com/analytics/company/sh/688321/688321/detail</t>
  </si>
  <si>
    <t>瑞华泰</t>
  </si>
  <si>
    <t>www.lixinger.com/analytics/company/sh/688323/688323/detail</t>
  </si>
  <si>
    <t>经纬恒润</t>
  </si>
  <si>
    <t>www.lixinger.com/analytics/company/sh/688326/688326/detail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</si>
  <si>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</si>
  <si>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</si>
  <si>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</si>
  <si>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</si>
  <si>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</si>
  <si>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</si>
  <si>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</si>
  <si>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</si>
  <si>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</si>
  <si>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</si>
  <si>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</si>
  <si>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</si>
  <si>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</si>
  <si>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</si>
  <si>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</si>
  <si>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</si>
  <si>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</si>
  <si>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</si>
  <si>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</si>
  <si>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</si>
  <si>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</si>
  <si>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</si>
  <si>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</si>
  <si>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</si>
  <si>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</si>
  <si>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</si>
  <si>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</si>
  <si>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</si>
  <si>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</si>
  <si>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</si>
  <si>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</si>
  <si>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</si>
  <si>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</si>
  <si>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</si>
  <si>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</si>
  <si>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</si>
  <si>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</si>
  <si>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</si>
  <si>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</si>
  <si>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</si>
  <si>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</si>
  <si>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</si>
  <si>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</si>
  <si>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</si>
  <si>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</si>
  <si>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</si>
  <si>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</si>
  <si>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</si>
  <si>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</si>
  <si>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</si>
  <si>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</si>
  <si>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</si>
  <si>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</si>
  <si>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</si>
  <si>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</si>
  <si>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</si>
  <si>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</si>
  <si>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</si>
  <si>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</si>
  <si>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</si>
  <si>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</si>
  <si>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</si>
  <si>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</si>
  <si>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</si>
  <si>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</si>
  <si>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</si>
  <si>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</si>
  <si>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</si>
  <si>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</si>
  <si>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</si>
  <si>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</si>
  <si>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</si>
  <si>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</si>
  <si>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</si>
  <si>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</si>
  <si>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</si>
  <si>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</si>
  <si>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</si>
  <si>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</si>
  <si>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</si>
  <si>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</si>
  <si>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</si>
  <si>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</si>
  <si>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</si>
  <si>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</si>
  <si>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</si>
  <si>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</si>
  <si>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</si>
  <si>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</si>
  <si>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</si>
  <si>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</si>
  <si>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</si>
  <si>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</si>
  <si>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</si>
  <si>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</si>
  <si>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</si>
  <si>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</si>
  <si>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</si>
  <si>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</si>
  <si>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</si>
  <si>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</si>
  <si>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</si>
  <si>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</si>
  <si>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</si>
  <si>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</si>
  <si>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</si>
  <si>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</si>
  <si>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</si>
  <si>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</si>
  <si>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</si>
  <si>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</si>
  <si>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</si>
  <si>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</si>
  <si>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</si>
  <si>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</si>
  <si>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</si>
  <si>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</si>
  <si>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</si>
  <si>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</si>
  <si>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</si>
  <si>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</si>
  <si>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</si>
  <si>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</si>
  <si>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</si>
  <si>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</si>
  <si>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</si>
  <si>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</si>
  <si>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</si>
  <si>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</si>
  <si>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</si>
  <si>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</si>
  <si>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</si>
  <si>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</si>
  <si>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</si>
  <si>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</si>
  <si>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</si>
  <si>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</si>
  <si>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</si>
  <si>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</si>
  <si>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</si>
  <si>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</si>
  <si>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</si>
  <si>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</si>
  <si>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</si>
  <si>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</si>
  <si>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</si>
  <si>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</si>
  <si>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</si>
  <si>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</si>
  <si>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</si>
  <si>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</si>
  <si>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</si>
  <si>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</si>
  <si>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</si>
  <si>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</si>
  <si>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</si>
  <si>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</si>
  <si>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</si>
  <si>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</si>
  <si>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</si>
  <si>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</si>
  <si>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</si>
  <si>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</si>
  <si>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</si>
  <si>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</si>
  <si>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</si>
  <si>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</si>
  <si>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</si>
  <si>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</si>
  <si>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</si>
  <si>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</si>
  <si>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</si>
  <si>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</si>
  <si>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</si>
  <si>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</si>
  <si>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</si>
  <si>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</si>
  <si>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</si>
  <si>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</si>
  <si>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</si>
  <si>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</si>
  <si>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</si>
  <si>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</si>
  <si>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</si>
  <si>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</si>
  <si>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</si>
  <si>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</si>
  <si>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</si>
  <si>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</si>
  <si>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</si>
  <si>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</si>
  <si>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</si>
  <si>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</si>
  <si>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</si>
  <si>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</si>
  <si>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</si>
  <si>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</si>
  <si>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</si>
  <si>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</si>
  <si>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</si>
  <si>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</si>
  <si>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</si>
  <si>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</si>
  <si>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</si>
  <si>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</si>
  <si>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</si>
  <si>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</si>
  <si>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</si>
  <si>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</si>
  <si>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</si>
  <si>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</si>
  <si>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</si>
  <si>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</si>
  <si>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</si>
  <si>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</si>
  <si>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</si>
  <si>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</si>
  <si>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</si>
  <si>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</si>
  <si>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</si>
  <si>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</si>
  <si>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</si>
  <si>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</si>
  <si>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</si>
  <si>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</si>
  <si>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</si>
  <si>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</si>
  <si>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</si>
  <si>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</si>
  <si>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</si>
  <si>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</si>
  <si>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</si>
  <si>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</si>
  <si>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</si>
  <si>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</si>
  <si>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</si>
  <si>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</si>
  <si>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</si>
  <si>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</si>
  <si>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</si>
  <si>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</si>
  <si>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</si>
  <si>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</si>
  <si>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</si>
  <si>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</si>
  <si>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</si>
  <si>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</si>
  <si>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</si>
  <si>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</si>
  <si>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</si>
  <si>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</si>
  <si>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</si>
  <si>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</si>
  <si>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</si>
  <si>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</si>
  <si>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</si>
  <si>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</si>
  <si>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</si>
  <si>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</si>
  <si>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</si>
  <si>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</si>
  <si>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</si>
  <si>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</si>
  <si>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</si>
  <si>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</si>
  <si>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</si>
  <si>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</si>
  <si>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</si>
  <si>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</si>
  <si>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</si>
  <si>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</si>
  <si>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</si>
  <si>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</si>
  <si>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</si>
  <si>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</si>
  <si>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</si>
  <si>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</si>
  <si>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</si>
  <si>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</si>
  <si>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</si>
  <si>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</si>
  <si>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</si>
  <si>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</si>
  <si>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</si>
  <si>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</si>
  <si>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</si>
  <si>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</si>
  <si>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</si>
  <si>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</si>
  <si>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</si>
  <si>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</si>
  <si>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</si>
  <si>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</si>
  <si>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</si>
  <si>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</si>
  <si>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</si>
  <si>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</si>
  <si>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</si>
  <si>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</si>
  <si>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</si>
  <si>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</si>
  <si>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</si>
  <si>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</si>
  <si>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</si>
  <si>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</si>
  <si>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</si>
  <si>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</si>
  <si>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</si>
  <si>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</si>
  <si>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</si>
  <si>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</si>
  <si>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</si>
  <si>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</si>
  <si>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</si>
  <si>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</si>
  <si>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</si>
  <si>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</si>
  <si>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</si>
  <si>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</si>
  <si>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</si>
  <si>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</si>
  <si>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</si>
  <si>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</si>
  <si>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</si>
  <si>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</si>
  <si>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</si>
  <si>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</si>
  <si>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</si>
  <si>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</si>
  <si>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</si>
  <si>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</si>
  <si>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</si>
  <si>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</si>
  <si>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</si>
  <si>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</si>
  <si>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</si>
  <si>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</si>
  <si>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</si>
  <si>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</si>
  <si>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</si>
  <si>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</si>
  <si>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</si>
  <si>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</si>
  <si>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</si>
  <si>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</si>
  <si>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</si>
  <si>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</si>
  <si>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</si>
  <si>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</si>
  <si>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</si>
  <si>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</si>
  <si>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</si>
  <si>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</si>
  <si>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</si>
  <si>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</si>
  <si>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</si>
  <si>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</si>
  <si>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</si>
  <si>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</si>
  <si>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</si>
  <si>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</si>
  <si>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</si>
  <si>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</si>
  <si>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</si>
  <si>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</si>
  <si>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</si>
  <si>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</si>
  <si>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</si>
  <si>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</si>
  <si>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</si>
  <si>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</si>
  <si>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</si>
  <si>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</si>
  <si>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</si>
  <si>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</si>
  <si>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</si>
  <si>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</si>
  <si>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</si>
  <si>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</si>
  <si>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</si>
  <si>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</si>
  <si>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</si>
  <si>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</si>
  <si>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</si>
  <si>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</si>
  <si>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</si>
  <si>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</si>
  <si>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</si>
  <si>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</si>
  <si>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</si>
  <si>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</si>
  <si>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</si>
  <si>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</si>
  <si>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</si>
  <si>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</si>
  <si>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</si>
  <si>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</si>
  <si>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</si>
  <si>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</si>
  <si>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</si>
  <si>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</si>
  <si>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</si>
  <si>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</si>
  <si>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</si>
  <si>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</si>
  <si>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</si>
  <si>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</si>
  <si>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</si>
  <si>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</si>
  <si>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</si>
  <si>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</si>
  <si>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</si>
  <si>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</si>
  <si>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</si>
  <si>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</si>
  <si>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</si>
  <si>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</si>
  <si>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</si>
  <si>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</si>
  <si>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</si>
  <si>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</si>
  <si>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</si>
  <si>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</si>
  <si>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</si>
  <si>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</si>
  <si>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</si>
  <si>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</si>
  <si>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</si>
  <si>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</si>
  <si>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</si>
  <si>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</si>
  <si>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</si>
  <si>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</si>
  <si>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</si>
  <si>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</si>
  <si>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</si>
  <si>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</si>
  <si>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</si>
  <si>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</si>
  <si>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</si>
  <si>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</si>
  <si>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</si>
  <si>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</si>
  <si>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</si>
  <si>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</si>
  <si>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</si>
  <si>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</si>
  <si>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</si>
  <si>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</si>
  <si>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</si>
  <si>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</si>
  <si>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</si>
  <si>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</si>
  <si>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</si>
  <si>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</si>
  <si>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</si>
  <si>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</si>
  <si>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</si>
  <si>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</si>
  <si>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</si>
  <si>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</si>
  <si>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</si>
  <si>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</si>
  <si>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</si>
  <si>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</si>
  <si>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</si>
  <si>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</si>
  <si>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</si>
  <si>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</si>
  <si>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</si>
  <si>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</si>
  <si>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</si>
  <si>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</si>
  <si>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</si>
  <si>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</si>
  <si>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</si>
  <si>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</si>
  <si>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</si>
  <si>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</si>
  <si>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</si>
  <si>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</si>
  <si>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</si>
  <si>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</si>
  <si>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</si>
  <si>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</si>
  <si>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</si>
  <si>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</si>
  <si>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</si>
  <si>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</si>
  <si>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</si>
  <si>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</si>
  <si>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</si>
  <si>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</si>
  <si>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</si>
  <si>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</si>
  <si>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</si>
  <si>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</si>
  <si>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</si>
  <si>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</si>
  <si>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</si>
  <si>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</si>
  <si>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</si>
  <si>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</si>
  <si>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</si>
  <si>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</si>
  <si>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</si>
  <si>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</si>
  <si>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</si>
  <si>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</si>
  <si>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</si>
  <si>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</si>
  <si>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</si>
  <si>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</si>
  <si>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</si>
  <si>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</si>
  <si>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</si>
  <si>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</si>
  <si>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</si>
  <si>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</si>
  <si>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</si>
  <si>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</si>
  <si>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</si>
  <si>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</si>
  <si>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</si>
  <si>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</si>
  <si>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</si>
  <si>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</si>
  <si>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</si>
  <si>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</si>
  <si>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</si>
  <si>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</si>
  <si>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</si>
  <si>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</si>
  <si>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</si>
  <si>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</si>
  <si>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</si>
  <si>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</si>
  <si>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</si>
  <si>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</si>
  <si>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</si>
  <si>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</si>
  <si>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</si>
  <si>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</si>
  <si>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</si>
  <si>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</si>
  <si>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</si>
  <si>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</si>
  <si>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</si>
  <si>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</si>
  <si>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</si>
  <si>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</si>
  <si>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</si>
  <si>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</si>
  <si>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</si>
  <si>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</si>
  <si>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</si>
  <si>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</si>
  <si>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</si>
  <si>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</si>
  <si>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</si>
  <si>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</si>
  <si>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</si>
  <si>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</si>
  <si>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</si>
  <si>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</si>
  <si>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</si>
  <si>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</si>
  <si>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</si>
  <si>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</si>
  <si>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</si>
  <si>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</si>
  <si>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</si>
  <si>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</si>
  <si>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</si>
  <si>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</si>
  <si>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</si>
  <si>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</si>
  <si>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</si>
  <si>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</si>
  <si>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</si>
  <si>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</si>
  <si>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</si>
  <si>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</si>
  <si>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</si>
  <si>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</si>
  <si>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</si>
  <si>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</si>
  <si>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</si>
  <si>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</si>
  <si>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</si>
  <si>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</si>
  <si>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</si>
  <si>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</si>
  <si>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</si>
  <si>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</si>
  <si>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</si>
  <si>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</si>
  <si>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</si>
  <si>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</si>
  <si>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</si>
  <si>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</si>
  <si>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</si>
  <si>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</si>
  <si>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</si>
  <si>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</si>
  <si>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</si>
  <si>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</si>
  <si>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</si>
  <si>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</si>
  <si>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</si>
  <si>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</si>
  <si>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</si>
  <si>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</si>
  <si>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</si>
  <si>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</si>
  <si>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</si>
  <si>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</si>
  <si>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</si>
  <si>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</si>
  <si>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</si>
  <si>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</si>
  <si>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</si>
  <si>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</si>
  <si>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</si>
  <si>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</si>
  <si>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</si>
  <si>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</si>
  <si>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</si>
  <si>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</si>
  <si>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</si>
  <si>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</si>
  <si>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</si>
  <si>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</si>
  <si>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</si>
  <si>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</si>
  <si>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</si>
  <si>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</si>
  <si>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</si>
  <si>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</si>
  <si>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</si>
  <si>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</si>
  <si>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</si>
  <si>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</si>
  <si>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</si>
  <si>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</si>
  <si>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</si>
  <si>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</si>
  <si>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</si>
  <si>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</si>
  <si>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</si>
  <si>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</si>
  <si>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</si>
  <si>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</si>
  <si>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</si>
  <si>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</si>
  <si>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</si>
  <si>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</si>
  <si>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</si>
  <si>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</si>
  <si>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</si>
  <si>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</si>
  <si>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</si>
  <si>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</si>
  <si>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</si>
  <si>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</si>
  <si>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</si>
  <si>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</si>
  <si>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</si>
  <si>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</si>
  <si>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</si>
  <si>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</si>
  <si>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</si>
  <si>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</si>
  <si>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</si>
  <si>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</si>
  <si>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</si>
  <si>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</si>
  <si>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</si>
  <si>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</si>
  <si>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</si>
  <si>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</si>
  <si>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</si>
  <si>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</si>
  <si>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</si>
  <si>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</si>
  <si>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</si>
  <si>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</si>
  <si>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</si>
  <si>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</si>
  <si>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</si>
  <si>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</si>
  <si>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</si>
  <si>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</si>
  <si>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</si>
  <si>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</si>
  <si>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</si>
  <si>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</si>
  <si>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</si>
  <si>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</si>
  <si>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</si>
  <si>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</si>
  <si>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</si>
  <si>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</si>
  <si>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</si>
  <si>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</si>
  <si>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</si>
  <si>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</si>
  <si>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</si>
  <si>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</si>
  <si>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</si>
  <si>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</si>
  <si>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</si>
  <si>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</si>
  <si>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</si>
  <si>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</si>
  <si>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</si>
  <si>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</si>
  <si>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</si>
  <si>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</si>
  <si>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</si>
  <si>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</si>
  <si>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</si>
  <si>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</si>
  <si>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</si>
  <si>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</si>
  <si>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</si>
  <si>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</si>
  <si>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</si>
  <si>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</si>
  <si>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</si>
  <si>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</si>
  <si>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</si>
  <si>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</si>
  <si>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</si>
  <si>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</si>
  <si>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</si>
  <si>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</si>
  <si>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</si>
  <si>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</si>
  <si>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</si>
  <si>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</si>
  <si>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</si>
  <si>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</si>
  <si>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</si>
  <si>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</si>
  <si>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</si>
  <si>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</si>
  <si>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</si>
  <si>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</si>
  <si>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</si>
  <si>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</si>
  <si>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</si>
  <si>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</si>
  <si>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</si>
  <si>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</si>
  <si>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</si>
  <si>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</si>
  <si>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</si>
  <si>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</si>
  <si>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</si>
  <si>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</si>
  <si>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</si>
  <si>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</si>
  <si>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</si>
  <si>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</si>
  <si>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</si>
  <si>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</si>
  <si>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</si>
  <si>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</si>
  <si>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</si>
  <si>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</si>
  <si>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</si>
  <si>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</si>
  <si>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</si>
  <si>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</si>
  <si>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</si>
  <si>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</si>
  <si>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</si>
  <si>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</si>
  <si>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</si>
  <si>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</si>
  <si>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</si>
  <si>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</si>
  <si>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</si>
  <si>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</si>
  <si>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</si>
  <si>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</si>
  <si>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</si>
  <si>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</si>
  <si>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</si>
  <si>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</si>
  <si>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</si>
  <si>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</si>
  <si>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</si>
  <si>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</si>
  <si>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</si>
  <si>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</si>
  <si>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</si>
  <si>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</si>
  <si>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</si>
  <si>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</si>
  <si>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</si>
  <si>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</si>
  <si>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</si>
  <si>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</si>
  <si>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</si>
  <si>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</si>
  <si>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</si>
  <si>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</si>
  <si>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</si>
  <si>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</si>
  <si>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</si>
  <si>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</si>
  <si>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</si>
  <si>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</si>
  <si>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</si>
  <si>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</si>
  <si>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</si>
  <si>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</si>
  <si>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</si>
  <si>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</si>
  <si>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</si>
  <si>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</si>
  <si>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</si>
  <si>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</si>
  <si>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</si>
  <si>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</si>
  <si>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</si>
  <si>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</si>
  <si>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</si>
  <si>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</si>
  <si>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</si>
  <si>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</si>
  <si>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</si>
  <si>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</si>
  <si>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</si>
  <si>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</si>
  <si>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</si>
  <si>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</si>
  <si>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</si>
  <si>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</si>
  <si>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</si>
  <si>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</si>
  <si>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</si>
  <si>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</si>
  <si>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</si>
  <si>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</si>
  <si>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</si>
  <si>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</si>
  <si>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</si>
  <si>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</si>
  <si>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</si>
  <si>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</si>
  <si>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</si>
  <si>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</si>
  <si>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</si>
  <si>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</si>
  <si>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</si>
  <si>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</si>
  <si>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</si>
  <si>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</si>
  <si>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</si>
  <si>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</si>
  <si>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</si>
  <si>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</si>
  <si>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</si>
  <si>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</si>
  <si>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</si>
  <si>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</si>
  <si>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</si>
  <si>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</si>
  <si>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</si>
  <si>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</si>
  <si>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</si>
  <si>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</si>
  <si>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</si>
  <si>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</si>
  <si>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</si>
  <si>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</si>
  <si>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</si>
  <si>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</si>
  <si>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</si>
  <si>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</si>
  <si>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</si>
  <si>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</si>
  <si>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</si>
  <si>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</si>
  <si>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</si>
  <si>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</si>
  <si>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</si>
  <si>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</si>
  <si>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</si>
  <si>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</si>
  <si>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</si>
  <si>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</si>
  <si>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</si>
  <si>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</si>
  <si>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</si>
  <si>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</si>
  <si>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</si>
  <si>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</si>
  <si>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</si>
  <si>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</si>
  <si>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</si>
  <si>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</si>
  <si>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</si>
  <si>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</si>
  <si>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</si>
  <si>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</si>
  <si>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</si>
  <si>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</si>
  <si>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</si>
  <si>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</si>
  <si>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</si>
  <si>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</si>
  <si>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</si>
  <si>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</si>
  <si>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</si>
  <si>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</si>
  <si>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</si>
  <si>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</si>
  <si>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</si>
  <si>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</si>
  <si>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</si>
  <si>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</si>
  <si>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</si>
  <si>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</si>
  <si>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</si>
  <si>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</si>
  <si>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</si>
  <si>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</si>
  <si>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</si>
  <si>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</si>
  <si>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</si>
  <si>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</si>
  <si>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</si>
  <si>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</si>
  <si>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</si>
  <si>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</si>
  <si>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</si>
  <si>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</si>
  <si>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</si>
  <si>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</si>
  <si>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</si>
  <si>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</si>
  <si>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</si>
  <si>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</si>
  <si>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</si>
  <si>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</si>
  <si>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</si>
  <si>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</si>
  <si>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</si>
  <si>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</si>
  <si>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</si>
  <si>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</si>
  <si>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</si>
  <si>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</si>
  <si>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</si>
  <si>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</si>
  <si>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</si>
  <si>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</si>
  <si>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</si>
  <si>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</si>
  <si>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</si>
  <si>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</si>
  <si>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</si>
  <si>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</si>
  <si>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</si>
  <si>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</si>
  <si>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</si>
  <si>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</si>
  <si>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</si>
  <si>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</si>
  <si>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</si>
  <si>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</si>
  <si>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</si>
  <si>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</si>
  <si>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</si>
  <si>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</si>
  <si>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</si>
  <si>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</si>
  <si>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</si>
  <si>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</si>
  <si>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</si>
  <si>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</si>
  <si>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</si>
  <si>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</si>
  <si>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</si>
  <si>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</si>
  <si>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</si>
  <si>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</si>
  <si>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</si>
  <si>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</si>
  <si>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</si>
  <si>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</si>
  <si>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</si>
  <si>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</si>
  <si>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</si>
  <si>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</si>
  <si>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</si>
  <si>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</si>
  <si>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</si>
  <si>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</si>
  <si>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</si>
  <si>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</si>
  <si>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</si>
  <si>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</si>
  <si>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</si>
  <si>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</si>
  <si>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</si>
  <si>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</si>
  <si>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</si>
  <si>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</si>
  <si>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</si>
  <si>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</si>
  <si>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</si>
  <si>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</si>
  <si>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</si>
  <si>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</si>
  <si>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</si>
  <si>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</si>
  <si>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</si>
  <si>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</si>
  <si>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</si>
  <si>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</si>
  <si>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</si>
  <si>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</si>
  <si>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</si>
  <si>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</si>
  <si>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</si>
  <si>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</si>
  <si>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</si>
  <si>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</si>
  <si>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</si>
  <si>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</si>
  <si>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</si>
  <si>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</si>
  <si>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</si>
  <si>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</si>
  <si>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</si>
  <si>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</si>
  <si>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</si>
  <si>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</si>
  <si>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</si>
  <si>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</si>
  <si>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</si>
  <si>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</si>
  <si>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</si>
  <si>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</si>
  <si>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</si>
  <si>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</si>
  <si>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</si>
  <si>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</si>
  <si>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</si>
  <si>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</si>
  <si>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</si>
  <si>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</si>
  <si>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</si>
  <si>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</si>
  <si>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</si>
  <si>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</si>
  <si>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</si>
  <si>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</si>
  <si>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</si>
  <si>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</si>
  <si>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</si>
  <si>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</si>
  <si>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</si>
  <si>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</si>
  <si>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</si>
  <si>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</si>
  <si>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</si>
  <si>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</si>
  <si>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</si>
  <si>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</si>
  <si>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</si>
  <si>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</si>
  <si>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</si>
  <si>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</si>
  <si>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</si>
  <si>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</si>
  <si>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</si>
  <si>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</si>
  <si>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</si>
  <si>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</si>
  <si>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</si>
  <si>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</si>
  <si>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</si>
  <si>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</si>
  <si>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</si>
  <si>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</si>
  <si>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</si>
  <si>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</si>
  <si>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</si>
  <si>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</si>
  <si>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</si>
  <si>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</si>
  <si>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</si>
  <si>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</si>
  <si>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</si>
  <si>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</si>
  <si>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</si>
  <si>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</si>
  <si>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</si>
  <si>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</si>
  <si>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</si>
  <si>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</si>
  <si>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</si>
  <si>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</si>
  <si>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</si>
  <si>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</si>
  <si>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</si>
  <si>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</si>
  <si>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</si>
  <si>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</si>
  <si>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</si>
  <si>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</si>
  <si>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</si>
  <si>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</si>
  <si>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</si>
  <si>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</si>
  <si>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</si>
  <si>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</si>
  <si>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</si>
  <si>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</si>
  <si>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</si>
  <si>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</si>
  <si>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</si>
  <si>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</si>
  <si>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</si>
  <si>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</si>
  <si>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</si>
  <si>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</si>
  <si>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</si>
  <si>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</si>
  <si>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</si>
  <si>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</si>
  <si>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</si>
  <si>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</si>
  <si>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</si>
  <si>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</si>
  <si>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</si>
  <si>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</si>
  <si>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</si>
  <si>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</si>
  <si>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</si>
  <si>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</si>
  <si>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</si>
  <si>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</si>
  <si>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</si>
  <si>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</si>
  <si>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</si>
  <si>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</si>
  <si>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</si>
  <si>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</si>
  <si>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</si>
  <si>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</si>
  <si>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</si>
  <si>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</si>
  <si>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</si>
  <si>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</si>
  <si>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</si>
  <si>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</si>
  <si>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</si>
  <si>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</si>
  <si>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</si>
  <si>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</si>
  <si>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</si>
  <si>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</si>
  <si>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</si>
  <si>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</si>
  <si>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</si>
  <si>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</si>
  <si>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</si>
  <si>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</si>
  <si>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</si>
  <si>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</si>
  <si>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</si>
  <si>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</si>
  <si>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</si>
  <si>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</si>
  <si>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</si>
  <si>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</si>
  <si>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</si>
  <si>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</si>
  <si>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</si>
  <si>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</si>
  <si>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</si>
  <si>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</si>
  <si>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</si>
  <si>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</si>
  <si>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</si>
  <si>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</si>
  <si>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</si>
  <si>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</si>
  <si>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</si>
  <si>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</si>
  <si>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</si>
  <si>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</si>
  <si>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</si>
  <si>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</si>
  <si>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</si>
  <si>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</si>
  <si>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</si>
  <si>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</si>
  <si>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</si>
  <si>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</si>
  <si>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</si>
  <si>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</si>
  <si>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</si>
  <si>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</si>
  <si>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</si>
  <si>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</si>
  <si>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</si>
  <si>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</si>
  <si>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</si>
  <si>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</si>
  <si>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</si>
  <si>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</si>
  <si>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</si>
  <si>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</si>
  <si>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</si>
  <si>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</si>
  <si>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</si>
  <si>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</si>
  <si>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</si>
  <si>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</si>
  <si>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</si>
  <si>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</si>
  <si>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</si>
  <si>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</si>
  <si>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</si>
  <si>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</si>
  <si>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</si>
  <si>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</si>
  <si>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</si>
  <si>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</si>
  <si>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</si>
  <si>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</si>
  <si>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</si>
  <si>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</si>
  <si>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</si>
  <si>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</si>
  <si>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</si>
  <si>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</si>
  <si>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</si>
  <si>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</si>
  <si>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</si>
  <si>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</si>
  <si>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</si>
  <si>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</si>
  <si>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</si>
  <si>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</si>
  <si>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</si>
  <si>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</si>
  <si>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</si>
  <si>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</si>
  <si>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</si>
  <si>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</si>
  <si>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</si>
  <si>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</si>
  <si>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</si>
  <si>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</si>
  <si>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</si>
  <si>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</si>
  <si>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</si>
  <si>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</si>
  <si>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</si>
  <si>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</si>
  <si>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</si>
  <si>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</si>
  <si>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</si>
  <si>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</si>
  <si>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</si>
  <si>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</si>
  <si>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</si>
  <si>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</si>
  <si>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</si>
  <si>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</si>
  <si>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</si>
  <si>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</si>
  <si>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</si>
  <si>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</si>
  <si>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</si>
  <si>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</si>
  <si>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</si>
  <si>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</si>
  <si>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</si>
  <si>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</si>
  <si>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</si>
  <si>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</si>
  <si>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</si>
  <si>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</si>
  <si>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</si>
  <si>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</si>
  <si>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</si>
  <si>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</si>
  <si>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</si>
  <si>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</si>
  <si>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</si>
  <si>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</si>
  <si>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</si>
  <si>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</si>
  <si>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</si>
  <si>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</si>
  <si>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</si>
  <si>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</si>
  <si>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</si>
  <si>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</si>
  <si>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</si>
  <si>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</si>
  <si>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</si>
  <si>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</si>
  <si>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</si>
  <si>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</si>
  <si>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</si>
  <si>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</si>
  <si>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</si>
  <si>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</si>
  <si>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</si>
  <si>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</si>
  <si>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</si>
  <si>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</si>
  <si>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</si>
  <si>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</si>
  <si>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</si>
  <si>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</si>
  <si>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</si>
  <si>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</si>
  <si>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</si>
  <si>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</si>
  <si>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</si>
  <si>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</si>
  <si>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</si>
  <si>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</si>
  <si>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</si>
  <si>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</si>
  <si>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</si>
  <si>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</si>
  <si>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</si>
  <si>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</si>
  <si>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</si>
  <si>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</si>
  <si>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</si>
  <si>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</si>
  <si>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</si>
  <si>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</si>
  <si>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</si>
  <si>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</si>
  <si>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</si>
  <si>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</si>
  <si>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</si>
  <si>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</si>
  <si>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</si>
  <si>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</si>
  <si>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</si>
  <si>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</si>
  <si>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</si>
  <si>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</si>
  <si>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</si>
  <si>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</si>
  <si>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</si>
  <si>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</si>
  <si>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</si>
  <si>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</si>
  <si>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</si>
  <si>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</si>
  <si>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</si>
  <si>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</si>
  <si>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</si>
  <si>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</si>
  <si>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</si>
  <si>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</si>
  <si>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</si>
  <si>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</si>
  <si>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</si>
  <si>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</si>
  <si>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</si>
  <si>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</si>
  <si>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</si>
  <si>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</si>
  <si>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</si>
  <si>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</si>
  <si>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</si>
  <si>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</si>
  <si>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</si>
  <si>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</si>
  <si>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</si>
  <si>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</si>
  <si>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</si>
  <si>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</si>
  <si>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</si>
  <si>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</si>
  <si>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</si>
  <si>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</si>
  <si>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</si>
  <si>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</si>
  <si>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</si>
  <si>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</si>
  <si>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</si>
  <si>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</si>
  <si>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</si>
  <si>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</si>
  <si>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</si>
  <si>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</si>
  <si>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</si>
  <si>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</si>
  <si>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</si>
  <si>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</si>
  <si>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</si>
  <si>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</si>
  <si>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</si>
  <si>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</si>
  <si>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</si>
  <si>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</si>
  <si>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</si>
  <si>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</si>
  <si>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</si>
  <si>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</si>
  <si>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</si>
  <si>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</si>
  <si>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</si>
  <si>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</si>
  <si>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</si>
  <si>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</si>
  <si>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</si>
  <si>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</si>
  <si>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</si>
  <si>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</si>
  <si>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</si>
  <si>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</si>
  <si>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</si>
  <si>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</si>
  <si>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</si>
  <si>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</si>
  <si>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</si>
  <si>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</si>
  <si>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</si>
  <si>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</si>
  <si>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</si>
  <si>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</si>
  <si>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</si>
  <si>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</si>
  <si>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</si>
  <si>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</si>
  <si>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</si>
  <si>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</si>
  <si>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</si>
  <si>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</si>
  <si>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</si>
  <si>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</si>
  <si>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</si>
  <si>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</si>
  <si>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</si>
  <si>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</si>
  <si>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</si>
  <si>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</si>
  <si>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</si>
  <si>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</si>
  <si>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</si>
  <si>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</si>
  <si>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</si>
  <si>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</si>
  <si>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</si>
  <si>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</si>
  <si>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</si>
  <si>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</si>
  <si>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</si>
  <si>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</si>
  <si>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</si>
  <si>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</si>
  <si>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</si>
  <si>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</si>
  <si>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</si>
  <si>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</si>
  <si>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</si>
  <si>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</si>
  <si>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</si>
  <si>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</si>
  <si>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</si>
  <si>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</si>
  <si>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泰慕士</t>
  </si>
  <si>
    <t>www.lixinger.com/analytics/company/sz/001234/1234/detail</t>
  </si>
  <si>
    <t>汇绿生态</t>
  </si>
  <si>
    <t>www.lixinger.com/analytics/company/sz/001267/1267/detail</t>
  </si>
  <si>
    <t>运机集团</t>
  </si>
  <si>
    <t>www.lixinger.com/analytics/company/sz/001288/1288/detail</t>
  </si>
  <si>
    <t>长江材料</t>
  </si>
  <si>
    <t>www.lixinger.com/analytics/company/sz/001296/1296/detail</t>
  </si>
  <si>
    <t>粤海饲料</t>
  </si>
  <si>
    <t>www.lixinger.com/analytics/company/sz/001313/1313/detail</t>
  </si>
  <si>
    <t>三羊马</t>
  </si>
  <si>
    <t>www.lixinger.com/analytics/company/sz/001317/1317/detail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</si>
  <si>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</si>
  <si>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</si>
  <si>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</si>
  <si>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</si>
  <si>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</si>
  <si>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</si>
  <si>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</si>
  <si>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</si>
  <si>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</si>
  <si>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</si>
  <si>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</si>
  <si>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</si>
  <si>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</si>
  <si>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</si>
  <si>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</si>
  <si>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</si>
  <si>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</si>
  <si>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</si>
  <si>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</si>
  <si>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</si>
  <si>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</si>
  <si>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</si>
  <si>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</si>
  <si>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</si>
  <si>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</si>
  <si>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</si>
  <si>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</si>
  <si>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</si>
  <si>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</si>
  <si>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</si>
  <si>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</si>
  <si>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</si>
  <si>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</si>
  <si>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</si>
  <si>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</si>
  <si>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</si>
  <si>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</si>
  <si>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</si>
  <si>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</si>
  <si>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</si>
  <si>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</si>
  <si>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</si>
  <si>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</si>
  <si>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</si>
  <si>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</si>
  <si>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</si>
  <si>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</si>
  <si>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</si>
  <si>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</si>
  <si>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</si>
  <si>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</si>
  <si>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</si>
  <si>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</si>
  <si>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</si>
  <si>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</si>
  <si>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</si>
  <si>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</si>
  <si>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</si>
  <si>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</si>
  <si>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</si>
  <si>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</si>
  <si>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</si>
  <si>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</si>
  <si>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</si>
  <si>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</si>
  <si>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</si>
  <si>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</si>
  <si>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</si>
  <si>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</si>
  <si>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</si>
  <si>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</si>
  <si>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</si>
  <si>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</si>
  <si>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</si>
  <si>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</si>
  <si>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</si>
  <si>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</si>
  <si>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</si>
  <si>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</si>
  <si>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</si>
  <si>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</si>
  <si>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</si>
  <si>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</si>
  <si>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</si>
  <si>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</si>
  <si>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</si>
  <si>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</si>
  <si>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</si>
  <si>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</si>
  <si>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</si>
  <si>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</si>
  <si>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</si>
  <si>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</si>
  <si>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</si>
  <si>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</si>
  <si>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</si>
  <si>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</si>
  <si>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</si>
  <si>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</si>
  <si>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</si>
  <si>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</si>
  <si>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</si>
  <si>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</si>
  <si>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</si>
  <si>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</si>
  <si>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</si>
  <si>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</si>
  <si>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</si>
  <si>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</si>
  <si>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</si>
  <si>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</si>
  <si>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</si>
  <si>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</si>
  <si>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</si>
  <si>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</si>
  <si>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</si>
  <si>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</si>
  <si>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</si>
  <si>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</si>
  <si>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</si>
  <si>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</si>
  <si>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</si>
  <si>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</si>
  <si>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</si>
  <si>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</si>
  <si>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</si>
  <si>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</si>
  <si>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</si>
  <si>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</si>
  <si>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</si>
  <si>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</si>
  <si>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</si>
  <si>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</si>
  <si>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</si>
  <si>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</si>
  <si>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</si>
  <si>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</si>
  <si>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</si>
  <si>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</si>
  <si>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</si>
  <si>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</si>
  <si>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</si>
  <si>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</si>
  <si>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</si>
  <si>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</si>
  <si>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</si>
  <si>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</si>
  <si>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</si>
  <si>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</si>
  <si>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</si>
  <si>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</si>
  <si>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</si>
  <si>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</si>
  <si>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</si>
  <si>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</si>
  <si>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</si>
  <si>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</si>
  <si>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</si>
  <si>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</si>
  <si>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</si>
  <si>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</si>
  <si>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</si>
  <si>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</si>
  <si>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</si>
  <si>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</si>
  <si>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</si>
  <si>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</si>
  <si>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</si>
  <si>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</si>
  <si>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</si>
  <si>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</si>
  <si>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</si>
  <si>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</si>
  <si>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</si>
  <si>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</si>
  <si>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</si>
  <si>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</si>
  <si>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</si>
  <si>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</si>
  <si>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</si>
  <si>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</si>
  <si>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</si>
  <si>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</si>
  <si>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</si>
  <si>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</si>
  <si>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</si>
  <si>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</si>
  <si>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</si>
  <si>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</si>
  <si>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</si>
  <si>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</si>
  <si>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</si>
  <si>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</si>
  <si>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</si>
  <si>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</si>
  <si>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</si>
  <si>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</si>
  <si>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</si>
  <si>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</si>
  <si>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</si>
  <si>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</si>
  <si>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</si>
  <si>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</si>
  <si>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</si>
  <si>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</si>
  <si>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</si>
  <si>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</si>
  <si>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</si>
  <si>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</si>
  <si>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</si>
  <si>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</si>
  <si>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</si>
  <si>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</si>
  <si>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</si>
  <si>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</si>
  <si>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</si>
  <si>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</si>
  <si>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</si>
  <si>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</si>
  <si>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</si>
  <si>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</si>
  <si>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</si>
  <si>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</si>
  <si>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</si>
  <si>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</si>
  <si>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</si>
  <si>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</si>
  <si>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</si>
  <si>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</si>
  <si>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</si>
  <si>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</si>
  <si>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</si>
  <si>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</si>
  <si>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</si>
  <si>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</si>
  <si>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</si>
  <si>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</si>
  <si>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</si>
  <si>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</si>
  <si>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</si>
  <si>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</si>
  <si>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</si>
  <si>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</si>
  <si>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</si>
  <si>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</si>
  <si>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</si>
  <si>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</si>
  <si>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</si>
  <si>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</si>
  <si>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</si>
  <si>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</si>
  <si>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</si>
  <si>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</si>
  <si>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</si>
  <si>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</si>
  <si>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</si>
  <si>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</si>
  <si>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</si>
  <si>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</si>
  <si>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</si>
  <si>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</si>
  <si>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</si>
  <si>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</si>
  <si>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</si>
  <si>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</si>
  <si>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</si>
  <si>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</si>
  <si>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</si>
  <si>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</si>
  <si>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</si>
  <si>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</si>
  <si>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</si>
  <si>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</si>
  <si>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</si>
  <si>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</si>
  <si>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</si>
  <si>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</si>
  <si>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</si>
  <si>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</si>
  <si>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</si>
  <si>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</si>
  <si>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</si>
  <si>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</si>
  <si>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</si>
  <si>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</si>
  <si>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</si>
  <si>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</si>
  <si>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</si>
  <si>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</si>
  <si>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</si>
  <si>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</si>
  <si>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</si>
  <si>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</si>
  <si>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</si>
  <si>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</si>
  <si>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</si>
  <si>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</si>
  <si>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</si>
  <si>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</si>
  <si>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</si>
  <si>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</si>
  <si>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</si>
  <si>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</si>
  <si>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</si>
  <si>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</si>
  <si>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</si>
  <si>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</si>
  <si>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</si>
  <si>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</si>
  <si>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</si>
  <si>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</si>
  <si>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</si>
  <si>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</si>
  <si>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</si>
  <si>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</si>
  <si>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</si>
  <si>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</si>
  <si>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</si>
  <si>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</si>
  <si>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</si>
  <si>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</si>
  <si>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</si>
  <si>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</si>
  <si>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</si>
  <si>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</si>
  <si>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</si>
  <si>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</si>
  <si>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</si>
  <si>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</si>
  <si>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</si>
  <si>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</si>
  <si>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</si>
  <si>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</si>
  <si>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</si>
  <si>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</si>
  <si>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</si>
  <si>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</si>
  <si>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</si>
  <si>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</si>
  <si>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</si>
  <si>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</si>
  <si>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</si>
  <si>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</si>
  <si>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</si>
  <si>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</si>
  <si>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</si>
  <si>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</si>
  <si>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</si>
  <si>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</si>
  <si>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</si>
  <si>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</si>
  <si>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</si>
  <si>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</si>
  <si>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</si>
  <si>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</si>
  <si>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</si>
  <si>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</si>
  <si>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</si>
  <si>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</si>
  <si>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</si>
  <si>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</si>
  <si>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</si>
  <si>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</si>
  <si>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</si>
  <si>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</si>
  <si>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</si>
  <si>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</si>
  <si>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</si>
  <si>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</si>
  <si>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</si>
  <si>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</si>
  <si>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</si>
  <si>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</si>
  <si>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</si>
  <si>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</si>
  <si>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</si>
  <si>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</si>
  <si>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</si>
  <si>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</si>
  <si>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</si>
  <si>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</si>
  <si>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</si>
  <si>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</si>
  <si>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</si>
  <si>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</si>
  <si>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</si>
  <si>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</si>
  <si>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</si>
  <si>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</si>
  <si>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</si>
  <si>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</si>
  <si>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</si>
  <si>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</si>
  <si>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</si>
  <si>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</si>
  <si>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</si>
  <si>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</si>
  <si>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</si>
  <si>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</si>
  <si>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</si>
  <si>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</si>
  <si>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</si>
  <si>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</si>
  <si>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</si>
  <si>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</si>
  <si>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</si>
  <si>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</si>
  <si>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</si>
  <si>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</si>
  <si>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</si>
  <si>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</si>
  <si>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</si>
  <si>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</si>
  <si>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</si>
  <si>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</si>
  <si>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</si>
  <si>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</si>
  <si>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</si>
  <si>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</si>
  <si>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</si>
  <si>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</si>
  <si>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</si>
  <si>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</si>
  <si>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</si>
  <si>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</si>
  <si>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</si>
  <si>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</si>
  <si>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</si>
  <si>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</si>
  <si>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</si>
  <si>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</si>
  <si>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</si>
  <si>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</si>
  <si>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</si>
  <si>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</si>
  <si>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</si>
  <si>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</si>
  <si>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</si>
  <si>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</si>
  <si>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</si>
  <si>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</si>
  <si>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</si>
  <si>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</si>
  <si>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</si>
  <si>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</si>
  <si>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</si>
  <si>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</si>
  <si>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</si>
  <si>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</si>
  <si>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</si>
  <si>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</si>
  <si>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</si>
  <si>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</si>
  <si>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</si>
  <si>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</si>
  <si>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</si>
  <si>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</si>
  <si>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</si>
  <si>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</si>
  <si>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</si>
  <si>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</si>
  <si>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</si>
  <si>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</si>
  <si>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</si>
  <si>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</si>
  <si>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</si>
  <si>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</si>
  <si>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</si>
  <si>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</si>
  <si>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</si>
  <si>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</si>
  <si>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</si>
  <si>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</si>
  <si>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</si>
  <si>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</si>
  <si>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</si>
  <si>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</si>
  <si>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</si>
  <si>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</si>
  <si>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</si>
  <si>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</si>
  <si>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</si>
  <si>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</si>
  <si>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</si>
  <si>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</si>
  <si>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</si>
  <si>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</si>
  <si>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</si>
  <si>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</si>
  <si>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</si>
  <si>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</si>
  <si>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</si>
  <si>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</si>
  <si>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</si>
  <si>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</si>
  <si>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</si>
  <si>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</si>
  <si>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</si>
  <si>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</si>
  <si>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</si>
  <si>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</si>
  <si>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</si>
  <si>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</si>
  <si>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</si>
  <si>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</si>
  <si>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</si>
  <si>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</si>
  <si>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</si>
  <si>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</si>
  <si>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</si>
  <si>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</si>
  <si>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</si>
  <si>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</si>
  <si>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</si>
  <si>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</si>
  <si>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</si>
  <si>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</si>
  <si>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</si>
  <si>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</si>
  <si>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</si>
  <si>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</si>
  <si>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</si>
  <si>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</si>
  <si>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</si>
  <si>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</si>
  <si>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</si>
  <si>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</si>
  <si>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</si>
  <si>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</si>
  <si>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</si>
  <si>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</si>
  <si>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</si>
  <si>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</si>
  <si>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</si>
  <si>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</si>
  <si>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</si>
  <si>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</si>
  <si>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</si>
  <si>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</si>
  <si>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</si>
  <si>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</si>
  <si>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</si>
  <si>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</si>
  <si>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</si>
  <si>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</si>
  <si>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</si>
  <si>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</si>
  <si>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</si>
  <si>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</si>
  <si>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</si>
  <si>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</si>
  <si>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</si>
  <si>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</si>
  <si>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</si>
  <si>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</si>
  <si>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</si>
  <si>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</si>
  <si>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</si>
  <si>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</si>
  <si>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</si>
  <si>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</si>
  <si>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</si>
  <si>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</si>
  <si>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</si>
  <si>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</si>
  <si>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</si>
  <si>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</si>
  <si>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</si>
  <si>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</si>
  <si>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</si>
  <si>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</si>
  <si>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</si>
  <si>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</si>
  <si>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</si>
  <si>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</si>
  <si>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</si>
  <si>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</si>
  <si>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</si>
  <si>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</si>
  <si>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</si>
  <si>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</si>
  <si>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</si>
  <si>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</si>
  <si>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</si>
  <si>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</si>
  <si>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</si>
  <si>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</si>
  <si>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</si>
  <si>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</si>
  <si>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</si>
  <si>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</si>
  <si>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</si>
  <si>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</si>
  <si>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</si>
  <si>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</si>
  <si>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</si>
  <si>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</si>
  <si>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</si>
  <si>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</si>
  <si>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</si>
  <si>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</si>
  <si>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</si>
  <si>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</si>
  <si>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</si>
  <si>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</si>
  <si>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</si>
  <si>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</si>
  <si>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</si>
  <si>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</si>
  <si>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</si>
  <si>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</si>
  <si>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</si>
  <si>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</si>
  <si>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</si>
  <si>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</si>
  <si>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</si>
  <si>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</si>
  <si>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</si>
  <si>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</si>
  <si>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</si>
  <si>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</si>
  <si>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</si>
  <si>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</si>
  <si>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</si>
  <si>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</si>
  <si>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</si>
  <si>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</si>
  <si>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</si>
  <si>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</si>
  <si>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</si>
  <si>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</si>
  <si>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</si>
  <si>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</si>
  <si>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</si>
  <si>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</si>
  <si>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</si>
  <si>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</si>
  <si>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</si>
  <si>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</si>
  <si>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</si>
  <si>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</si>
  <si>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</si>
  <si>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</si>
  <si>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</si>
  <si>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</si>
  <si>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</si>
  <si>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</si>
  <si>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</si>
  <si>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</si>
  <si>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</si>
  <si>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</si>
  <si>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</si>
  <si>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</si>
  <si>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</si>
  <si>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</si>
  <si>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</si>
  <si>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</si>
  <si>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</si>
  <si>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</si>
  <si>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</si>
  <si>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</si>
  <si>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</si>
  <si>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</si>
  <si>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</si>
  <si>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</si>
  <si>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</si>
  <si>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</si>
  <si>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</si>
  <si>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</si>
  <si>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</si>
  <si>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</si>
  <si>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</si>
  <si>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</si>
  <si>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</si>
  <si>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</si>
  <si>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</si>
  <si>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</si>
  <si>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</si>
  <si>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</si>
  <si>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</si>
  <si>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</si>
  <si>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</si>
  <si>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</si>
  <si>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</si>
  <si>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</si>
  <si>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</si>
  <si>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</si>
  <si>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</si>
  <si>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</si>
  <si>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</si>
  <si>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</si>
  <si>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</si>
  <si>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</si>
  <si>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</si>
  <si>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</si>
  <si>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</si>
  <si>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</si>
  <si>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</si>
  <si>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</si>
  <si>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</si>
  <si>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</si>
  <si>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</si>
  <si>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</si>
  <si>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</si>
  <si>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</si>
  <si>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</si>
  <si>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</si>
  <si>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</si>
  <si>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</si>
  <si>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</si>
  <si>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</si>
  <si>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</si>
  <si>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</si>
  <si>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</si>
  <si>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</si>
  <si>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</si>
  <si>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</si>
  <si>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</si>
  <si>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</si>
  <si>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</si>
  <si>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</si>
  <si>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</si>
  <si>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</si>
  <si>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</si>
  <si>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</si>
  <si>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</si>
  <si>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</si>
  <si>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</si>
  <si>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</si>
  <si>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</si>
  <si>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</si>
  <si>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</si>
  <si>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</si>
  <si>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</si>
  <si>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</si>
  <si>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</si>
  <si>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</si>
  <si>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</si>
  <si>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</si>
  <si>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</si>
  <si>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</si>
  <si>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</si>
  <si>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</si>
  <si>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</si>
  <si>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</si>
  <si>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</si>
  <si>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</si>
  <si>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</si>
  <si>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</si>
  <si>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</si>
  <si>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</si>
  <si>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</si>
  <si>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</si>
  <si>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</si>
  <si>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</si>
  <si>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</si>
  <si>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</si>
  <si>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</si>
  <si>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</si>
  <si>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</si>
  <si>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</si>
  <si>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</si>
  <si>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</si>
  <si>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</si>
  <si>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</si>
  <si>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</si>
  <si>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</si>
  <si>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</si>
  <si>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</si>
  <si>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</si>
  <si>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</si>
  <si>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</si>
  <si>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</si>
  <si>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</si>
  <si>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</si>
  <si>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</si>
  <si>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</si>
  <si>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</si>
  <si>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</si>
  <si>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</si>
  <si>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</si>
  <si>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</si>
  <si>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</si>
  <si>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</si>
  <si>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</si>
  <si>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</si>
  <si>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</si>
  <si>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</si>
  <si>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</si>
  <si>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</si>
  <si>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</si>
  <si>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</si>
  <si>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</si>
  <si>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</si>
  <si>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</si>
  <si>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</si>
  <si>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</si>
  <si>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</si>
  <si>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</si>
  <si>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</si>
  <si>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</si>
  <si>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</si>
  <si>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</si>
  <si>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</si>
  <si>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</si>
  <si>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</si>
  <si>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</si>
  <si>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</si>
  <si>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</si>
  <si>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</si>
  <si>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</si>
  <si>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</si>
  <si>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</si>
  <si>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</si>
  <si>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</si>
  <si>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</si>
  <si>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</si>
  <si>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</si>
  <si>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</si>
  <si>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</si>
  <si>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</si>
  <si>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</si>
  <si>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</si>
  <si>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</si>
  <si>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</si>
  <si>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</si>
  <si>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</si>
  <si>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</si>
  <si>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</si>
  <si>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</si>
  <si>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</si>
  <si>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</si>
  <si>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</si>
  <si>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</si>
  <si>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</si>
  <si>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</si>
  <si>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</si>
  <si>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</si>
  <si>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</si>
  <si>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</si>
  <si>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</si>
  <si>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</si>
  <si>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</si>
  <si>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</si>
  <si>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</si>
  <si>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</si>
  <si>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</si>
  <si>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</si>
  <si>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</si>
  <si>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</si>
  <si>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</si>
  <si>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</si>
  <si>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</si>
  <si>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</si>
  <si>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</si>
  <si>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</si>
  <si>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</si>
  <si>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</si>
  <si>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</si>
  <si>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</si>
  <si>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</si>
  <si>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</si>
  <si>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</si>
  <si>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</si>
  <si>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</si>
  <si>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</si>
  <si>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</si>
  <si>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</si>
  <si>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</si>
  <si>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</si>
  <si>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</si>
  <si>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</si>
  <si>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</si>
  <si>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</si>
  <si>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</si>
  <si>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</si>
  <si>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</si>
  <si>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</si>
  <si>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</si>
  <si>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</si>
  <si>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</si>
  <si>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</si>
  <si>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</si>
  <si>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</si>
  <si>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</si>
  <si>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</si>
  <si>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</si>
  <si>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</si>
  <si>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</si>
  <si>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</si>
  <si>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</si>
  <si>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</si>
  <si>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</si>
  <si>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</si>
  <si>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</si>
  <si>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</si>
  <si>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</si>
  <si>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</si>
  <si>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</si>
  <si>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</si>
  <si>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</si>
  <si>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</si>
  <si>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</si>
  <si>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</si>
  <si>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</si>
  <si>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</si>
  <si>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</si>
  <si>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</si>
  <si>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</si>
  <si>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</si>
  <si>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</si>
  <si>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</si>
  <si>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</si>
  <si>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</si>
  <si>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</si>
  <si>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</si>
  <si>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</si>
  <si>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</si>
  <si>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</si>
  <si>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</si>
  <si>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</si>
  <si>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</si>
  <si>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</si>
  <si>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</si>
  <si>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</si>
  <si>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</si>
  <si>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</si>
  <si>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</si>
  <si>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</si>
  <si>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</si>
  <si>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</si>
  <si>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</si>
  <si>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</si>
  <si>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</si>
  <si>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</si>
  <si>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</si>
  <si>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</si>
  <si>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</si>
  <si>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</si>
  <si>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</si>
  <si>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</si>
  <si>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</si>
  <si>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</si>
  <si>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</si>
  <si>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</si>
  <si>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</si>
  <si>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</si>
  <si>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</si>
  <si>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</si>
  <si>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</si>
  <si>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</si>
  <si>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</si>
  <si>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</si>
  <si>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</si>
  <si>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</si>
  <si>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</si>
  <si>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</si>
  <si>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</si>
  <si>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</si>
  <si>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</si>
  <si>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</si>
  <si>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</si>
  <si>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</si>
  <si>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</si>
  <si>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</si>
  <si>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</si>
  <si>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</si>
  <si>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</si>
  <si>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</si>
  <si>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</si>
  <si>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</si>
  <si>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</si>
  <si>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</si>
  <si>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</si>
  <si>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</si>
  <si>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</si>
  <si>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</si>
  <si>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</si>
  <si>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</si>
  <si>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</si>
  <si>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</si>
  <si>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</si>
  <si>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</si>
  <si>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</si>
  <si>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</si>
  <si>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</si>
  <si>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</si>
  <si>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</si>
  <si>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</si>
  <si>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</si>
  <si>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</si>
  <si>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</si>
  <si>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</si>
  <si>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</si>
  <si>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</si>
  <si>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</si>
  <si>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</si>
  <si>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</si>
  <si>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</si>
  <si>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</si>
  <si>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</si>
  <si>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</si>
  <si>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</si>
  <si>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</si>
  <si>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</si>
  <si>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</si>
  <si>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</si>
  <si>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</si>
  <si>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</si>
  <si>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</si>
  <si>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</si>
  <si>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</si>
  <si>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</si>
  <si>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</si>
  <si>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</si>
  <si>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</si>
  <si>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</si>
  <si>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</si>
  <si>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</si>
  <si>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</si>
  <si>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</si>
  <si>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</si>
  <si>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</si>
  <si>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</si>
  <si>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</si>
  <si>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</si>
  <si>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</si>
  <si>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</si>
  <si>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</si>
  <si>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</si>
  <si>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</si>
  <si>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</si>
  <si>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</si>
  <si>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</si>
  <si>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</si>
  <si>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</si>
  <si>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</si>
  <si>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</si>
  <si>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</si>
  <si>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</si>
  <si>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</si>
  <si>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</si>
  <si>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</si>
  <si>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</si>
  <si>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</si>
  <si>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</si>
  <si>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</si>
  <si>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</si>
  <si>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</si>
  <si>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</si>
  <si>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</si>
  <si>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</si>
  <si>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</si>
  <si>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</si>
  <si>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</si>
  <si>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</si>
  <si>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</si>
  <si>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</si>
  <si>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</si>
  <si>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</si>
  <si>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</si>
  <si>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</si>
  <si>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</si>
  <si>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</si>
  <si>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</si>
  <si>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</si>
  <si>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</si>
  <si>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</si>
  <si>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</si>
  <si>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</si>
  <si>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</si>
  <si>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</si>
  <si>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</si>
  <si>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</si>
  <si>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</si>
  <si>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</si>
  <si>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</si>
  <si>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</si>
  <si>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</si>
  <si>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</si>
  <si>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</si>
  <si>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</si>
  <si>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</si>
  <si>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</si>
  <si>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</si>
  <si>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</si>
  <si>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</si>
  <si>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</si>
  <si>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</si>
  <si>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</si>
  <si>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</si>
  <si>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</si>
  <si>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</si>
  <si>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</si>
  <si>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</si>
  <si>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</si>
  <si>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</si>
  <si>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</si>
  <si>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</si>
  <si>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</si>
  <si>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</si>
  <si>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</si>
  <si>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</si>
  <si>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</si>
  <si>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</si>
  <si>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</si>
  <si>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</si>
  <si>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</si>
  <si>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</si>
  <si>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</si>
  <si>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</si>
  <si>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</si>
  <si>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</si>
  <si>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</si>
  <si>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</si>
  <si>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</si>
  <si>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</si>
  <si>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</si>
  <si>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</si>
  <si>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</si>
  <si>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</si>
  <si>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</si>
  <si>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</si>
  <si>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</si>
  <si>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</si>
  <si>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</si>
  <si>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</si>
  <si>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</si>
  <si>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</si>
  <si>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</si>
  <si>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</si>
  <si>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</si>
  <si>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</si>
  <si>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</si>
  <si>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</si>
  <si>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</si>
  <si>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</si>
  <si>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</si>
  <si>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</si>
  <si>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</si>
  <si>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</si>
  <si>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</si>
  <si>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</si>
  <si>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</si>
  <si>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</si>
  <si>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</si>
  <si>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</si>
  <si>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</si>
  <si>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</si>
  <si>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</si>
  <si>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</si>
  <si>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</si>
  <si>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</si>
  <si>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</si>
  <si>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</si>
  <si>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</si>
  <si>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</si>
  <si>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</si>
  <si>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</si>
  <si>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</si>
  <si>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</si>
  <si>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</si>
  <si>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</si>
  <si>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</si>
  <si>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</si>
  <si>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</si>
  <si>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</si>
  <si>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</si>
  <si>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</si>
  <si>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</si>
  <si>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</si>
  <si>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</si>
  <si>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</si>
  <si>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</si>
  <si>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</si>
  <si>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</si>
  <si>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</si>
  <si>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</si>
  <si>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</si>
  <si>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</si>
  <si>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</si>
  <si>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</si>
  <si>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</si>
  <si>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</si>
  <si>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</si>
  <si>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</si>
  <si>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</si>
  <si>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</si>
  <si>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</si>
  <si>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</si>
  <si>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</si>
  <si>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</si>
  <si>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</si>
  <si>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</si>
  <si>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</si>
  <si>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</si>
  <si>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</si>
  <si>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</si>
  <si>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</si>
  <si>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</si>
  <si>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</si>
  <si>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</si>
  <si>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</si>
  <si>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</si>
  <si>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</si>
  <si>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</si>
  <si>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</si>
  <si>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</si>
  <si>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</si>
  <si>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</si>
  <si>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</si>
  <si>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</si>
  <si>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</si>
  <si>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</si>
  <si>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</si>
  <si>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</si>
  <si>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</si>
  <si>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</si>
  <si>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</si>
  <si>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</si>
  <si>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</si>
  <si>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</si>
  <si>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</si>
  <si>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</si>
  <si>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</si>
  <si>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</si>
  <si>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</si>
  <si>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</si>
  <si>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</si>
  <si>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</si>
  <si>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</si>
  <si>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</si>
  <si>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</si>
  <si>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</si>
  <si>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</si>
  <si>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</si>
  <si>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</si>
  <si>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</si>
  <si>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</si>
  <si>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</si>
  <si>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</si>
  <si>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</si>
  <si>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</si>
  <si>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</si>
  <si>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</si>
  <si>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</si>
  <si>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</si>
  <si>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</si>
  <si>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</si>
  <si>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</si>
  <si>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</si>
  <si>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</si>
  <si>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</si>
  <si>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</si>
  <si>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</si>
  <si>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</si>
  <si>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</si>
  <si>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</si>
  <si>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</si>
  <si>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</si>
  <si>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</si>
  <si>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</si>
  <si>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</si>
  <si>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</si>
  <si>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</si>
  <si>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</si>
  <si>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</si>
  <si>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</si>
  <si>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</si>
  <si>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</si>
  <si>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</si>
  <si>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</si>
  <si>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</si>
  <si>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</si>
  <si>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</si>
  <si>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</si>
  <si>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</si>
  <si>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</si>
  <si>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</si>
  <si>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</si>
  <si>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</si>
  <si>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</si>
  <si>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</si>
  <si>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</si>
  <si>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</si>
  <si>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</si>
  <si>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</si>
  <si>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</si>
  <si>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</si>
  <si>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</si>
  <si>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</si>
  <si>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</si>
  <si>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</si>
  <si>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</si>
  <si>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</si>
  <si>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</si>
  <si>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</si>
  <si>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</si>
  <si>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</si>
  <si>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</si>
  <si>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</si>
  <si>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</si>
  <si>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</si>
  <si>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</si>
  <si>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</si>
  <si>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</si>
  <si>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</si>
  <si>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</si>
  <si>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</si>
  <si>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</si>
  <si>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</si>
  <si>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</si>
  <si>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</si>
  <si>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</si>
  <si>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</si>
  <si>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</si>
  <si>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</si>
  <si>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</si>
  <si>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</si>
  <si>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</si>
  <si>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</si>
  <si>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</si>
  <si>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</si>
  <si>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</si>
  <si>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</si>
  <si>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</si>
  <si>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</si>
  <si>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</si>
  <si>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</si>
  <si>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</si>
  <si>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</si>
  <si>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</si>
  <si>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</si>
  <si>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</si>
  <si>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</si>
  <si>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</si>
  <si>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</si>
  <si>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</si>
  <si>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</si>
  <si>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</si>
  <si>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</si>
  <si>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</si>
  <si>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</si>
  <si>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</si>
  <si>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</si>
  <si>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</si>
  <si>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</si>
  <si>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</si>
  <si>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</si>
  <si>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</si>
  <si>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</si>
  <si>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</si>
  <si>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</si>
  <si>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</si>
  <si>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</si>
  <si>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</si>
  <si>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</si>
  <si>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</si>
  <si>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</si>
  <si>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</si>
  <si>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</si>
  <si>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</si>
  <si>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</si>
  <si>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</si>
  <si>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</si>
  <si>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</si>
  <si>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</si>
  <si>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</si>
  <si>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</si>
  <si>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</si>
  <si>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</si>
  <si>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</si>
  <si>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</si>
  <si>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</si>
  <si>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</si>
  <si>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</si>
  <si>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</si>
  <si>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</si>
  <si>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</si>
  <si>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</si>
  <si>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</si>
  <si>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</si>
  <si>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</si>
  <si>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</si>
  <si>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</si>
  <si>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</si>
  <si>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</si>
  <si>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</si>
  <si>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</si>
  <si>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</si>
  <si>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</si>
  <si>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</si>
  <si>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</si>
  <si>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</si>
  <si>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</si>
  <si>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</si>
  <si>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</si>
  <si>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</si>
  <si>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</si>
  <si>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</si>
  <si>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</si>
  <si>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</si>
  <si>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</si>
  <si>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</si>
  <si>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</si>
  <si>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</si>
  <si>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</si>
  <si>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</si>
  <si>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</si>
  <si>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</si>
  <si>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</si>
  <si>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</si>
  <si>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</si>
  <si>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</si>
  <si>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</si>
  <si>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</si>
  <si>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</si>
  <si>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</si>
  <si>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</si>
  <si>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</si>
  <si>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</si>
  <si>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</si>
  <si>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</si>
  <si>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</si>
  <si>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</si>
  <si>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</si>
  <si>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</si>
  <si>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</si>
  <si>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</si>
  <si>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</si>
  <si>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</si>
  <si>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</si>
  <si>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</si>
  <si>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</si>
  <si>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</si>
  <si>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</si>
  <si>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</si>
  <si>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</si>
  <si>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</si>
  <si>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</si>
  <si>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</si>
  <si>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</si>
  <si>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</si>
  <si>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</si>
  <si>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</si>
  <si>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</si>
  <si>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</si>
  <si>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</si>
  <si>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</si>
  <si>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</si>
  <si>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</si>
  <si>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</si>
  <si>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</si>
  <si>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</si>
  <si>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</si>
  <si>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</si>
  <si>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</si>
  <si>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</si>
  <si>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</si>
  <si>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</si>
  <si>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</si>
  <si>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</si>
  <si>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</si>
  <si>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</si>
  <si>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</si>
  <si>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</si>
  <si>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</si>
  <si>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</si>
  <si>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</si>
  <si>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</si>
  <si>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</si>
  <si>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</si>
  <si>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</si>
  <si>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</si>
  <si>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</si>
  <si>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</si>
  <si>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</si>
  <si>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</si>
  <si>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</si>
  <si>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</si>
  <si>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</si>
  <si>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</si>
  <si>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</si>
  <si>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</si>
  <si>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</si>
  <si>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</si>
  <si>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</si>
  <si>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</si>
  <si>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</si>
  <si>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</si>
  <si>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</si>
  <si>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</si>
  <si>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</si>
  <si>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</si>
  <si>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</si>
  <si>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</si>
  <si>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</si>
  <si>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</si>
  <si>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</si>
  <si>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</si>
  <si>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</si>
  <si>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</si>
  <si>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</si>
  <si>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</si>
  <si>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</si>
  <si>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</si>
  <si>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</si>
  <si>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</si>
  <si>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</si>
  <si>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</si>
  <si>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</si>
  <si>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</si>
  <si>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</si>
  <si>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</si>
  <si>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</si>
  <si>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</si>
  <si>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</si>
  <si>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</si>
  <si>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</si>
  <si>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</si>
  <si>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</si>
  <si>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</si>
  <si>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</si>
  <si>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</si>
  <si>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</si>
  <si>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</si>
  <si>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</si>
  <si>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</si>
  <si>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</si>
  <si>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</si>
  <si>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</si>
  <si>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</si>
  <si>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</si>
  <si>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</si>
  <si>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</si>
  <si>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</si>
  <si>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</si>
  <si>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</si>
  <si>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</si>
  <si>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</si>
  <si>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</si>
  <si>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</si>
  <si>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</si>
  <si>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</si>
  <si>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</si>
  <si>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</si>
  <si>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</si>
  <si>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</si>
  <si>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</si>
  <si>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</si>
  <si>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</si>
  <si>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</si>
  <si>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</si>
  <si>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</si>
  <si>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</si>
  <si>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</si>
  <si>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</si>
  <si>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</si>
  <si>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</si>
  <si>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</si>
  <si>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</si>
  <si>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</si>
  <si>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</si>
  <si>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</si>
  <si>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</si>
  <si>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</si>
  <si>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</si>
  <si>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</si>
  <si>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</si>
  <si>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</si>
  <si>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</si>
  <si>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</si>
  <si>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</si>
  <si>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</si>
  <si>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</si>
  <si>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</si>
  <si>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</si>
  <si>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</si>
  <si>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</si>
  <si>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</si>
  <si>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</si>
  <si>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</si>
  <si>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</si>
  <si>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</si>
  <si>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</si>
  <si>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</si>
  <si>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</si>
  <si>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</si>
  <si>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</si>
  <si>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</si>
  <si>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</si>
  <si>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</si>
  <si>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</si>
  <si>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</si>
  <si>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</si>
  <si>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</si>
  <si>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</si>
  <si>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</si>
  <si>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</si>
  <si>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</si>
  <si>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</si>
  <si>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</si>
  <si>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</si>
  <si>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</si>
  <si>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</si>
  <si>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</si>
  <si>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</si>
  <si>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</si>
  <si>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</si>
  <si>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</si>
  <si>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</si>
  <si>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</si>
  <si>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</si>
  <si>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</si>
  <si>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</si>
  <si>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</si>
  <si>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</si>
  <si>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</si>
  <si>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</si>
  <si>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</si>
  <si>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</si>
  <si>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</si>
  <si>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</si>
  <si>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</si>
  <si>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</si>
  <si>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</si>
  <si>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</si>
  <si>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</si>
  <si>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</si>
  <si>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</si>
  <si>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</si>
  <si>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</si>
  <si>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</si>
  <si>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</si>
  <si>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</si>
  <si>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</si>
  <si>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</si>
  <si>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</si>
  <si>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</si>
  <si>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</si>
  <si>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</si>
  <si>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</si>
  <si>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</si>
  <si>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</si>
  <si>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</si>
  <si>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</si>
  <si>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</si>
  <si>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</si>
  <si>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</si>
  <si>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</si>
  <si>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</si>
  <si>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</si>
  <si>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</si>
  <si>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</si>
  <si>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</si>
  <si>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</si>
  <si>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</si>
  <si>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</si>
  <si>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</si>
  <si>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</si>
  <si>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</si>
  <si>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</si>
  <si>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</si>
  <si>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</si>
  <si>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</si>
  <si>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</si>
  <si>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</si>
  <si>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</si>
  <si>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</si>
  <si>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</si>
  <si>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</si>
  <si>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</si>
  <si>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</si>
  <si>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</si>
  <si>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</si>
  <si>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</si>
  <si>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</si>
  <si>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</si>
  <si>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</si>
  <si>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</si>
  <si>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</si>
  <si>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</si>
  <si>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</si>
  <si>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</si>
  <si>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</si>
  <si>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</si>
  <si>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</si>
  <si>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</si>
  <si>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</si>
  <si>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</si>
  <si>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</si>
  <si>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</si>
  <si>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</si>
  <si>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</si>
  <si>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</si>
  <si>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</si>
  <si>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</si>
  <si>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</si>
  <si>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</si>
  <si>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</si>
  <si>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</si>
  <si>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</si>
  <si>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</si>
  <si>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</si>
  <si>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</si>
  <si>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</si>
  <si>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</si>
  <si>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</si>
  <si>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</si>
  <si>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</si>
  <si>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</si>
  <si>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</si>
  <si>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</si>
  <si>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</si>
  <si>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</si>
  <si>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</si>
  <si>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</si>
  <si>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</si>
  <si>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</si>
  <si>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</si>
  <si>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</si>
  <si>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</si>
  <si>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</si>
  <si>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</si>
  <si>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</si>
  <si>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</si>
  <si>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</si>
  <si>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</si>
  <si>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</si>
  <si>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</si>
  <si>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</si>
  <si>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</si>
  <si>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</si>
  <si>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</si>
  <si>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</si>
  <si>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</si>
  <si>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</si>
  <si>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</si>
  <si>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</si>
  <si>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</si>
  <si>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</si>
  <si>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</si>
  <si>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</si>
  <si>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</si>
  <si>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</si>
  <si>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</si>
  <si>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</si>
  <si>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</si>
  <si>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</si>
  <si>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</si>
  <si>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</si>
  <si>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</si>
  <si>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</si>
  <si>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</si>
  <si>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</si>
  <si>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</si>
  <si>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</si>
  <si>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</si>
  <si>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</si>
  <si>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</si>
  <si>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</si>
  <si>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</si>
  <si>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</si>
  <si>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</si>
  <si>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</si>
  <si>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</si>
  <si>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</si>
  <si>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</si>
  <si>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</si>
  <si>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</si>
  <si>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</si>
  <si>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</si>
  <si>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</si>
  <si>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</si>
  <si>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</si>
  <si>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</si>
  <si>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</si>
  <si>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</si>
  <si>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</si>
  <si>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</si>
  <si>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</si>
  <si>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</si>
  <si>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</si>
  <si>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</si>
  <si>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</si>
  <si>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</si>
  <si>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</si>
  <si>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</si>
  <si>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</si>
  <si>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</si>
  <si>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</si>
  <si>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</si>
  <si>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</si>
  <si>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</si>
  <si>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</si>
  <si>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</si>
  <si>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</si>
  <si>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</si>
  <si>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</si>
  <si>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</si>
  <si>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</si>
  <si>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</si>
  <si>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</si>
  <si>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</si>
  <si>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</si>
  <si>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</si>
  <si>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</si>
  <si>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</si>
  <si>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</si>
  <si>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</si>
  <si>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</si>
  <si>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</si>
  <si>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</si>
  <si>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</si>
  <si>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</si>
  <si>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</si>
  <si>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</si>
  <si>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</si>
  <si>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</si>
  <si>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</si>
  <si>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</si>
  <si>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</si>
  <si>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</si>
  <si>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</si>
  <si>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</si>
  <si>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</si>
  <si>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</si>
  <si>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</si>
  <si>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</si>
  <si>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</si>
  <si>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</si>
  <si>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</si>
  <si>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</si>
  <si>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</si>
  <si>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</si>
  <si>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</si>
  <si>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</si>
  <si>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</si>
  <si>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</si>
  <si>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</si>
  <si>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</si>
  <si>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</si>
  <si>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</si>
  <si>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</si>
  <si>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</si>
  <si>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</si>
  <si>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</si>
  <si>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</si>
  <si>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</si>
  <si>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</si>
  <si>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</si>
  <si>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</si>
  <si>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</si>
  <si>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</si>
  <si>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</si>
  <si>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</si>
  <si>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</si>
  <si>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</si>
  <si>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</si>
  <si>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</si>
  <si>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</si>
  <si>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</si>
  <si>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</si>
  <si>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</si>
  <si>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</si>
  <si>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</si>
  <si>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</si>
  <si>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</si>
  <si>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</si>
  <si>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</si>
  <si>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</si>
  <si>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</si>
  <si>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</si>
  <si>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</si>
  <si>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</si>
  <si>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</si>
  <si>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</si>
  <si>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</si>
  <si>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</si>
  <si>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</si>
  <si>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</si>
  <si>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</si>
  <si>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</si>
  <si>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</si>
  <si>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</si>
  <si>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</si>
  <si>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</si>
  <si>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</si>
  <si>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</si>
  <si>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</si>
  <si>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</si>
  <si>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</si>
  <si>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</si>
  <si>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</si>
  <si>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</si>
  <si>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</si>
  <si>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</si>
  <si>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</si>
  <si>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</si>
  <si>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</si>
  <si>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</si>
  <si>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</si>
  <si>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</si>
  <si>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</si>
  <si>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</si>
  <si>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</si>
  <si>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</si>
  <si>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</si>
  <si>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</si>
  <si>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</si>
  <si>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</si>
  <si>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</si>
  <si>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</si>
  <si>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</si>
  <si>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</si>
  <si>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</si>
  <si>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</si>
  <si>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</si>
  <si>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</si>
  <si>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</si>
  <si>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</si>
  <si>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</si>
  <si>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</si>
  <si>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</si>
  <si>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</si>
  <si>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</si>
  <si>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</si>
  <si>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</si>
  <si>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</si>
  <si>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</si>
  <si>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</si>
  <si>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</si>
  <si>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</si>
  <si>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</si>
  <si>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</si>
  <si>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</si>
  <si>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</si>
  <si>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</si>
  <si>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</si>
  <si>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</si>
  <si>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</si>
  <si>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</si>
  <si>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</si>
  <si>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</si>
  <si>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</si>
  <si>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</si>
  <si>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</si>
  <si>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</si>
  <si>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</si>
  <si>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</si>
  <si>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</si>
  <si>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</si>
  <si>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</si>
  <si>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</si>
  <si>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</si>
  <si>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</si>
  <si>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</si>
  <si>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</si>
  <si>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</si>
  <si>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</si>
  <si>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</si>
  <si>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</si>
  <si>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</si>
  <si>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</si>
  <si>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</si>
  <si>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</si>
  <si>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</si>
  <si>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</si>
  <si>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</si>
  <si>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</si>
  <si>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</si>
  <si>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</si>
  <si>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</si>
  <si>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</si>
  <si>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</si>
  <si>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</si>
  <si>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</si>
  <si>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</si>
  <si>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</si>
  <si>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</si>
  <si>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</si>
  <si>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</si>
  <si>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</si>
  <si>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</si>
  <si>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</si>
  <si>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</si>
  <si>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</si>
  <si>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</si>
  <si>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</si>
  <si>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</si>
  <si>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</si>
  <si>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</si>
  <si>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</si>
  <si>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</si>
  <si>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</si>
  <si>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</si>
  <si>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</si>
  <si>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</si>
  <si>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</si>
  <si>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</si>
  <si>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</si>
  <si>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</si>
  <si>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</si>
  <si>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</si>
  <si>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</si>
  <si>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</si>
  <si>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</si>
  <si>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</si>
  <si>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</si>
  <si>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</si>
  <si>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</si>
  <si>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</si>
  <si>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</si>
  <si>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</si>
  <si>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</si>
  <si>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</si>
  <si>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</si>
  <si>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</si>
  <si>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</si>
  <si>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</si>
  <si>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</si>
  <si>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</si>
  <si>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</si>
  <si>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</si>
  <si>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</si>
  <si>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</si>
  <si>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</si>
  <si>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</si>
  <si>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</si>
  <si>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</si>
  <si>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</si>
  <si>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</si>
  <si>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</si>
  <si>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</si>
  <si>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</si>
  <si>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</si>
  <si>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</si>
  <si>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</si>
  <si>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</si>
  <si>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</si>
  <si>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</si>
  <si>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</si>
  <si>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</si>
  <si>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</si>
  <si>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</si>
  <si>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</si>
  <si>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</si>
  <si>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</si>
  <si>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</si>
  <si>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</si>
  <si>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</si>
  <si>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</si>
  <si>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</si>
  <si>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</si>
  <si>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</si>
  <si>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</si>
  <si>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</si>
  <si>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</si>
  <si>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</si>
  <si>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</si>
  <si>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</si>
  <si>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</si>
  <si>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</si>
  <si>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</si>
  <si>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</si>
  <si>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</si>
  <si>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</si>
  <si>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</si>
  <si>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</si>
  <si>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</si>
  <si>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</si>
  <si>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</si>
  <si>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</si>
  <si>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</si>
  <si>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</si>
  <si>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</si>
  <si>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</si>
  <si>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</si>
  <si>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</si>
  <si>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</si>
  <si>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</si>
  <si>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</si>
  <si>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</si>
  <si>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</si>
  <si>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</si>
  <si>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</si>
  <si>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</si>
  <si>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</si>
  <si>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</si>
  <si>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</si>
  <si>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</si>
  <si>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</si>
  <si>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</si>
  <si>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</si>
  <si>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</si>
  <si>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</si>
  <si>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</si>
  <si>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</si>
  <si>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</si>
  <si>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</si>
  <si>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</si>
  <si>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</si>
  <si>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</si>
  <si>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</si>
  <si>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</si>
  <si>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</si>
  <si>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</si>
  <si>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</si>
  <si>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</si>
  <si>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</si>
  <si>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</si>
  <si>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</si>
  <si>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</si>
  <si>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</si>
  <si>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</si>
  <si>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</si>
  <si>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</si>
  <si>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</si>
  <si>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</si>
  <si>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</si>
  <si>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</si>
  <si>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</si>
  <si>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</si>
  <si>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</si>
  <si>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</si>
  <si>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</si>
  <si>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</si>
  <si>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</si>
  <si>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</si>
  <si>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</si>
  <si>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</si>
  <si>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</si>
  <si>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</si>
  <si>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</si>
  <si>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</si>
  <si>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</si>
  <si>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</si>
  <si>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</si>
  <si>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</si>
  <si>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</si>
  <si>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</si>
  <si>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</si>
  <si>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</si>
  <si>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</si>
  <si>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</si>
  <si>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</si>
  <si>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</si>
  <si>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</si>
  <si>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</si>
  <si>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</si>
  <si>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</si>
  <si>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</si>
  <si>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</si>
  <si>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</si>
  <si>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</si>
  <si>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</si>
  <si>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</si>
  <si>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</si>
  <si>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</si>
  <si>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</si>
  <si>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</si>
  <si>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</si>
  <si>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</si>
  <si>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</si>
  <si>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</si>
  <si>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</si>
  <si>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</si>
  <si>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</si>
  <si>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</si>
  <si>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</si>
  <si>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</si>
  <si>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</si>
  <si>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</si>
  <si>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</si>
  <si>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</si>
  <si>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</si>
  <si>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</si>
  <si>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</si>
  <si>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</si>
  <si>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</si>
  <si>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</si>
  <si>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</si>
  <si>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</si>
  <si>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</si>
  <si>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</si>
  <si>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</si>
  <si>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</si>
  <si>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</si>
  <si>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</si>
  <si>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</si>
  <si>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</si>
  <si>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</si>
  <si>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</si>
  <si>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</si>
  <si>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</si>
  <si>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</si>
  <si>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</si>
  <si>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</si>
  <si>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</si>
  <si>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</si>
  <si>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</si>
  <si>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</si>
  <si>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</si>
  <si>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</si>
  <si>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</si>
  <si>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</si>
  <si>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</si>
  <si>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</si>
  <si>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</si>
  <si>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</si>
  <si>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</si>
  <si>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</si>
  <si>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</si>
  <si>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</si>
  <si>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</si>
  <si>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</si>
  <si>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</si>
  <si>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</si>
  <si>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</si>
  <si>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</si>
  <si>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</si>
  <si>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</si>
  <si>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</si>
  <si>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</si>
  <si>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</si>
  <si>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</si>
  <si>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</si>
  <si>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</si>
  <si>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</si>
  <si>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</si>
  <si>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</si>
  <si>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</si>
  <si>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</si>
  <si>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</si>
  <si>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</si>
  <si>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</si>
  <si>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</si>
  <si>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</si>
  <si>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</si>
  <si>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</si>
  <si>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</si>
  <si>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</si>
  <si>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</si>
  <si>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</si>
  <si>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</si>
  <si>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</si>
  <si>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</si>
  <si>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</si>
  <si>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</si>
  <si>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</si>
  <si>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</si>
  <si>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</si>
  <si>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</si>
  <si>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</si>
  <si>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</si>
  <si>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</si>
  <si>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</si>
  <si>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</si>
  <si>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</si>
  <si>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</si>
  <si>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</si>
  <si>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</si>
  <si>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</si>
  <si>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</si>
  <si>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</si>
  <si>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</si>
  <si>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</si>
  <si>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</si>
  <si>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</si>
  <si>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</si>
  <si>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</si>
  <si>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</si>
  <si>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</si>
  <si>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</si>
  <si>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</si>
  <si>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</si>
  <si>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</si>
  <si>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</si>
  <si>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</si>
  <si>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</si>
  <si>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</si>
  <si>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</si>
  <si>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</si>
  <si>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</si>
  <si>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</si>
  <si>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</si>
  <si>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</si>
  <si>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</si>
  <si>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</si>
  <si>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</si>
  <si>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</si>
  <si>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</si>
  <si>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</si>
  <si>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</si>
  <si>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</si>
  <si>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</si>
  <si>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</si>
  <si>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</si>
  <si>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</si>
  <si>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</si>
  <si>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</si>
  <si>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</si>
  <si>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</si>
  <si>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</si>
  <si>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</si>
  <si>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</si>
  <si>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</si>
  <si>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</si>
  <si>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</si>
  <si>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</si>
  <si>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</si>
  <si>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</si>
  <si>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</si>
  <si>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</si>
  <si>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</si>
  <si>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</si>
  <si>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</si>
  <si>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</si>
  <si>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</si>
  <si>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</si>
  <si>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</si>
  <si>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</si>
  <si>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</si>
  <si>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</si>
  <si>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</si>
  <si>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</si>
  <si>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</si>
  <si>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</si>
  <si>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</si>
  <si>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</si>
  <si>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</si>
  <si>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</si>
  <si>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</si>
  <si>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</si>
  <si>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</si>
  <si>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</si>
  <si>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</si>
  <si>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</si>
  <si>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</si>
  <si>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</si>
  <si>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</si>
  <si>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</si>
  <si>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</si>
  <si>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</si>
  <si>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</si>
  <si>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</si>
  <si>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</si>
  <si>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</si>
  <si>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</si>
  <si>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</si>
  <si>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</si>
  <si>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</si>
  <si>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</si>
  <si>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</si>
  <si>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</si>
  <si>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</si>
  <si>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</si>
  <si>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</si>
  <si>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</si>
  <si>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</si>
  <si>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</si>
  <si>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</si>
  <si>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</si>
  <si>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</si>
  <si>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</si>
  <si>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</si>
  <si>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</si>
  <si>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</si>
  <si>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</si>
  <si>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</si>
  <si>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</si>
  <si>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</si>
  <si>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</si>
  <si>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</si>
  <si>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</si>
  <si>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</si>
  <si>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</si>
  <si>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</si>
  <si>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</si>
  <si>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</si>
  <si>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</si>
  <si>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</si>
  <si>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</si>
  <si>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</si>
  <si>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</si>
  <si>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</si>
  <si>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</si>
  <si>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</si>
  <si>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</si>
  <si>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</si>
  <si>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</si>
  <si>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</si>
  <si>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</si>
  <si>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</si>
  <si>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</si>
  <si>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</si>
  <si>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</si>
  <si>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</si>
  <si>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</si>
  <si>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</si>
  <si>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</si>
  <si>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</si>
  <si>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</si>
  <si>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</si>
  <si>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</si>
  <si>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</si>
  <si>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</si>
  <si>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</si>
  <si>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</si>
  <si>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</si>
  <si>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</si>
  <si>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</si>
  <si>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</si>
  <si>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</si>
  <si>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</si>
  <si>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</si>
  <si>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</si>
  <si>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</si>
  <si>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</si>
  <si>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</si>
  <si>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</si>
  <si>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</si>
  <si>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</si>
  <si>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</si>
  <si>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</si>
  <si>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</si>
  <si>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</si>
  <si>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</si>
  <si>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</si>
  <si>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</si>
  <si>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</si>
  <si>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</si>
  <si>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</si>
  <si>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</si>
  <si>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</si>
  <si>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</si>
  <si>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</si>
  <si>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</si>
  <si>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</si>
  <si>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</si>
  <si>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</si>
  <si>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</si>
  <si>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</si>
  <si>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</si>
  <si>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</si>
  <si>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</si>
  <si>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</si>
  <si>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</si>
  <si>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</si>
  <si>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</si>
  <si>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</si>
  <si>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</si>
  <si>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</si>
  <si>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</si>
  <si>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</si>
  <si>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</si>
  <si>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</si>
  <si>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</si>
  <si>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</si>
  <si>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</si>
  <si>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</si>
  <si>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</si>
  <si>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</si>
  <si>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</si>
  <si>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</si>
  <si>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</si>
  <si>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</si>
  <si>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</si>
  <si>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</si>
  <si>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</si>
  <si>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</si>
  <si>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</si>
  <si>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</si>
  <si>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</si>
  <si>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</si>
  <si>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</si>
  <si>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</si>
  <si>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</si>
  <si>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</si>
  <si>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</si>
  <si>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</si>
  <si>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</si>
  <si>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</si>
  <si>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</si>
  <si>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</si>
  <si>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</si>
  <si>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</si>
  <si>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</si>
  <si>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</si>
  <si>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</si>
  <si>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</si>
  <si>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</si>
  <si>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</si>
  <si>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</si>
  <si>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</si>
  <si>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</si>
  <si>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</si>
  <si>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</si>
  <si>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</si>
  <si>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</si>
  <si>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</si>
  <si>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</si>
  <si>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</si>
  <si>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</si>
  <si>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</si>
  <si>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</si>
  <si>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</si>
  <si>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</si>
  <si>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</si>
  <si>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</si>
  <si>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</si>
  <si>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</si>
  <si>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</si>
  <si>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</si>
  <si>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</si>
  <si>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</si>
  <si>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</si>
  <si>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</si>
  <si>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</si>
  <si>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</si>
  <si>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</si>
  <si>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</si>
  <si>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</si>
  <si>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</si>
  <si>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</si>
  <si>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</si>
  <si>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</si>
  <si>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</si>
  <si>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</si>
  <si>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</si>
  <si>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</si>
  <si>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</si>
  <si>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</si>
  <si>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</si>
  <si>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</si>
  <si>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</si>
  <si>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</si>
  <si>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</si>
  <si>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</si>
  <si>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</si>
  <si>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</si>
  <si>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</si>
  <si>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</si>
  <si>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</si>
  <si>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</si>
  <si>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</si>
  <si>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</si>
  <si>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</si>
  <si>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</si>
  <si>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</si>
  <si>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</si>
  <si>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</si>
  <si>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</si>
  <si>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</si>
  <si>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</si>
  <si>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</si>
  <si>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</si>
  <si>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</si>
  <si>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</si>
  <si>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</si>
  <si>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</si>
  <si>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</si>
  <si>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</si>
  <si>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</si>
  <si>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</si>
  <si>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</si>
  <si>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</si>
  <si>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</si>
  <si>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</si>
  <si>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</si>
  <si>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</si>
  <si>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</si>
  <si>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</si>
  <si>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</si>
  <si>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</si>
  <si>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</si>
  <si>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</si>
  <si>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</si>
  <si>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</si>
  <si>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</si>
  <si>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</si>
  <si>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</si>
  <si>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</si>
  <si>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</si>
  <si>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</si>
  <si>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</si>
  <si>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</si>
  <si>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</si>
  <si>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</si>
  <si>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</si>
  <si>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</si>
  <si>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</si>
  <si>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</si>
  <si>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</si>
  <si>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</si>
  <si>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</si>
  <si>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</si>
  <si>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</si>
  <si>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</si>
  <si>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</si>
  <si>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</si>
  <si>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</si>
  <si>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</si>
  <si>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</si>
  <si>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</si>
  <si>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</si>
  <si>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</si>
  <si>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</si>
  <si>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</si>
  <si>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</si>
  <si>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</si>
  <si>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</si>
  <si>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</si>
  <si>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</si>
  <si>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</si>
  <si>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</si>
  <si>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</si>
  <si>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</si>
  <si>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</si>
  <si>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</si>
  <si>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</si>
  <si>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</si>
  <si>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</si>
  <si>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</si>
  <si>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</si>
  <si>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</si>
  <si>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</si>
  <si>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</si>
  <si>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</si>
  <si>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</si>
  <si>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</si>
  <si>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</si>
  <si>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</si>
  <si>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</si>
  <si>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</si>
  <si>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</si>
  <si>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</si>
  <si>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</si>
  <si>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</si>
  <si>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</si>
  <si>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</si>
  <si>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</si>
  <si>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</si>
  <si>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</si>
  <si>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</si>
  <si>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</si>
  <si>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</si>
  <si>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</si>
  <si>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</si>
  <si>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</si>
  <si>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</si>
  <si>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</si>
  <si>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</si>
  <si>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</si>
  <si>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</si>
  <si>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</si>
  <si>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</si>
  <si>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</si>
  <si>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</si>
  <si>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</si>
  <si>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</si>
  <si>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</si>
  <si>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</si>
  <si>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</si>
  <si>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</si>
  <si>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</si>
  <si>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</si>
  <si>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</si>
  <si>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</si>
  <si>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</si>
  <si>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</si>
  <si>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</si>
  <si>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</si>
  <si>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</si>
  <si>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</si>
  <si>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</si>
  <si>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</si>
  <si>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</si>
  <si>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</si>
  <si>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</si>
  <si>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</si>
  <si>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</si>
  <si>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</si>
  <si>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</si>
  <si>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</si>
  <si>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</si>
  <si>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</si>
  <si>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</si>
  <si>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</si>
  <si>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</si>
  <si>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</si>
  <si>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</si>
  <si>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</si>
  <si>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</si>
  <si>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</si>
  <si>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</si>
  <si>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</si>
  <si>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</si>
  <si>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</si>
  <si>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</si>
  <si>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</si>
  <si>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</si>
  <si>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</si>
  <si>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</si>
  <si>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</si>
  <si>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</si>
  <si>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</si>
  <si>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</si>
  <si>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</si>
  <si>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</si>
  <si>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</si>
  <si>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</si>
  <si>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</si>
  <si>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</si>
  <si>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</si>
  <si>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</si>
  <si>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</si>
  <si>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</si>
  <si>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</si>
  <si>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</si>
  <si>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</si>
  <si>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</si>
  <si>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</si>
  <si>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</si>
  <si>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</si>
  <si>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</si>
  <si>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</si>
  <si>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</si>
  <si>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</si>
  <si>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</si>
  <si>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</si>
  <si>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</si>
  <si>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</si>
  <si>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</si>
  <si>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</si>
  <si>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</si>
  <si>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</si>
  <si>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</si>
  <si>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</si>
  <si>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</si>
  <si>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</si>
  <si>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</si>
  <si>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</si>
  <si>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</si>
  <si>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</si>
  <si>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</si>
  <si>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</si>
  <si>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</si>
  <si>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</si>
  <si>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</si>
  <si>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</si>
  <si>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</si>
  <si>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</si>
  <si>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</si>
  <si>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</si>
  <si>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</si>
  <si>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</si>
  <si>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</si>
  <si>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</si>
  <si>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</si>
  <si>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</si>
  <si>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</si>
  <si>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</si>
  <si>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</si>
  <si>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</si>
  <si>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</si>
  <si>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</si>
  <si>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</si>
  <si>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</si>
  <si>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</si>
  <si>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</si>
  <si>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</si>
  <si>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</si>
  <si>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</si>
  <si>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</si>
  <si>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</si>
  <si>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</si>
  <si>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</si>
  <si>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</si>
  <si>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</si>
  <si>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</si>
  <si>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</si>
  <si>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</si>
  <si>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</si>
  <si>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</si>
  <si>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</si>
  <si>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</si>
  <si>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</si>
  <si>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</si>
  <si>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</si>
  <si>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</si>
  <si>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</si>
  <si>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</si>
  <si>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</si>
  <si>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</si>
  <si>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</si>
  <si>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</si>
  <si>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</si>
  <si>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</si>
  <si>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</si>
  <si>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</si>
  <si>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</si>
  <si>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</si>
  <si>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</si>
  <si>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</si>
  <si>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</si>
  <si>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</si>
  <si>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</si>
  <si>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</si>
  <si>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</si>
  <si>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</si>
  <si>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</si>
  <si>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</si>
  <si>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</si>
  <si>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</si>
  <si>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</si>
  <si>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</si>
  <si>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</si>
  <si>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</si>
  <si>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</si>
  <si>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</si>
  <si>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</si>
  <si>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</si>
  <si>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</si>
  <si>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</si>
  <si>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</si>
  <si>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</si>
  <si>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</si>
  <si>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</si>
  <si>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</si>
  <si>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</si>
  <si>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</si>
  <si>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</si>
  <si>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</si>
  <si>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</si>
  <si>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</si>
  <si>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</si>
  <si>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</si>
  <si>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</si>
  <si>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</si>
  <si>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</si>
  <si>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</si>
  <si>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</si>
  <si>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</si>
  <si>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</si>
  <si>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</si>
  <si>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</si>
  <si>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</si>
  <si>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</si>
  <si>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</si>
  <si>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</si>
  <si>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</si>
  <si>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</si>
  <si>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</si>
  <si>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</si>
  <si>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</si>
  <si>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</si>
  <si>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</si>
  <si>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</si>
  <si>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</si>
  <si>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</si>
  <si>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</si>
  <si>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</si>
  <si>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</si>
  <si>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</si>
  <si>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</si>
  <si>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</si>
  <si>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</si>
  <si>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</si>
  <si>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</si>
  <si>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</si>
  <si>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</si>
  <si>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</si>
  <si>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</si>
  <si>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</si>
  <si>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</si>
  <si>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</si>
  <si>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</si>
  <si>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</si>
  <si>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</si>
  <si>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</si>
  <si>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</si>
  <si>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</si>
  <si>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</si>
  <si>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</si>
  <si>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</si>
  <si>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</si>
  <si>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</si>
  <si>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</si>
  <si>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</si>
  <si>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</si>
  <si>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</si>
  <si>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</si>
  <si>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</si>
  <si>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</si>
  <si>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</si>
  <si>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</si>
  <si>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</si>
  <si>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</si>
  <si>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</si>
  <si>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</si>
  <si>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</si>
  <si>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</si>
  <si>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</si>
  <si>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</si>
  <si>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</si>
  <si>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</si>
  <si>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</si>
  <si>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</si>
  <si>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</si>
  <si>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</si>
  <si>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</si>
  <si>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</si>
  <si>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</si>
  <si>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</si>
  <si>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</si>
  <si>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</si>
  <si>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</si>
  <si>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</si>
  <si>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</si>
  <si>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</si>
  <si>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</si>
  <si>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</si>
  <si>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</si>
  <si>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</si>
  <si>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</si>
  <si>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</si>
  <si>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</si>
  <si>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</si>
  <si>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</si>
  <si>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</si>
  <si>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</si>
  <si>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</si>
  <si>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</si>
  <si>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</si>
  <si>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</si>
  <si>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</si>
  <si>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</si>
  <si>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</si>
  <si>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</si>
  <si>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</si>
  <si>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</si>
  <si>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</si>
  <si>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</si>
  <si>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</si>
  <si>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</si>
  <si>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</si>
  <si>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</si>
  <si>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</si>
  <si>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</si>
  <si>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</si>
  <si>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</si>
  <si>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</si>
  <si>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</si>
  <si>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</si>
  <si>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</si>
  <si>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</si>
  <si>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</si>
  <si>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</si>
  <si>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</si>
  <si>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</si>
  <si>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</si>
  <si>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</si>
  <si>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</si>
  <si>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</si>
  <si>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</si>
  <si>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</si>
  <si>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</si>
  <si>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</si>
  <si>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</si>
  <si>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</si>
  <si>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</si>
  <si>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</si>
  <si>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</si>
  <si>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</si>
  <si>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</si>
  <si>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</si>
  <si>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</si>
  <si>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</si>
  <si>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</si>
  <si>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</si>
  <si>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</si>
  <si>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</si>
  <si>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</si>
  <si>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</si>
  <si>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</si>
  <si>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</si>
  <si>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</si>
  <si>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</si>
  <si>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</si>
  <si>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</si>
  <si>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</si>
  <si>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</si>
  <si>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</si>
  <si>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</si>
  <si>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</si>
  <si>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</si>
  <si>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</si>
  <si>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</si>
  <si>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</si>
  <si>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</si>
  <si>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</si>
  <si>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</si>
  <si>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</si>
  <si>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</si>
  <si>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</si>
  <si>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</si>
  <si>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</si>
  <si>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</si>
  <si>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</si>
  <si>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</si>
  <si>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</si>
  <si>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</si>
  <si>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</si>
  <si>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</si>
  <si>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</si>
  <si>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</si>
  <si>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</si>
  <si>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</si>
  <si>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</si>
  <si>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</si>
  <si>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</si>
  <si>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</si>
  <si>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</si>
  <si>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</si>
  <si>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</si>
  <si>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</si>
  <si>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</si>
  <si>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</si>
  <si>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</si>
  <si>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</si>
  <si>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</si>
  <si>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</si>
  <si>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</si>
  <si>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</si>
  <si>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</si>
  <si>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</si>
  <si>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</si>
  <si>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</si>
  <si>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</si>
  <si>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</si>
  <si>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</si>
  <si>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</si>
  <si>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</si>
  <si>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</si>
  <si>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</si>
  <si>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</si>
  <si>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</si>
  <si>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</si>
  <si>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</si>
  <si>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</si>
  <si>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</si>
  <si>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</si>
  <si>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</si>
  <si>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</si>
  <si>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</si>
  <si>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</si>
  <si>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</si>
  <si>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</si>
  <si>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</si>
  <si>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</si>
  <si>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</si>
  <si>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</si>
  <si>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</si>
  <si>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</si>
  <si>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</si>
  <si>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</si>
  <si>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</si>
  <si>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</si>
  <si>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</si>
  <si>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</si>
  <si>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</si>
  <si>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</si>
  <si>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</si>
  <si>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</si>
  <si>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</si>
  <si>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</si>
  <si>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</si>
  <si>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</si>
  <si>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</si>
  <si>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</si>
  <si>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</si>
  <si>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</si>
  <si>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</si>
  <si>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</si>
  <si>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</si>
  <si>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</si>
  <si>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</si>
  <si>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</si>
  <si>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</si>
  <si>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</si>
  <si>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</si>
  <si>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</si>
  <si>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</si>
  <si>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</si>
  <si>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</si>
  <si>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</si>
  <si>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</si>
  <si>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</si>
  <si>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</si>
  <si>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</si>
  <si>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</si>
  <si>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</si>
  <si>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</si>
  <si>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</si>
  <si>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</si>
  <si>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</si>
  <si>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</si>
  <si>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</si>
  <si>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</si>
  <si>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</si>
  <si>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</si>
  <si>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</si>
  <si>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</si>
  <si>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</si>
  <si>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</si>
  <si>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</si>
  <si>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</si>
  <si>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</si>
  <si>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</si>
  <si>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</si>
  <si>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</si>
  <si>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</si>
  <si>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</si>
  <si>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</si>
  <si>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</si>
  <si>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</si>
  <si>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</si>
  <si>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</si>
  <si>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</si>
  <si>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</si>
  <si>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</si>
  <si>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</si>
  <si>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</si>
  <si>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</si>
  <si>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</si>
  <si>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</si>
  <si>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</si>
  <si>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</si>
  <si>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</si>
  <si>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</si>
  <si>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</si>
  <si>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</si>
  <si>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</si>
  <si>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</si>
  <si>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</si>
  <si>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</si>
  <si>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</si>
  <si>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</si>
  <si>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</si>
  <si>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</si>
  <si>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</si>
  <si>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</si>
  <si>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</si>
  <si>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</si>
  <si>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</si>
  <si>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</si>
  <si>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</si>
  <si>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</si>
  <si>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</si>
  <si>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</si>
  <si>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</si>
  <si>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</si>
  <si>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</si>
  <si>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</si>
  <si>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</si>
  <si>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</si>
  <si>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</si>
  <si>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</si>
  <si>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</si>
  <si>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</si>
  <si>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</si>
  <si>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</si>
  <si>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</si>
  <si>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</si>
  <si>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</si>
  <si>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</si>
  <si>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</si>
  <si>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</si>
  <si>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</si>
  <si>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</si>
  <si>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</si>
  <si>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</si>
  <si>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</si>
  <si>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</si>
  <si>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</si>
  <si>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</si>
  <si>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</si>
  <si>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</si>
  <si>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</si>
  <si>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</si>
  <si>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</si>
  <si>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</si>
  <si>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</si>
  <si>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</si>
  <si>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</si>
  <si>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</si>
  <si>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</si>
  <si>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</si>
  <si>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</si>
  <si>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</si>
  <si>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</si>
  <si>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</si>
  <si>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</si>
  <si>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</si>
  <si>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</si>
  <si>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</si>
  <si>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</si>
  <si>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</si>
  <si>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</si>
  <si>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</si>
  <si>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</si>
  <si>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</si>
  <si>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</si>
  <si>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</si>
  <si>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</si>
  <si>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</si>
  <si>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</si>
  <si>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</si>
  <si>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</si>
  <si>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</si>
  <si>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</si>
  <si>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</si>
  <si>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</si>
  <si>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</si>
  <si>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</si>
  <si>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</si>
  <si>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</si>
  <si>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</si>
  <si>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</si>
  <si>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</si>
  <si>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</si>
  <si>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</si>
  <si>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</si>
  <si>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</si>
  <si>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</si>
  <si>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</si>
  <si>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</si>
  <si>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</si>
  <si>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</si>
  <si>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</si>
  <si>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</si>
  <si>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</si>
  <si>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</si>
  <si>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</si>
  <si>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</si>
  <si>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</si>
  <si>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</si>
  <si>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</si>
  <si>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</si>
  <si>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</si>
  <si>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</si>
  <si>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</si>
  <si>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</si>
  <si>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</si>
  <si>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</si>
  <si>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</si>
  <si>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</si>
  <si>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</si>
  <si>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</si>
  <si>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</si>
  <si>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</si>
  <si>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</si>
  <si>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</si>
  <si>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</si>
  <si>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</si>
  <si>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</si>
  <si>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</si>
  <si>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</si>
  <si>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</si>
  <si>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</si>
  <si>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</si>
  <si>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</si>
  <si>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</si>
  <si>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</si>
  <si>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</si>
  <si>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</si>
  <si>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</si>
  <si>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</si>
  <si>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</si>
  <si>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</si>
  <si>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</si>
  <si>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</si>
  <si>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</si>
  <si>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</si>
  <si>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</si>
  <si>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</si>
  <si>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</si>
  <si>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</si>
  <si>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</si>
  <si>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</si>
  <si>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</si>
  <si>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</si>
  <si>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</si>
  <si>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</si>
  <si>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</si>
  <si>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</si>
  <si>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</si>
  <si>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</si>
  <si>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</si>
  <si>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</si>
  <si>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</si>
  <si>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</si>
  <si>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</si>
  <si>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</si>
  <si>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</si>
  <si>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</si>
  <si>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</si>
  <si>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</si>
  <si>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</si>
  <si>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</si>
  <si>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</si>
  <si>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</si>
  <si>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</si>
  <si>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</si>
  <si>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</si>
  <si>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</si>
  <si>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</si>
  <si>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</si>
  <si>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</si>
  <si>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</si>
  <si>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</si>
  <si>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</si>
  <si>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</si>
  <si>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</si>
  <si>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</si>
  <si>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</si>
  <si>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</si>
  <si>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</si>
  <si>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</si>
  <si>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</si>
  <si>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</si>
  <si>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</si>
  <si>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</si>
  <si>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</si>
  <si>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</si>
  <si>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</si>
  <si>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</si>
  <si>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</si>
  <si>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</si>
  <si>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</si>
  <si>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</si>
  <si>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</si>
  <si>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</si>
  <si>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</si>
  <si>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</si>
  <si>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</si>
  <si>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</si>
  <si>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</si>
  <si>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</si>
  <si>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</si>
  <si>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</si>
  <si>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</si>
  <si>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</si>
  <si>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</si>
  <si>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</si>
  <si>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</si>
  <si>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</si>
  <si>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</si>
  <si>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</si>
  <si>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</si>
  <si>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</si>
  <si>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</si>
  <si>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</si>
  <si>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</si>
  <si>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</si>
  <si>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</si>
  <si>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</si>
  <si>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</si>
  <si>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</si>
  <si>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</si>
  <si>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</si>
  <si>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</si>
  <si>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</si>
  <si>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</si>
  <si>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</si>
  <si>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</si>
  <si>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</si>
  <si>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</si>
  <si>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</si>
  <si>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</si>
  <si>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</si>
  <si>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</si>
  <si>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</si>
  <si>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</si>
  <si>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</si>
  <si>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</si>
  <si>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</si>
  <si>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</si>
  <si>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</si>
  <si>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</si>
  <si>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</si>
  <si>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</si>
  <si>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</si>
  <si>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</si>
  <si>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</si>
  <si>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</si>
  <si>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</si>
  <si>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</si>
  <si>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</si>
  <si>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</si>
  <si>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</si>
  <si>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</si>
  <si>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</si>
  <si>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</si>
  <si>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</si>
  <si>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</si>
  <si>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</si>
  <si>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</si>
  <si>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</si>
  <si>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</si>
  <si>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</si>
  <si>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</si>
  <si>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</si>
  <si>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</si>
  <si>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</si>
  <si>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</si>
  <si>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</si>
  <si>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</si>
  <si>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</si>
  <si>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</si>
  <si>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</si>
  <si>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</si>
  <si>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</si>
  <si>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</si>
  <si>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</si>
  <si>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</si>
  <si>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</si>
  <si>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</si>
  <si>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</si>
  <si>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</si>
  <si>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</si>
  <si>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</si>
  <si>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</si>
  <si>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</si>
  <si>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</si>
  <si>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</si>
  <si>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</si>
  <si>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</si>
  <si>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</si>
  <si>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</si>
  <si>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</si>
  <si>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</si>
  <si>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</si>
  <si>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</si>
  <si>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</si>
  <si>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</si>
  <si>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</si>
  <si>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</si>
  <si>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</si>
  <si>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</si>
  <si>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</si>
  <si>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</si>
  <si>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</si>
  <si>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</si>
  <si>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</si>
  <si>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</si>
  <si>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</si>
  <si>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</si>
  <si>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</si>
  <si>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</si>
  <si>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</si>
  <si>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</si>
  <si>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</si>
  <si>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</si>
  <si>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</si>
  <si>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</si>
  <si>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</si>
  <si>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</si>
  <si>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</si>
  <si>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</si>
  <si>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</si>
  <si>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</si>
  <si>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</si>
  <si>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</si>
  <si>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</si>
  <si>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</si>
  <si>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</si>
  <si>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</si>
  <si>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</si>
  <si>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</si>
  <si>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</si>
  <si>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</si>
  <si>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</si>
  <si>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</si>
  <si>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</si>
  <si>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</si>
  <si>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</si>
  <si>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</si>
  <si>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</si>
  <si>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</si>
  <si>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</si>
  <si>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</si>
  <si>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</si>
  <si>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</si>
  <si>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</si>
  <si>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</si>
  <si>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</si>
  <si>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</si>
  <si>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</si>
  <si>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</si>
  <si>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</si>
  <si>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</si>
  <si>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</si>
  <si>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</si>
  <si>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</si>
  <si>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</si>
  <si>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</si>
  <si>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</si>
  <si>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</si>
  <si>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</si>
  <si>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</si>
  <si>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</si>
  <si>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</si>
  <si>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</si>
  <si>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</si>
  <si>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</si>
  <si>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</si>
  <si>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</si>
  <si>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</si>
  <si>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</si>
  <si>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</si>
  <si>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</si>
  <si>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</si>
  <si>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</si>
  <si>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</si>
  <si>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</si>
  <si>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</si>
  <si>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</si>
  <si>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</si>
  <si>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</si>
  <si>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</si>
  <si>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</si>
  <si>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</si>
  <si>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</si>
  <si>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</si>
  <si>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</si>
  <si>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</si>
  <si>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</si>
  <si>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</si>
  <si>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</si>
  <si>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</si>
  <si>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</si>
  <si>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</si>
  <si>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</si>
  <si>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</si>
  <si>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</si>
  <si>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</si>
  <si>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</si>
  <si>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</si>
  <si>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</si>
  <si>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</si>
  <si>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</si>
  <si>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</si>
  <si>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</si>
  <si>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</si>
  <si>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</si>
  <si>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</si>
  <si>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</si>
  <si>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</si>
  <si>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</si>
  <si>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</si>
  <si>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</si>
  <si>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</si>
  <si>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</si>
  <si>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</si>
  <si>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</si>
  <si>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</si>
  <si>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</si>
  <si>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</si>
  <si>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</si>
  <si>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</si>
  <si>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</si>
  <si>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</si>
  <si>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</si>
  <si>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</si>
  <si>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</si>
  <si>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</si>
  <si>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</si>
  <si>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</si>
  <si>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</si>
  <si>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</si>
  <si>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</si>
  <si>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</si>
  <si>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</si>
  <si>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</si>
  <si>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</si>
  <si>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</si>
  <si>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</si>
  <si>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</si>
  <si>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</si>
  <si>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</si>
  <si>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</si>
  <si>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</si>
  <si>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</si>
  <si>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</si>
  <si>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</si>
  <si>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</si>
  <si>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</si>
  <si>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</si>
  <si>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</si>
  <si>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</si>
  <si>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</si>
  <si>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</si>
  <si>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</si>
  <si>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</si>
  <si>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</si>
  <si>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</si>
  <si>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</si>
  <si>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</si>
  <si>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</si>
  <si>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</si>
  <si>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</si>
  <si>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</si>
  <si>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</si>
  <si>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</si>
  <si>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</si>
  <si>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</si>
  <si>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</si>
  <si>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</si>
  <si>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</si>
  <si>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</si>
  <si>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</si>
  <si>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</si>
  <si>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</si>
  <si>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</si>
  <si>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</si>
  <si>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</si>
  <si>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</si>
  <si>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</si>
  <si>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</si>
  <si>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</si>
  <si>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</si>
  <si>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</si>
  <si>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</si>
  <si>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</si>
  <si>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</si>
  <si>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</si>
  <si>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</si>
  <si>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</si>
  <si>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</si>
  <si>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</si>
  <si>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</si>
  <si>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</si>
  <si>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</si>
  <si>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</si>
  <si>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</si>
  <si>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</si>
  <si>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</si>
  <si>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</si>
  <si>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</si>
  <si>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</si>
  <si>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</si>
  <si>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</si>
  <si>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</si>
  <si>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</si>
  <si>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</si>
  <si>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</si>
  <si>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</si>
  <si>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</si>
  <si>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</si>
  <si>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</si>
  <si>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</si>
  <si>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</si>
  <si>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</si>
  <si>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</si>
  <si>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</si>
  <si>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</si>
  <si>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</si>
  <si>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</si>
  <si>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</si>
  <si>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</si>
  <si>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</si>
  <si>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</si>
  <si>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</si>
  <si>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</si>
  <si>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</si>
  <si>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</si>
  <si>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</si>
  <si>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</si>
  <si>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</si>
  <si>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</si>
  <si>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</si>
  <si>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</si>
  <si>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</si>
  <si>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</si>
  <si>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</si>
  <si>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</si>
  <si>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</si>
  <si>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</si>
  <si>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</si>
  <si>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</si>
  <si>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</si>
  <si>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</si>
  <si>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</si>
  <si>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</si>
  <si>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</si>
  <si>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</si>
  <si>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</si>
  <si>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</si>
  <si>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</si>
  <si>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</si>
  <si>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</si>
  <si>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</si>
  <si>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</si>
  <si>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</si>
  <si>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</si>
  <si>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</si>
  <si>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</si>
  <si>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</si>
  <si>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</si>
  <si>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</si>
  <si>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</si>
  <si>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</si>
  <si>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</si>
  <si>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</si>
  <si>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</si>
  <si>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</si>
  <si>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</si>
  <si>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</si>
  <si>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</si>
  <si>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</si>
  <si>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</si>
  <si>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</si>
  <si>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</si>
  <si>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</si>
  <si>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</si>
  <si>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</si>
  <si>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</si>
  <si>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</si>
  <si>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</si>
  <si>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</si>
  <si>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</si>
  <si>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</si>
  <si>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</si>
  <si>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</si>
  <si>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</si>
  <si>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</si>
  <si>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</si>
  <si>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</si>
  <si>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</si>
  <si>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</si>
  <si>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</si>
  <si>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</si>
  <si>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</si>
  <si>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</si>
  <si>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</si>
  <si>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</si>
  <si>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</si>
  <si>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</si>
  <si>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</si>
  <si>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</si>
  <si>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</si>
  <si>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</si>
  <si>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</si>
  <si>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</si>
  <si>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</si>
  <si>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</si>
  <si>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</si>
  <si>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</si>
  <si>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</si>
  <si>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</si>
  <si>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</si>
  <si>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</si>
  <si>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</si>
  <si>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</si>
  <si>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</si>
  <si>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</si>
  <si>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</si>
  <si>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</si>
  <si>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</si>
  <si>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</si>
  <si>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</si>
  <si>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</si>
  <si>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</si>
  <si>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</si>
  <si>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</si>
  <si>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</si>
  <si>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</si>
  <si>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</si>
  <si>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</si>
  <si>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</si>
  <si>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</si>
  <si>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</si>
  <si>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</si>
  <si>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</si>
  <si>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</si>
  <si>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</si>
  <si>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</si>
  <si>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</si>
  <si>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</si>
  <si>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</si>
  <si>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</si>
  <si>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</si>
  <si>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</si>
  <si>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</si>
  <si>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</si>
  <si>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</si>
  <si>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</si>
  <si>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</si>
  <si>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</si>
  <si>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</si>
  <si>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</si>
  <si>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</si>
  <si>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</si>
  <si>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</si>
  <si>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</si>
  <si>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</si>
  <si>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</si>
  <si>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</si>
  <si>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</si>
  <si>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</si>
  <si>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</si>
  <si>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</si>
  <si>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</si>
  <si>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</si>
  <si>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</si>
  <si>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</si>
  <si>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</si>
  <si>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</si>
  <si>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</si>
  <si>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</si>
  <si>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</si>
  <si>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</si>
  <si>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</si>
  <si>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</si>
  <si>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</si>
  <si>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</si>
  <si>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</si>
  <si>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</si>
  <si>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</si>
  <si>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</si>
  <si>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</si>
  <si>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</si>
  <si>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</si>
  <si>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</si>
  <si>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</si>
  <si>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</si>
  <si>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</si>
  <si>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</si>
  <si>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</si>
  <si>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</si>
  <si>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</si>
  <si>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</si>
  <si>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</si>
  <si>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</si>
  <si>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</si>
  <si>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</si>
  <si>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</si>
  <si>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</si>
  <si>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</si>
  <si>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</si>
  <si>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</si>
  <si>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</si>
  <si>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</si>
  <si>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</si>
  <si>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</si>
  <si>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</si>
  <si>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</si>
  <si>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</si>
  <si>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</si>
  <si>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</si>
  <si>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</si>
  <si>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</si>
  <si>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</si>
  <si>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</si>
  <si>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</si>
  <si>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</si>
  <si>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</si>
  <si>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</si>
  <si>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</si>
  <si>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</si>
  <si>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</si>
  <si>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</si>
  <si>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</si>
  <si>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</si>
  <si>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</si>
  <si>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</si>
  <si>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</si>
  <si>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</si>
  <si>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</si>
  <si>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</si>
  <si>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</si>
  <si>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</si>
  <si>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</si>
  <si>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</si>
  <si>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</si>
  <si>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</si>
  <si>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</si>
  <si>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</si>
  <si>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</si>
  <si>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</si>
  <si>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</si>
  <si>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</si>
  <si>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</si>
  <si>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</si>
  <si>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</si>
  <si>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</si>
  <si>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</si>
  <si>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</si>
  <si>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</si>
  <si>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</si>
  <si>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</si>
  <si>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</si>
  <si>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</si>
  <si>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</si>
  <si>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</si>
  <si>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</si>
  <si>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</si>
  <si>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</si>
  <si>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</si>
  <si>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</si>
  <si>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</si>
  <si>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</si>
  <si>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</si>
  <si>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</si>
  <si>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</si>
  <si>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</si>
  <si>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</si>
  <si>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</si>
  <si>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</si>
  <si>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</si>
  <si>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</si>
  <si>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</si>
  <si>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</si>
  <si>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</si>
  <si>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</si>
  <si>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</si>
  <si>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</si>
  <si>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</si>
  <si>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</si>
  <si>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</si>
  <si>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</si>
  <si>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</si>
  <si>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</si>
  <si>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</si>
  <si>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</si>
  <si>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</si>
  <si>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</si>
  <si>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</si>
  <si>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</si>
  <si>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</si>
  <si>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</si>
  <si>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</si>
  <si>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</si>
  <si>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</si>
  <si>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</si>
  <si>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</si>
  <si>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</si>
  <si>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</si>
  <si>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</si>
  <si>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</si>
  <si>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</si>
  <si>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</si>
  <si>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</si>
  <si>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</si>
  <si>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</si>
  <si>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</si>
  <si>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</si>
  <si>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</si>
  <si>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</si>
  <si>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</si>
  <si>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</si>
  <si>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</si>
  <si>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</si>
  <si>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</si>
  <si>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</si>
  <si>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</si>
  <si>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</si>
  <si>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</si>
  <si>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</si>
  <si>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</si>
  <si>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</si>
  <si>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</si>
  <si>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</si>
  <si>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</si>
  <si>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</si>
  <si>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</si>
  <si>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</si>
  <si>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</si>
  <si>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</si>
  <si>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</si>
  <si>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</si>
  <si>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</si>
  <si>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</si>
  <si>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</si>
  <si>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</si>
  <si>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</si>
  <si>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</si>
  <si>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</si>
  <si>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</si>
  <si>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</si>
  <si>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</si>
  <si>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</si>
  <si>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</si>
  <si>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</si>
  <si>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</si>
  <si>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</si>
  <si>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</si>
  <si>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</si>
  <si>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</si>
  <si>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</si>
  <si>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</si>
  <si>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</si>
  <si>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</si>
  <si>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</si>
  <si>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</si>
  <si>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</si>
  <si>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</si>
  <si>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</si>
  <si>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</si>
  <si>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</si>
  <si>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</si>
  <si>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</si>
  <si>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</si>
  <si>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</si>
  <si>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</si>
  <si>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</si>
  <si>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</si>
  <si>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</si>
  <si>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</si>
  <si>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</si>
  <si>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</si>
  <si>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</si>
  <si>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</si>
  <si>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</si>
  <si>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</si>
  <si>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</si>
  <si>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</si>
  <si>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</si>
  <si>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</si>
  <si>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</si>
  <si>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</si>
  <si>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</si>
  <si>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</si>
  <si>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</si>
  <si>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</si>
  <si>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</si>
  <si>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</si>
  <si>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</si>
  <si>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</si>
  <si>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</si>
  <si>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</si>
  <si>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</si>
  <si>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</si>
  <si>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</si>
  <si>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</si>
  <si>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</si>
  <si>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</si>
  <si>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</si>
  <si>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</si>
  <si>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</si>
  <si>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</si>
  <si>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</si>
  <si>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</si>
  <si>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</si>
  <si>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</si>
  <si>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</si>
  <si>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</si>
  <si>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</si>
  <si>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</si>
  <si>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</si>
  <si>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</si>
  <si>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</si>
  <si>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</si>
  <si>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</si>
  <si>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</si>
  <si>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</si>
  <si>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</si>
  <si>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</si>
  <si>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</si>
  <si>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</si>
  <si>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</si>
  <si>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</si>
  <si>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</si>
  <si>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</si>
  <si>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</si>
  <si>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</si>
  <si>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</si>
  <si>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</si>
  <si>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</si>
  <si>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</si>
  <si>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</si>
  <si>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</si>
  <si>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</si>
  <si>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</si>
  <si>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</si>
  <si>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</si>
  <si>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</si>
  <si>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</si>
  <si>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</si>
  <si>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</si>
  <si>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</si>
  <si>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</si>
  <si>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</si>
  <si>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</si>
  <si>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</si>
  <si>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</si>
  <si>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</si>
  <si>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</si>
  <si>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</si>
  <si>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</si>
  <si>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</si>
  <si>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</si>
  <si>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</si>
  <si>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</si>
  <si>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</si>
  <si>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</si>
  <si>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</si>
  <si>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</si>
  <si>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</si>
  <si>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</si>
  <si>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</si>
  <si>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</si>
  <si>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</si>
  <si>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</si>
  <si>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</si>
  <si>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</si>
  <si>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</si>
  <si>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</si>
  <si>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</si>
  <si>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</si>
  <si>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</si>
  <si>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</si>
  <si>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</si>
  <si>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</si>
  <si>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</si>
  <si>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</si>
  <si>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</si>
  <si>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</si>
  <si>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</si>
  <si>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</si>
  <si>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</si>
  <si>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</si>
  <si>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</si>
  <si>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</si>
  <si>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</si>
  <si>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</si>
  <si>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</si>
  <si>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</si>
  <si>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</si>
  <si>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</si>
  <si>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</si>
  <si>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</si>
  <si>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</si>
  <si>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</si>
  <si>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</si>
  <si>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</si>
  <si>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</si>
  <si>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</si>
  <si>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</si>
  <si>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</si>
  <si>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</si>
  <si>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</si>
  <si>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</si>
  <si>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</si>
  <si>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</si>
  <si>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</si>
  <si>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</si>
  <si>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</si>
  <si>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</si>
  <si>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</si>
  <si>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</si>
  <si>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</si>
  <si>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</si>
  <si>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</si>
  <si>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</si>
  <si>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</si>
  <si>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</si>
  <si>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</si>
  <si>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</si>
  <si>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</si>
  <si>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</si>
  <si>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</si>
  <si>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</si>
  <si>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</si>
  <si>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</si>
  <si>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</si>
  <si>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</si>
  <si>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</si>
  <si>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</si>
  <si>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</si>
  <si>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</si>
  <si>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</si>
  <si>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</si>
  <si>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</si>
  <si>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</si>
  <si>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</si>
  <si>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</si>
  <si>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</si>
  <si>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</si>
  <si>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</si>
  <si>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</si>
  <si>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</si>
  <si>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</si>
  <si>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</si>
  <si>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</si>
  <si>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</si>
  <si>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</si>
  <si>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</si>
  <si>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</si>
  <si>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</si>
  <si>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</si>
  <si>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</si>
  <si>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</si>
  <si>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</si>
  <si>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</si>
  <si>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</si>
  <si>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</si>
  <si>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</si>
  <si>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</si>
  <si>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</si>
  <si>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</si>
  <si>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</si>
  <si>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</si>
  <si>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</si>
  <si>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</si>
  <si>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</si>
  <si>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</si>
  <si>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</si>
  <si>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</si>
  <si>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</si>
  <si>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</si>
  <si>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</si>
  <si>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</si>
  <si>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</si>
  <si>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</si>
  <si>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</si>
  <si>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</si>
  <si>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</si>
  <si>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</si>
  <si>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</si>
  <si>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</si>
  <si>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</si>
  <si>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</si>
  <si>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</si>
  <si>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</si>
  <si>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</si>
  <si>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</si>
  <si>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</si>
  <si>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</si>
  <si>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</si>
  <si>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</si>
  <si>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</si>
  <si>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</si>
  <si>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</si>
  <si>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</si>
  <si>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</si>
  <si>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</si>
  <si>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</si>
  <si>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</si>
  <si>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</si>
  <si>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</si>
  <si>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</si>
  <si>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</si>
  <si>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</si>
  <si>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</si>
  <si>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</si>
  <si>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</si>
  <si>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</si>
  <si>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</si>
  <si>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</si>
  <si>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</si>
  <si>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</si>
  <si>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</si>
  <si>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</si>
  <si>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</si>
  <si>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</si>
  <si>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</si>
  <si>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</si>
  <si>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</si>
  <si>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</si>
  <si>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</si>
  <si>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</si>
  <si>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</si>
  <si>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</si>
  <si>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</si>
  <si>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</si>
  <si>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</si>
  <si>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</si>
  <si>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</si>
  <si>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</si>
  <si>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</si>
  <si>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</si>
  <si>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</si>
  <si>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</si>
  <si>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</si>
  <si>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</si>
  <si>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</si>
  <si>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</si>
  <si>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</si>
  <si>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</si>
  <si>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</si>
  <si>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</si>
  <si>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</si>
  <si>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</si>
  <si>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</si>
  <si>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</si>
  <si>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</si>
  <si>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</si>
  <si>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</si>
  <si>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</si>
  <si>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</si>
  <si>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</si>
  <si>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</si>
  <si>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</si>
  <si>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</si>
  <si>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</si>
  <si>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</si>
  <si>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</si>
  <si>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</si>
  <si>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</si>
  <si>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</si>
  <si>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</si>
  <si>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</si>
  <si>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</si>
  <si>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</si>
  <si>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</si>
  <si>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</si>
  <si>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</si>
  <si>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</si>
  <si>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</si>
  <si>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</si>
  <si>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</si>
  <si>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</si>
  <si>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</si>
  <si>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</si>
  <si>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</si>
  <si>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</si>
  <si>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</si>
  <si>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</si>
  <si>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</si>
  <si>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</si>
  <si>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</si>
  <si>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</si>
  <si>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</si>
  <si>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</si>
  <si>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</si>
  <si>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</si>
  <si>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金钟股份</t>
  </si>
  <si>
    <t>www.lixinger.com/analytics/company/sz/301133/301133/detail</t>
  </si>
  <si>
    <t>招标股份</t>
  </si>
  <si>
    <t>www.lixinger.com/analytics/company/sz/301136/301136/detail</t>
  </si>
  <si>
    <t>华研精机</t>
  </si>
  <si>
    <t>www.lixinger.com/analytics/company/sz/301138/301138/detail</t>
  </si>
  <si>
    <t>隆华新材</t>
  </si>
  <si>
    <t>www.lixinger.com/analytics/company/sz/301149/301149/detail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</si>
  <si>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</si>
  <si>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</si>
  <si>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</si>
  <si>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</si>
  <si>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</si>
  <si>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</si>
  <si>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</si>
  <si>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</si>
  <si>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</si>
  <si>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</si>
  <si>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</si>
  <si>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</si>
  <si>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</si>
  <si>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</si>
  <si>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</si>
  <si>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</si>
  <si>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</si>
  <si>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</si>
  <si>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</si>
  <si>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</si>
  <si>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</si>
  <si>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</si>
  <si>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</si>
  <si>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</si>
  <si>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</si>
  <si>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</si>
  <si>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</si>
  <si>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</si>
  <si>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</si>
  <si>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</si>
  <si>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</si>
  <si>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</si>
  <si>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</si>
  <si>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</si>
  <si>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</si>
  <si>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</si>
  <si>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</si>
  <si>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</si>
  <si>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</si>
  <si>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</si>
  <si>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</si>
  <si>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</si>
  <si>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</si>
  <si>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</si>
  <si>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</si>
  <si>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</si>
  <si>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</si>
  <si>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</si>
  <si>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</si>
  <si>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</si>
  <si>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</si>
  <si>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</si>
  <si>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</si>
  <si>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</si>
  <si>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</si>
  <si>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</si>
  <si>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</si>
  <si>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</si>
  <si>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</si>
  <si>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</si>
  <si>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铜冠铜箔</t>
  </si>
  <si>
    <t>www.lixinger.com/analytics/company/sz/301217/301217/detail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</si>
  <si>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</si>
  <si>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</si>
  <si>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</si>
  <si>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</si>
  <si>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</si>
  <si>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</si>
  <si>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</si>
  <si>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</si>
  <si>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</si>
  <si>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</si>
  <si>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</si>
  <si>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</si>
  <si>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</si>
  <si>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</si>
  <si>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铭利达</t>
  </si>
  <si>
    <t>www.lixinger.com/analytics/company/sz/301268/301268/detail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</si>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</sst>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86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F2">
        <v>41536000000</v>
      </c>
      <c r="G2">
        <v>44742000000</v>
      </c>
      <c r="H2">
        <v>48350000000</v>
      </c>
      <c r="I2">
        <v>43207000000</v>
      </c>
      <c r="J2">
        <v>41892000000</v>
      </c>
      <c r="K2">
        <v>40682000000</v>
      </c>
      <c r="L2">
        <v>37162000000</v>
      </c>
      <c r="M2">
        <v>34799000000</v>
      </c>
      <c r="N2">
        <v>29818000000</v>
      </c>
      <c r="O2">
        <v>26125802000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-490145413</v>
      </c>
      <c r="G3">
        <v>-299385013</v>
      </c>
      <c r="H3">
        <v>572881333</v>
      </c>
      <c r="I3">
        <v>918641026</v>
      </c>
      <c r="J3">
        <v>1176700708</v>
      </c>
      <c r="K3">
        <v>1056932376</v>
      </c>
      <c r="L3">
        <v>926277349</v>
      </c>
      <c r="M3">
        <v>744891353</v>
      </c>
      <c r="N3">
        <v>664635416</v>
      </c>
      <c r="O3">
        <v>576252796</v>
      </c>
      <c r="P3">
        <v>1891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370277860.63</v>
      </c>
      <c r="L4">
        <v>-1001376258.5599999</v>
      </c>
      <c r="M4">
        <v>770398535.87</v>
      </c>
      <c r="N4">
        <v>650888596.14999998</v>
      </c>
      <c r="O4">
        <v>328010203.44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513990963</v>
      </c>
      <c r="G5">
        <v>490283299</v>
      </c>
      <c r="H5">
        <v>332033012</v>
      </c>
      <c r="I5">
        <v>413798035</v>
      </c>
      <c r="J5">
        <v>115351720</v>
      </c>
      <c r="K5">
        <v>227196741</v>
      </c>
      <c r="L5">
        <v>331956750</v>
      </c>
      <c r="M5">
        <v>185787913</v>
      </c>
      <c r="N5">
        <v>24440048</v>
      </c>
      <c r="O5">
        <v>18188100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775740967</v>
      </c>
      <c r="G6">
        <v>612489344</v>
      </c>
      <c r="H6">
        <v>738848557</v>
      </c>
      <c r="I6">
        <v>589824602</v>
      </c>
      <c r="J6">
        <v>477094006</v>
      </c>
      <c r="K6">
        <v>548679495</v>
      </c>
      <c r="L6">
        <v>465690425</v>
      </c>
      <c r="M6">
        <v>429136582</v>
      </c>
      <c r="N6">
        <v>331998763</v>
      </c>
      <c r="O6">
        <v>289017321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1914004043</v>
      </c>
      <c r="G7">
        <v>928245265</v>
      </c>
      <c r="H7">
        <v>565703797</v>
      </c>
      <c r="I7">
        <v>429196632</v>
      </c>
      <c r="J7">
        <v>423119961</v>
      </c>
      <c r="K7">
        <v>392669720</v>
      </c>
      <c r="L7">
        <v>243690122</v>
      </c>
      <c r="M7">
        <v>220579565</v>
      </c>
      <c r="N7">
        <v>217989793</v>
      </c>
      <c r="O7">
        <v>242041371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-1251080892</v>
      </c>
      <c r="G8">
        <v>-737430647</v>
      </c>
      <c r="H8">
        <v>3994520326</v>
      </c>
      <c r="I8">
        <v>3140539467</v>
      </c>
      <c r="J8">
        <v>2692122490</v>
      </c>
      <c r="K8">
        <v>2104734588</v>
      </c>
      <c r="L8">
        <v>1924702320</v>
      </c>
      <c r="M8">
        <v>1578687453</v>
      </c>
      <c r="N8">
        <v>1463048366</v>
      </c>
      <c r="O8">
        <v>1175935805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3777877172</v>
      </c>
      <c r="G9">
        <v>167176883</v>
      </c>
      <c r="H9">
        <v>1188850406</v>
      </c>
      <c r="I9">
        <v>2303934463</v>
      </c>
      <c r="J9">
        <v>1406576355</v>
      </c>
      <c r="K9">
        <v>235287594</v>
      </c>
      <c r="L9">
        <v>-1324853067</v>
      </c>
      <c r="M9">
        <v>56237736</v>
      </c>
      <c r="N9">
        <v>167522627</v>
      </c>
      <c r="O9">
        <v>80282246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782886659</v>
      </c>
      <c r="G10">
        <v>9133456650</v>
      </c>
      <c r="H10">
        <v>5389071929</v>
      </c>
      <c r="I10">
        <v>1988919775</v>
      </c>
      <c r="J10">
        <v>2860339024</v>
      </c>
      <c r="K10">
        <v>9388699756</v>
      </c>
      <c r="L10">
        <v>13234752709</v>
      </c>
      <c r="M10">
        <v>9995549682</v>
      </c>
      <c r="N10">
        <v>9186673504</v>
      </c>
      <c r="O10">
        <v>4194569647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1088827889</v>
      </c>
      <c r="G11">
        <v>481389081</v>
      </c>
      <c r="H11">
        <v>845539764</v>
      </c>
      <c r="I11">
        <v>851751809</v>
      </c>
      <c r="J11">
        <v>825982404</v>
      </c>
      <c r="K11">
        <v>700761382</v>
      </c>
      <c r="L11">
        <v>702485584</v>
      </c>
      <c r="M11">
        <v>670404459</v>
      </c>
      <c r="N11">
        <v>646171824</v>
      </c>
      <c r="O11">
        <v>592872926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F12">
        <v>16195000000</v>
      </c>
      <c r="G12">
        <v>14120000000</v>
      </c>
      <c r="H12">
        <v>15244000000</v>
      </c>
      <c r="I12">
        <v>14513000000</v>
      </c>
      <c r="J12">
        <v>14227000000</v>
      </c>
      <c r="K12">
        <v>14617000000</v>
      </c>
      <c r="L12">
        <v>13912000000</v>
      </c>
      <c r="M12">
        <v>13177000000</v>
      </c>
      <c r="N12">
        <v>11130000000</v>
      </c>
      <c r="O12">
        <v>9180388508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F13">
        <v>35487000000</v>
      </c>
      <c r="G13">
        <v>37329000000</v>
      </c>
      <c r="H13">
        <v>45529000000</v>
      </c>
      <c r="I13">
        <v>42685000000</v>
      </c>
      <c r="J13">
        <v>40243000000</v>
      </c>
      <c r="K13">
        <v>39163000000</v>
      </c>
      <c r="L13">
        <v>38377000000</v>
      </c>
      <c r="M13">
        <v>36778000000</v>
      </c>
      <c r="N13">
        <v>33314000000</v>
      </c>
      <c r="O13">
        <v>28810000000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566610754</v>
      </c>
      <c r="G14">
        <v>598036448</v>
      </c>
      <c r="H14">
        <v>535051659</v>
      </c>
      <c r="I14">
        <v>538722435</v>
      </c>
      <c r="J14">
        <v>336405390</v>
      </c>
      <c r="K14">
        <v>230969674</v>
      </c>
      <c r="L14">
        <v>353279620</v>
      </c>
      <c r="M14">
        <v>569967499</v>
      </c>
      <c r="N14">
        <v>611533824</v>
      </c>
      <c r="O14">
        <v>580735590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11742125593</v>
      </c>
      <c r="G15">
        <v>6009561113</v>
      </c>
      <c r="H15">
        <v>6766942245</v>
      </c>
      <c r="I15">
        <v>5109122994</v>
      </c>
      <c r="J15">
        <v>4763294170</v>
      </c>
      <c r="K15">
        <v>3958005195</v>
      </c>
      <c r="L15">
        <v>4524713523</v>
      </c>
      <c r="M15">
        <v>4679385941</v>
      </c>
      <c r="N15">
        <v>3963226470</v>
      </c>
      <c r="O15">
        <v>3524937963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21590195387</v>
      </c>
      <c r="G16">
        <v>7858964873</v>
      </c>
      <c r="H16">
        <v>8874379887</v>
      </c>
      <c r="I16">
        <v>15747434222</v>
      </c>
      <c r="J16">
        <v>11668343331</v>
      </c>
      <c r="K16">
        <v>5597518068</v>
      </c>
      <c r="L16">
        <v>2254026166</v>
      </c>
      <c r="M16">
        <v>5009967783</v>
      </c>
      <c r="N16">
        <v>4641521567</v>
      </c>
      <c r="O16">
        <v>10791147191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770639036</v>
      </c>
      <c r="G17">
        <v>125062690</v>
      </c>
      <c r="H17">
        <v>1325062363</v>
      </c>
      <c r="I17">
        <v>979012627</v>
      </c>
      <c r="J17">
        <v>1086936150</v>
      </c>
      <c r="K17">
        <v>639860398</v>
      </c>
      <c r="L17">
        <v>1099990931</v>
      </c>
      <c r="M17">
        <v>532301896</v>
      </c>
      <c r="N17">
        <v>297625104</v>
      </c>
      <c r="O17">
        <v>289395696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389227392</v>
      </c>
      <c r="G18">
        <v>1206844784</v>
      </c>
      <c r="H18">
        <v>911472889</v>
      </c>
      <c r="I18">
        <v>713748675</v>
      </c>
      <c r="J18">
        <v>365537071</v>
      </c>
      <c r="K18">
        <v>818171899</v>
      </c>
      <c r="L18">
        <v>911978530</v>
      </c>
      <c r="M18">
        <v>609585546</v>
      </c>
      <c r="N18">
        <v>897234677</v>
      </c>
      <c r="O18">
        <v>514955615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2854170986</v>
      </c>
      <c r="G19">
        <v>587932407</v>
      </c>
      <c r="H19">
        <v>489535903</v>
      </c>
      <c r="I19">
        <v>2418078020</v>
      </c>
      <c r="J19">
        <v>1072698155</v>
      </c>
      <c r="K19">
        <v>24439363</v>
      </c>
      <c r="L19">
        <v>-775401748</v>
      </c>
      <c r="M19">
        <v>-991019207</v>
      </c>
      <c r="N19">
        <v>-128257549</v>
      </c>
      <c r="O19">
        <v>-1957134644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2260747452</v>
      </c>
      <c r="G20">
        <v>5207659134</v>
      </c>
      <c r="H20">
        <v>3626867661</v>
      </c>
      <c r="I20">
        <v>3754078842</v>
      </c>
      <c r="J20">
        <v>3772454117</v>
      </c>
      <c r="K20">
        <v>5841511776</v>
      </c>
      <c r="L20">
        <v>5626773004</v>
      </c>
      <c r="M20">
        <v>4246533594</v>
      </c>
      <c r="N20">
        <v>4855581449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4861921248</v>
      </c>
      <c r="G21">
        <v>4347006692</v>
      </c>
      <c r="H21">
        <v>4864984436</v>
      </c>
      <c r="I21">
        <v>2244941905</v>
      </c>
      <c r="J21">
        <v>1614065089</v>
      </c>
      <c r="K21">
        <v>789372992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443781530</v>
      </c>
      <c r="G22">
        <v>3324223271</v>
      </c>
      <c r="H22">
        <v>582803350</v>
      </c>
      <c r="I22">
        <v>-268314661</v>
      </c>
      <c r="J22">
        <v>1247612119</v>
      </c>
      <c r="K22">
        <v>2224067922</v>
      </c>
      <c r="L22">
        <v>690621705</v>
      </c>
      <c r="M22">
        <v>85288268</v>
      </c>
      <c r="N22">
        <v>-1195218511</v>
      </c>
      <c r="O22">
        <v>-406167376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1622777000</v>
      </c>
      <c r="G23">
        <v>3632085000</v>
      </c>
      <c r="H23">
        <v>2512578000</v>
      </c>
      <c r="I23">
        <v>1525739000</v>
      </c>
      <c r="J23">
        <v>-237396000</v>
      </c>
      <c r="K23">
        <v>3718428000</v>
      </c>
      <c r="L23">
        <v>6068588000</v>
      </c>
      <c r="M23">
        <v>4251377000</v>
      </c>
      <c r="N23">
        <v>2922996000</v>
      </c>
      <c r="O23">
        <v>415405000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59892000000</v>
      </c>
      <c r="G24">
        <v>23507000000</v>
      </c>
      <c r="H24">
        <v>43281000000</v>
      </c>
      <c r="I24">
        <v>59980000000</v>
      </c>
      <c r="J24">
        <v>38373000000</v>
      </c>
      <c r="K24">
        <v>29166000000</v>
      </c>
      <c r="L24">
        <v>25848000000</v>
      </c>
      <c r="M24">
        <v>51169000000</v>
      </c>
      <c r="N24">
        <v>51600000000</v>
      </c>
      <c r="O24">
        <v>41946000000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-6119000000</v>
      </c>
      <c r="G25">
        <v>-7463000000</v>
      </c>
      <c r="H25">
        <v>4078000000</v>
      </c>
      <c r="I25">
        <v>4175000000</v>
      </c>
      <c r="J25">
        <v>7050000000</v>
      </c>
      <c r="K25">
        <v>6441000000</v>
      </c>
      <c r="L25">
        <v>4656000000</v>
      </c>
      <c r="M25">
        <v>1256000000</v>
      </c>
      <c r="N25">
        <v>2460000000</v>
      </c>
      <c r="O25">
        <v>2665000000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F26">
        <v>17645144597</v>
      </c>
      <c r="G26">
        <v>12660811987</v>
      </c>
      <c r="H26">
        <v>10522213380</v>
      </c>
      <c r="I26">
        <v>7314589126</v>
      </c>
      <c r="J26">
        <v>7927026700</v>
      </c>
      <c r="K26">
        <v>7940947373</v>
      </c>
      <c r="L26">
        <v>15985958005</v>
      </c>
      <c r="M26">
        <v>6364814413</v>
      </c>
      <c r="N26">
        <v>3696696746</v>
      </c>
      <c r="O26">
        <v>2920392432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12566794000</v>
      </c>
      <c r="G27">
        <v>12450341000</v>
      </c>
      <c r="H27">
        <v>9159443000</v>
      </c>
      <c r="I27">
        <v>4883396000</v>
      </c>
      <c r="J27">
        <v>1802687000</v>
      </c>
      <c r="K27">
        <v>174584000</v>
      </c>
      <c r="L27">
        <v>38468000</v>
      </c>
      <c r="M27">
        <v>1592342000</v>
      </c>
      <c r="N27">
        <v>2977319000</v>
      </c>
      <c r="O27">
        <v>5874429471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407995570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713371207</v>
      </c>
      <c r="G29">
        <v>248307002</v>
      </c>
      <c r="H29">
        <v>664151697</v>
      </c>
      <c r="I29">
        <v>606718764</v>
      </c>
      <c r="J29">
        <v>589804010</v>
      </c>
      <c r="K29">
        <v>538073069</v>
      </c>
      <c r="L29">
        <v>475271205</v>
      </c>
      <c r="M29">
        <v>499226283</v>
      </c>
      <c r="N29">
        <v>449156805</v>
      </c>
      <c r="O29">
        <v>351493892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626759432</v>
      </c>
      <c r="G30">
        <v>266970014</v>
      </c>
      <c r="H30">
        <v>517636785</v>
      </c>
      <c r="I30">
        <v>490791967</v>
      </c>
      <c r="J30">
        <v>482999925</v>
      </c>
      <c r="K30">
        <v>323189746</v>
      </c>
      <c r="L30">
        <v>394717316</v>
      </c>
      <c r="M30">
        <v>268487981</v>
      </c>
      <c r="N30">
        <v>229892812</v>
      </c>
      <c r="O30">
        <v>201999973</v>
      </c>
      <c r="P30">
        <v>289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F31">
        <v>93615000000</v>
      </c>
      <c r="G31">
        <v>76603000000</v>
      </c>
      <c r="H31">
        <v>77239000000</v>
      </c>
      <c r="I31">
        <v>67380000000</v>
      </c>
      <c r="J31">
        <v>58805000000</v>
      </c>
      <c r="K31">
        <v>52142000000</v>
      </c>
      <c r="L31">
        <v>48500000000</v>
      </c>
      <c r="M31">
        <v>45804000000</v>
      </c>
      <c r="N31">
        <v>39498000000</v>
      </c>
      <c r="O31">
        <v>34790000000</v>
      </c>
      <c r="P31">
        <v>68588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80328460</v>
      </c>
      <c r="G32">
        <v>151342801</v>
      </c>
      <c r="H32">
        <v>472636570</v>
      </c>
      <c r="I32">
        <v>546887316</v>
      </c>
      <c r="J32">
        <v>637231492</v>
      </c>
      <c r="K32">
        <v>594894387</v>
      </c>
      <c r="L32">
        <v>430747899</v>
      </c>
      <c r="M32">
        <v>296038214</v>
      </c>
      <c r="N32">
        <v>288951110</v>
      </c>
      <c r="O32">
        <v>232148839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619049115</v>
      </c>
      <c r="G33">
        <v>490490562</v>
      </c>
      <c r="H33">
        <v>404668427</v>
      </c>
      <c r="I33">
        <v>306291311</v>
      </c>
      <c r="J33">
        <v>271427474</v>
      </c>
      <c r="K33">
        <v>303711962</v>
      </c>
      <c r="L33">
        <v>288776239</v>
      </c>
      <c r="M33">
        <v>241963428</v>
      </c>
      <c r="N33">
        <v>101876042</v>
      </c>
      <c r="O33">
        <v>73693343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3469916544</v>
      </c>
      <c r="G34">
        <v>1719146023</v>
      </c>
      <c r="H34">
        <v>841705016</v>
      </c>
      <c r="I34">
        <v>551670358</v>
      </c>
      <c r="J34">
        <v>434873896</v>
      </c>
      <c r="K34">
        <v>575061134</v>
      </c>
      <c r="L34">
        <v>442427721</v>
      </c>
      <c r="M34">
        <v>614971436</v>
      </c>
      <c r="N34">
        <v>441598661</v>
      </c>
      <c r="O34">
        <v>435395418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13583432160</v>
      </c>
      <c r="G35">
        <v>13203563865</v>
      </c>
      <c r="H35">
        <v>12833373316</v>
      </c>
      <c r="I35">
        <v>9595629317</v>
      </c>
      <c r="J35">
        <v>8269238759</v>
      </c>
      <c r="K35">
        <v>7109935661</v>
      </c>
      <c r="L35">
        <v>6469728592</v>
      </c>
      <c r="M35">
        <v>6079512373</v>
      </c>
      <c r="N35">
        <v>4611896703</v>
      </c>
      <c r="O35">
        <v>3820524490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5675887761</v>
      </c>
      <c r="G36">
        <v>4783802879</v>
      </c>
      <c r="H36">
        <v>4316105308</v>
      </c>
      <c r="I36">
        <v>3470031077</v>
      </c>
      <c r="J36">
        <v>1311944605</v>
      </c>
      <c r="K36">
        <v>488762989</v>
      </c>
      <c r="L36">
        <v>2690575255</v>
      </c>
      <c r="M36">
        <v>3499982630</v>
      </c>
      <c r="N36">
        <v>2782218677</v>
      </c>
      <c r="O36">
        <v>1832501509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119861741</v>
      </c>
      <c r="G37">
        <v>343363418</v>
      </c>
      <c r="H37">
        <v>54672207</v>
      </c>
      <c r="I37">
        <v>80449114</v>
      </c>
      <c r="J37">
        <v>103190630</v>
      </c>
      <c r="K37">
        <v>97543197</v>
      </c>
      <c r="L37">
        <v>115188655</v>
      </c>
      <c r="M37">
        <v>95780582</v>
      </c>
      <c r="N37">
        <v>3721322</v>
      </c>
      <c r="O37">
        <v>14838516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20288715</v>
      </c>
      <c r="G38">
        <v>11257285</v>
      </c>
      <c r="H38">
        <v>1202542458</v>
      </c>
      <c r="I38">
        <v>108170831</v>
      </c>
      <c r="J38">
        <v>39979489</v>
      </c>
      <c r="K38">
        <v>443550358</v>
      </c>
      <c r="L38">
        <v>-103890388</v>
      </c>
      <c r="M38">
        <v>442192506</v>
      </c>
      <c r="N38">
        <v>1163173</v>
      </c>
      <c r="O38">
        <v>-27064372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64347804</v>
      </c>
      <c r="G39">
        <v>130181666</v>
      </c>
      <c r="H39">
        <v>225715433</v>
      </c>
      <c r="I39">
        <v>168809735</v>
      </c>
      <c r="J39">
        <v>135206669</v>
      </c>
      <c r="K39">
        <v>274385706</v>
      </c>
      <c r="L39">
        <v>29150990</v>
      </c>
      <c r="M39">
        <v>37668225</v>
      </c>
      <c r="N39">
        <v>9570228</v>
      </c>
      <c r="O39">
        <v>1596556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24619072</v>
      </c>
      <c r="G40">
        <v>-47935937</v>
      </c>
      <c r="H40">
        <v>335996516</v>
      </c>
      <c r="I40">
        <v>420848943</v>
      </c>
      <c r="J40">
        <v>342303208</v>
      </c>
      <c r="K40">
        <v>326097841</v>
      </c>
      <c r="L40">
        <v>292282736</v>
      </c>
      <c r="M40">
        <v>213541568</v>
      </c>
      <c r="N40">
        <v>152515905</v>
      </c>
      <c r="O40">
        <v>260883247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120312033</v>
      </c>
      <c r="G41">
        <v>148040394</v>
      </c>
      <c r="H41">
        <v>91097003</v>
      </c>
      <c r="I41">
        <v>88399716</v>
      </c>
      <c r="J41">
        <v>63128803</v>
      </c>
      <c r="K41">
        <v>44913512</v>
      </c>
      <c r="L41">
        <v>25322518</v>
      </c>
      <c r="M41">
        <v>13976053</v>
      </c>
      <c r="N41">
        <v>18513131</v>
      </c>
      <c r="O41">
        <v>24064267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835613034</v>
      </c>
      <c r="G42">
        <v>1238055672</v>
      </c>
      <c r="H42">
        <v>968730891</v>
      </c>
      <c r="I42">
        <v>1240261417</v>
      </c>
      <c r="J42">
        <v>987697930</v>
      </c>
      <c r="K42">
        <v>745927454</v>
      </c>
      <c r="L42">
        <v>517391038</v>
      </c>
      <c r="M42">
        <v>421383527</v>
      </c>
      <c r="N42">
        <v>325898073</v>
      </c>
      <c r="O42">
        <v>267306536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1656175819</v>
      </c>
      <c r="G43">
        <v>932718051</v>
      </c>
      <c r="H43">
        <v>826796137</v>
      </c>
      <c r="I43">
        <v>818829744</v>
      </c>
      <c r="J43">
        <v>494841542</v>
      </c>
      <c r="K43">
        <v>375185485</v>
      </c>
      <c r="L43">
        <v>165546930</v>
      </c>
      <c r="M43">
        <v>206276786</v>
      </c>
      <c r="N43">
        <v>13141534</v>
      </c>
      <c r="O43">
        <v>-31193805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352356568</v>
      </c>
      <c r="G44">
        <v>247539712</v>
      </c>
      <c r="H44">
        <v>140911793</v>
      </c>
      <c r="I44">
        <v>-395683594</v>
      </c>
      <c r="J44">
        <v>38269796</v>
      </c>
      <c r="K44">
        <v>29886339</v>
      </c>
      <c r="L44">
        <v>-920784965</v>
      </c>
      <c r="M44">
        <v>176678479</v>
      </c>
      <c r="N44">
        <v>231914107</v>
      </c>
      <c r="O44">
        <v>-518984182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127525109</v>
      </c>
      <c r="G45">
        <v>85856751</v>
      </c>
      <c r="H45">
        <v>120063926</v>
      </c>
      <c r="I45">
        <v>114721362</v>
      </c>
      <c r="J45">
        <v>102487553</v>
      </c>
      <c r="K45">
        <v>95888792</v>
      </c>
      <c r="L45">
        <v>85345957</v>
      </c>
      <c r="M45">
        <v>72046858</v>
      </c>
      <c r="N45">
        <v>118012922</v>
      </c>
      <c r="O45">
        <v>133698447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625953397</v>
      </c>
      <c r="G46">
        <v>575362149</v>
      </c>
      <c r="H46">
        <v>264633850</v>
      </c>
      <c r="I46">
        <v>364196545</v>
      </c>
      <c r="J46">
        <v>599586603</v>
      </c>
      <c r="K46">
        <v>1139778114</v>
      </c>
      <c r="L46">
        <v>928046109</v>
      </c>
      <c r="M46">
        <v>919222062</v>
      </c>
      <c r="N46">
        <v>1126911772</v>
      </c>
      <c r="O46">
        <v>907078741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3934042750</v>
      </c>
      <c r="G47">
        <v>3552101999</v>
      </c>
      <c r="H47">
        <v>2455729495</v>
      </c>
      <c r="I47">
        <v>1097882163</v>
      </c>
      <c r="J47">
        <v>1927249786</v>
      </c>
      <c r="K47">
        <v>2113440449</v>
      </c>
      <c r="L47">
        <v>3490345918</v>
      </c>
      <c r="M47">
        <v>-16315883</v>
      </c>
      <c r="N47">
        <v>5977860</v>
      </c>
      <c r="O47">
        <v>-4734041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889041878</v>
      </c>
      <c r="G48">
        <v>873321158</v>
      </c>
      <c r="H48">
        <v>918583238</v>
      </c>
      <c r="I48">
        <v>843956000</v>
      </c>
      <c r="J48">
        <v>724875358</v>
      </c>
      <c r="K48">
        <v>601515502</v>
      </c>
      <c r="L48">
        <v>429787489</v>
      </c>
      <c r="M48">
        <v>429621473</v>
      </c>
      <c r="N48">
        <v>524123221</v>
      </c>
      <c r="O48">
        <v>477542312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720662564</v>
      </c>
      <c r="G49">
        <v>363707958</v>
      </c>
      <c r="H49">
        <v>301082518</v>
      </c>
      <c r="I49">
        <v>138052253</v>
      </c>
      <c r="J49">
        <v>110806411</v>
      </c>
      <c r="K49">
        <v>100324641</v>
      </c>
      <c r="L49">
        <v>70608669</v>
      </c>
      <c r="M49">
        <v>121649436</v>
      </c>
      <c r="N49">
        <v>-38107081</v>
      </c>
      <c r="O49">
        <v>-28140397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1956549176</v>
      </c>
      <c r="G50">
        <v>1812203712</v>
      </c>
      <c r="H50">
        <v>1464454777</v>
      </c>
      <c r="I50">
        <v>796858733</v>
      </c>
      <c r="J50">
        <v>542289422</v>
      </c>
      <c r="K50">
        <v>907106595</v>
      </c>
      <c r="L50">
        <v>722661541</v>
      </c>
      <c r="M50">
        <v>296219003</v>
      </c>
      <c r="N50">
        <v>289136537</v>
      </c>
      <c r="O50">
        <v>252211568</v>
      </c>
      <c r="P50">
        <v>431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-131861221.23</v>
      </c>
      <c r="L51">
        <v>-33893156.420000002</v>
      </c>
      <c r="M51">
        <v>-10738732.199999999</v>
      </c>
      <c r="N51">
        <v>-23938932.289999999</v>
      </c>
      <c r="O51">
        <v>-55594767.520000003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261600980</v>
      </c>
      <c r="G52">
        <v>156489327</v>
      </c>
      <c r="H52">
        <v>1324880886</v>
      </c>
      <c r="I52">
        <v>1197728740</v>
      </c>
      <c r="J52">
        <v>1902335859</v>
      </c>
      <c r="K52">
        <v>2276338554</v>
      </c>
      <c r="L52">
        <v>1865296604</v>
      </c>
      <c r="M52">
        <v>1127129111</v>
      </c>
      <c r="N52">
        <v>903117971</v>
      </c>
      <c r="O52">
        <v>973043765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19667977</v>
      </c>
      <c r="G53">
        <v>386685126</v>
      </c>
      <c r="H53">
        <v>247516042</v>
      </c>
      <c r="I53">
        <v>305320186</v>
      </c>
      <c r="J53">
        <v>525922968</v>
      </c>
      <c r="K53">
        <v>248338558</v>
      </c>
      <c r="L53">
        <v>242160987</v>
      </c>
      <c r="M53">
        <v>340822461</v>
      </c>
      <c r="N53">
        <v>1301566565</v>
      </c>
      <c r="O53">
        <v>493067703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2513967060</v>
      </c>
      <c r="H54">
        <v>3198116794</v>
      </c>
      <c r="I54">
        <v>2787060170</v>
      </c>
      <c r="J54">
        <v>2589316929</v>
      </c>
      <c r="K54">
        <v>2242857034</v>
      </c>
      <c r="L54">
        <v>1794923350</v>
      </c>
      <c r="M54">
        <v>1742910641</v>
      </c>
      <c r="N54">
        <v>1278087434</v>
      </c>
      <c r="O54">
        <v>1255245681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-183556620</v>
      </c>
      <c r="I55">
        <v>14477806</v>
      </c>
      <c r="J55">
        <v>16249579</v>
      </c>
      <c r="K55">
        <v>-107305586</v>
      </c>
      <c r="L55">
        <v>-82625030</v>
      </c>
      <c r="M55">
        <v>-205593947</v>
      </c>
      <c r="N55">
        <v>-186574482</v>
      </c>
      <c r="O55">
        <v>-131693382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-7205874</v>
      </c>
      <c r="G56">
        <v>347941968</v>
      </c>
      <c r="H56">
        <v>358571221</v>
      </c>
      <c r="I56">
        <v>141984254</v>
      </c>
      <c r="J56">
        <v>130689268</v>
      </c>
      <c r="K56">
        <v>5855692</v>
      </c>
      <c r="L56">
        <v>483993</v>
      </c>
      <c r="M56">
        <v>13973510</v>
      </c>
      <c r="N56">
        <v>36389768</v>
      </c>
      <c r="O56">
        <v>35765844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10047170</v>
      </c>
      <c r="G57">
        <v>812398</v>
      </c>
      <c r="H57">
        <v>-26258584</v>
      </c>
      <c r="I57">
        <v>-4257800</v>
      </c>
      <c r="J57">
        <v>-35456699</v>
      </c>
      <c r="K57">
        <v>-48615321</v>
      </c>
      <c r="L57">
        <v>-16658171</v>
      </c>
      <c r="M57">
        <v>-37881523</v>
      </c>
      <c r="N57">
        <v>-21373805</v>
      </c>
      <c r="O57">
        <v>1119460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84339453</v>
      </c>
      <c r="G58">
        <v>14563638</v>
      </c>
      <c r="H58">
        <v>60822447</v>
      </c>
      <c r="I58">
        <v>2633947</v>
      </c>
      <c r="J58">
        <v>16664430</v>
      </c>
      <c r="K58">
        <v>-63889012</v>
      </c>
      <c r="L58">
        <v>-45016160</v>
      </c>
      <c r="M58">
        <v>-77559819</v>
      </c>
      <c r="N58">
        <v>-94798255</v>
      </c>
      <c r="O58">
        <v>-2509203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339065219</v>
      </c>
      <c r="G59">
        <v>385583861</v>
      </c>
      <c r="H59">
        <v>332957463</v>
      </c>
      <c r="I59">
        <v>302025555</v>
      </c>
      <c r="J59">
        <v>299572277</v>
      </c>
      <c r="K59">
        <v>290515041</v>
      </c>
      <c r="L59">
        <v>108717048</v>
      </c>
      <c r="M59">
        <v>112260120</v>
      </c>
      <c r="N59">
        <v>101007971</v>
      </c>
      <c r="O59">
        <v>100626536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-311919067</v>
      </c>
      <c r="I60">
        <v>-366638878</v>
      </c>
      <c r="J60">
        <v>403555581</v>
      </c>
      <c r="K60">
        <v>615890403</v>
      </c>
      <c r="L60">
        <v>192911210</v>
      </c>
      <c r="M60">
        <v>25625166</v>
      </c>
      <c r="N60">
        <v>-97771716</v>
      </c>
      <c r="O60">
        <v>-149868049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1439759206</v>
      </c>
      <c r="G61">
        <v>466134714</v>
      </c>
      <c r="H61">
        <v>54577134</v>
      </c>
      <c r="I61">
        <v>314869674</v>
      </c>
      <c r="J61">
        <v>510824781</v>
      </c>
      <c r="K61">
        <v>399592273</v>
      </c>
      <c r="L61">
        <v>21929024</v>
      </c>
      <c r="M61">
        <v>43566594</v>
      </c>
      <c r="N61">
        <v>-118954789</v>
      </c>
      <c r="O61">
        <v>-19165260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40041927</v>
      </c>
      <c r="G62">
        <v>-174571118</v>
      </c>
      <c r="H62">
        <v>346848410</v>
      </c>
      <c r="I62">
        <v>361503553</v>
      </c>
      <c r="J62">
        <v>347655076</v>
      </c>
      <c r="K62">
        <v>286757022</v>
      </c>
      <c r="L62">
        <v>-19395751</v>
      </c>
      <c r="M62">
        <v>-15678233</v>
      </c>
      <c r="N62">
        <v>-17046096</v>
      </c>
      <c r="O62">
        <v>-15939157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60856882</v>
      </c>
      <c r="G63">
        <v>166288243</v>
      </c>
      <c r="H63">
        <v>-68844880</v>
      </c>
      <c r="I63">
        <v>170930914</v>
      </c>
      <c r="J63">
        <v>15646458</v>
      </c>
      <c r="K63">
        <v>85228019</v>
      </c>
      <c r="L63">
        <v>11517696</v>
      </c>
      <c r="M63">
        <v>6134242</v>
      </c>
      <c r="N63">
        <v>18388745</v>
      </c>
      <c r="O63">
        <v>304329483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63294491</v>
      </c>
      <c r="G64">
        <v>5716195</v>
      </c>
      <c r="H64">
        <v>59053603</v>
      </c>
      <c r="I64">
        <v>3970622</v>
      </c>
      <c r="J64">
        <v>41828463</v>
      </c>
      <c r="K64">
        <v>39611272</v>
      </c>
      <c r="L64">
        <v>20939201</v>
      </c>
      <c r="M64">
        <v>26927426</v>
      </c>
      <c r="N64">
        <v>40000973</v>
      </c>
      <c r="O64">
        <v>38095314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1093947703</v>
      </c>
      <c r="G65">
        <v>612683087</v>
      </c>
      <c r="H65">
        <v>745600172</v>
      </c>
      <c r="I65">
        <v>648430588</v>
      </c>
      <c r="J65">
        <v>1939611777</v>
      </c>
      <c r="K65">
        <v>623063464</v>
      </c>
      <c r="L65">
        <v>441242145</v>
      </c>
      <c r="M65">
        <v>327836754</v>
      </c>
      <c r="N65">
        <v>310607758</v>
      </c>
      <c r="O65">
        <v>327112017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23017508</v>
      </c>
      <c r="G66">
        <v>34799835</v>
      </c>
      <c r="H66">
        <v>41470354</v>
      </c>
      <c r="I66">
        <v>34859430</v>
      </c>
      <c r="J66">
        <v>28845763</v>
      </c>
      <c r="K66">
        <v>25442057</v>
      </c>
      <c r="L66">
        <v>21965793</v>
      </c>
      <c r="M66">
        <v>29248619</v>
      </c>
      <c r="N66">
        <v>30984790</v>
      </c>
      <c r="O66">
        <v>38751779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116532913</v>
      </c>
      <c r="G67">
        <v>93922604</v>
      </c>
      <c r="H67">
        <v>105450105</v>
      </c>
      <c r="I67">
        <v>120531983</v>
      </c>
      <c r="J67">
        <v>125537463</v>
      </c>
      <c r="K67">
        <v>77741178</v>
      </c>
      <c r="L67">
        <v>136319427</v>
      </c>
      <c r="M67">
        <v>155575107</v>
      </c>
      <c r="N67">
        <v>154443307</v>
      </c>
      <c r="O67">
        <v>75273609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-43962761</v>
      </c>
      <c r="G68">
        <v>-38772190</v>
      </c>
      <c r="H68">
        <v>17072057</v>
      </c>
      <c r="I68">
        <v>1077479</v>
      </c>
      <c r="J68">
        <v>-43394380</v>
      </c>
      <c r="K68">
        <v>-48573856</v>
      </c>
      <c r="L68">
        <v>-5162228</v>
      </c>
      <c r="M68">
        <v>54784854</v>
      </c>
      <c r="N68">
        <v>23444197</v>
      </c>
      <c r="O68">
        <v>28035008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-12118769</v>
      </c>
      <c r="G69">
        <v>-20569054</v>
      </c>
      <c r="H69">
        <v>14383249</v>
      </c>
      <c r="I69">
        <v>14845672</v>
      </c>
      <c r="J69">
        <v>-480117</v>
      </c>
      <c r="K69">
        <v>4825768</v>
      </c>
      <c r="L69">
        <v>10541132</v>
      </c>
      <c r="M69">
        <v>3170151</v>
      </c>
      <c r="N69">
        <v>6362180</v>
      </c>
      <c r="O69">
        <v>-3995630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7832556</v>
      </c>
      <c r="G70">
        <v>-37049171</v>
      </c>
      <c r="H70">
        <v>1399242</v>
      </c>
      <c r="I70">
        <v>-83872143</v>
      </c>
      <c r="J70">
        <v>-72936246</v>
      </c>
      <c r="K70">
        <v>-69503416</v>
      </c>
      <c r="L70">
        <v>-104547514</v>
      </c>
      <c r="M70">
        <v>-119048586</v>
      </c>
      <c r="N70">
        <v>-97487067</v>
      </c>
      <c r="O70">
        <v>-111792443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919998677</v>
      </c>
      <c r="G71">
        <v>715031825</v>
      </c>
      <c r="H71">
        <v>850127347</v>
      </c>
      <c r="I71">
        <v>849761832</v>
      </c>
      <c r="J71">
        <v>819323138</v>
      </c>
      <c r="K71">
        <v>758118036</v>
      </c>
      <c r="L71">
        <v>662836614</v>
      </c>
      <c r="M71">
        <v>579462388</v>
      </c>
      <c r="N71">
        <v>507462952</v>
      </c>
      <c r="O71">
        <v>437746515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-656891992</v>
      </c>
      <c r="H72">
        <v>-508351301</v>
      </c>
      <c r="I72">
        <v>-70987211</v>
      </c>
      <c r="J72">
        <v>250697228</v>
      </c>
      <c r="K72">
        <v>220625744</v>
      </c>
      <c r="L72">
        <v>292038141</v>
      </c>
      <c r="M72">
        <v>85427751</v>
      </c>
      <c r="N72">
        <v>149491467</v>
      </c>
      <c r="O72">
        <v>148032753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434525639.23000002</v>
      </c>
      <c r="L73">
        <v>476795722.94999999</v>
      </c>
      <c r="M73">
        <v>-767829205.23000002</v>
      </c>
      <c r="N73">
        <v>-984708341.75999999</v>
      </c>
      <c r="O73">
        <v>-940611037.19000006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-13609779</v>
      </c>
      <c r="G74">
        <v>-81127996</v>
      </c>
      <c r="H74">
        <v>75794397</v>
      </c>
      <c r="I74">
        <v>77434361</v>
      </c>
      <c r="J74">
        <v>66271759</v>
      </c>
      <c r="K74">
        <v>-12693663</v>
      </c>
      <c r="L74">
        <v>40423759</v>
      </c>
      <c r="M74">
        <v>38552938</v>
      </c>
      <c r="N74">
        <v>47171773</v>
      </c>
      <c r="O74">
        <v>16935230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5191013225</v>
      </c>
      <c r="G75">
        <v>1555726008</v>
      </c>
      <c r="H75">
        <v>1667655933</v>
      </c>
      <c r="I75">
        <v>1938652085</v>
      </c>
      <c r="J75">
        <v>1855795584</v>
      </c>
      <c r="K75">
        <v>1766633502</v>
      </c>
      <c r="L75">
        <v>1614727413</v>
      </c>
      <c r="M75">
        <v>1379327956</v>
      </c>
      <c r="N75">
        <v>1024789887</v>
      </c>
      <c r="O75">
        <v>791472319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-107711638</v>
      </c>
      <c r="G76">
        <v>15655942</v>
      </c>
      <c r="H76">
        <v>409002620</v>
      </c>
      <c r="I76">
        <v>402801477</v>
      </c>
      <c r="J76">
        <v>402070934</v>
      </c>
      <c r="K76">
        <v>247588392</v>
      </c>
      <c r="L76">
        <v>57505267</v>
      </c>
      <c r="M76">
        <v>61528893</v>
      </c>
      <c r="N76">
        <v>129329597</v>
      </c>
      <c r="O76">
        <v>37741205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-31566345</v>
      </c>
      <c r="G77">
        <v>-392220</v>
      </c>
      <c r="H77">
        <v>4197654</v>
      </c>
      <c r="I77">
        <v>-5304352</v>
      </c>
      <c r="J77">
        <v>13268968</v>
      </c>
      <c r="K77">
        <v>51074904</v>
      </c>
      <c r="L77">
        <v>-138419886</v>
      </c>
      <c r="M77">
        <v>-110437806</v>
      </c>
      <c r="N77">
        <v>-73990064</v>
      </c>
      <c r="O77">
        <v>-39884747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-2999299.62</v>
      </c>
      <c r="L78">
        <v>-2213480.4500000002</v>
      </c>
      <c r="M78">
        <v>-10314263.060000001</v>
      </c>
      <c r="N78">
        <v>-10882879.699999999</v>
      </c>
      <c r="O78">
        <v>-10704832.65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-315029949</v>
      </c>
      <c r="G79">
        <v>256132613</v>
      </c>
      <c r="H79">
        <v>776939087</v>
      </c>
      <c r="I79">
        <v>677239005</v>
      </c>
      <c r="J79">
        <v>613373582</v>
      </c>
      <c r="K79">
        <v>444588771</v>
      </c>
      <c r="L79">
        <v>123849784</v>
      </c>
      <c r="M79">
        <v>33870873</v>
      </c>
      <c r="N79">
        <v>31867042</v>
      </c>
      <c r="O79">
        <v>17631089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209487126</v>
      </c>
      <c r="G80">
        <v>326196059</v>
      </c>
      <c r="H80">
        <v>461866197</v>
      </c>
      <c r="I80">
        <v>55631723</v>
      </c>
      <c r="J80">
        <v>656959403</v>
      </c>
      <c r="K80">
        <v>794768130</v>
      </c>
      <c r="L80">
        <v>273640458</v>
      </c>
      <c r="M80">
        <v>55120160</v>
      </c>
      <c r="N80">
        <v>220513715</v>
      </c>
      <c r="O80">
        <v>96222634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390507050</v>
      </c>
      <c r="G81">
        <v>357200523</v>
      </c>
      <c r="H81">
        <v>2414044</v>
      </c>
      <c r="I81">
        <v>-2641542</v>
      </c>
      <c r="J81">
        <v>6157141</v>
      </c>
      <c r="K81">
        <v>-11582396</v>
      </c>
      <c r="L81">
        <v>-10261061</v>
      </c>
      <c r="M81">
        <v>7905452</v>
      </c>
      <c r="N81">
        <v>-27476572</v>
      </c>
      <c r="O81">
        <v>-32999769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2840349091</v>
      </c>
      <c r="G82">
        <v>105864654</v>
      </c>
      <c r="H82">
        <v>134446448</v>
      </c>
      <c r="I82">
        <v>82931439</v>
      </c>
      <c r="J82">
        <v>21011958</v>
      </c>
      <c r="K82">
        <v>-1558900274</v>
      </c>
      <c r="L82">
        <v>42796010</v>
      </c>
      <c r="M82">
        <v>-1574174555</v>
      </c>
      <c r="N82">
        <v>-851264824</v>
      </c>
      <c r="O82">
        <v>-365851138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194689225</v>
      </c>
      <c r="G83">
        <v>92354740</v>
      </c>
      <c r="H83">
        <v>101444117</v>
      </c>
      <c r="I83">
        <v>122504141</v>
      </c>
      <c r="J83">
        <v>27393938</v>
      </c>
      <c r="K83">
        <v>-156541134</v>
      </c>
      <c r="L83">
        <v>17123504</v>
      </c>
      <c r="M83">
        <v>76683005</v>
      </c>
      <c r="N83">
        <v>99084842</v>
      </c>
      <c r="O83">
        <v>148570894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743115473</v>
      </c>
      <c r="G84">
        <v>847420591</v>
      </c>
      <c r="H84">
        <v>697054068</v>
      </c>
      <c r="I84">
        <v>644694073</v>
      </c>
      <c r="J84">
        <v>592784027</v>
      </c>
      <c r="K84">
        <v>989774779</v>
      </c>
      <c r="L84">
        <v>985477495</v>
      </c>
      <c r="M84">
        <v>1008722494</v>
      </c>
      <c r="N84">
        <v>817064769</v>
      </c>
      <c r="O84">
        <v>679403632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6122809</v>
      </c>
      <c r="G85">
        <v>1474654</v>
      </c>
      <c r="H85">
        <v>770525</v>
      </c>
      <c r="I85">
        <v>207422</v>
      </c>
      <c r="J85">
        <v>2345420</v>
      </c>
      <c r="K85">
        <v>1828974</v>
      </c>
      <c r="L85">
        <v>2380152</v>
      </c>
      <c r="M85">
        <v>2253863</v>
      </c>
      <c r="N85">
        <v>765225</v>
      </c>
      <c r="O85">
        <v>1303962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-726413729</v>
      </c>
      <c r="G86">
        <v>-176408068</v>
      </c>
      <c r="H86">
        <v>703377227</v>
      </c>
      <c r="I86">
        <v>-572433374</v>
      </c>
      <c r="J86">
        <v>-184280593</v>
      </c>
      <c r="K86">
        <v>5097544410</v>
      </c>
      <c r="L86">
        <v>566765123</v>
      </c>
      <c r="M86">
        <v>123151891</v>
      </c>
      <c r="N86">
        <v>968722625</v>
      </c>
      <c r="O86">
        <v>273298751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102422544</v>
      </c>
      <c r="G87">
        <v>78893207</v>
      </c>
      <c r="H87">
        <v>93863593</v>
      </c>
      <c r="I87">
        <v>104989054</v>
      </c>
      <c r="J87">
        <v>93673002</v>
      </c>
      <c r="K87">
        <v>89602145</v>
      </c>
      <c r="L87">
        <v>87354661</v>
      </c>
      <c r="M87">
        <v>114193968</v>
      </c>
      <c r="N87">
        <v>217828752</v>
      </c>
      <c r="O87">
        <v>110928633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-128257548.87</v>
      </c>
      <c r="O88">
        <v>-1957134643.54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153935414</v>
      </c>
      <c r="G89">
        <v>-6643871</v>
      </c>
      <c r="H89">
        <v>113544429</v>
      </c>
      <c r="I89">
        <v>172259829</v>
      </c>
      <c r="J89">
        <v>100832424</v>
      </c>
      <c r="K89">
        <v>36222962</v>
      </c>
      <c r="L89">
        <v>-88613039</v>
      </c>
      <c r="M89">
        <v>4848735</v>
      </c>
      <c r="N89">
        <v>-33238071</v>
      </c>
      <c r="O89">
        <v>-86228847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20349795763</v>
      </c>
      <c r="G90">
        <v>16647779121</v>
      </c>
      <c r="H90">
        <v>20792582487</v>
      </c>
      <c r="I90">
        <v>27672371114</v>
      </c>
      <c r="J90">
        <v>24638637180</v>
      </c>
      <c r="K90">
        <v>23091550415</v>
      </c>
      <c r="L90">
        <v>21262000849</v>
      </c>
      <c r="M90">
        <v>20409323650</v>
      </c>
      <c r="N90">
        <v>17997488631</v>
      </c>
      <c r="O90">
        <v>16130686379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140863217</v>
      </c>
      <c r="G91">
        <v>-152701342</v>
      </c>
      <c r="H91">
        <v>17089988</v>
      </c>
      <c r="I91">
        <v>106722375</v>
      </c>
      <c r="J91">
        <v>170563349</v>
      </c>
      <c r="K91">
        <v>159673244</v>
      </c>
      <c r="L91">
        <v>117886875</v>
      </c>
      <c r="M91">
        <v>126712469</v>
      </c>
      <c r="N91">
        <v>23612955</v>
      </c>
      <c r="O91">
        <v>-27758670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229149439</v>
      </c>
      <c r="G92">
        <v>201230469</v>
      </c>
      <c r="H92">
        <v>230461310</v>
      </c>
      <c r="I92">
        <v>215374671</v>
      </c>
      <c r="J92">
        <v>230772584</v>
      </c>
      <c r="K92">
        <v>244180722</v>
      </c>
      <c r="L92">
        <v>174062676</v>
      </c>
      <c r="M92">
        <v>193738248</v>
      </c>
      <c r="N92">
        <v>166513764</v>
      </c>
      <c r="O92">
        <v>174162713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7910196</v>
      </c>
      <c r="G93">
        <v>-42483889</v>
      </c>
      <c r="H93">
        <v>41395570</v>
      </c>
      <c r="I93">
        <v>-3858677</v>
      </c>
      <c r="J93">
        <v>-6303852</v>
      </c>
      <c r="K93">
        <v>-10602431</v>
      </c>
      <c r="L93">
        <v>2959936</v>
      </c>
      <c r="M93">
        <v>-5592215</v>
      </c>
      <c r="N93">
        <v>10570293</v>
      </c>
      <c r="O93">
        <v>13976303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49238338</v>
      </c>
      <c r="G94">
        <v>15901946</v>
      </c>
      <c r="H94">
        <v>52441553</v>
      </c>
      <c r="I94">
        <v>62656873</v>
      </c>
      <c r="J94">
        <v>61815624</v>
      </c>
      <c r="K94">
        <v>54348169</v>
      </c>
      <c r="L94">
        <v>106889075</v>
      </c>
      <c r="M94">
        <v>181075068</v>
      </c>
      <c r="N94">
        <v>239824006</v>
      </c>
      <c r="O94">
        <v>303568756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F95">
        <v>1538225314</v>
      </c>
      <c r="G95">
        <v>1565220380</v>
      </c>
      <c r="H95">
        <v>877314950</v>
      </c>
      <c r="I95">
        <v>710284725</v>
      </c>
      <c r="J95">
        <v>878744283</v>
      </c>
      <c r="K95">
        <v>1013726637</v>
      </c>
      <c r="L95">
        <v>1683736024</v>
      </c>
      <c r="M95">
        <v>548783864</v>
      </c>
      <c r="N95">
        <v>236758014</v>
      </c>
      <c r="O95">
        <v>230915912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321581872</v>
      </c>
      <c r="G96">
        <v>-16322918</v>
      </c>
      <c r="H96">
        <v>63999501</v>
      </c>
      <c r="I96">
        <v>60784115</v>
      </c>
      <c r="J96">
        <v>163563016</v>
      </c>
      <c r="K96">
        <v>27200496</v>
      </c>
      <c r="L96">
        <v>-534485658</v>
      </c>
      <c r="M96">
        <v>-55283738</v>
      </c>
      <c r="N96">
        <v>5952606</v>
      </c>
      <c r="O96">
        <v>13021420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3149058016</v>
      </c>
      <c r="G97">
        <v>507885984</v>
      </c>
      <c r="H97">
        <v>461175010</v>
      </c>
      <c r="I97">
        <v>379393391</v>
      </c>
      <c r="J97">
        <v>349114796</v>
      </c>
      <c r="K97">
        <v>34337563</v>
      </c>
      <c r="L97">
        <v>301517557</v>
      </c>
      <c r="M97">
        <v>396859644</v>
      </c>
      <c r="N97">
        <v>1323887450</v>
      </c>
      <c r="O97">
        <v>1689469573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-36781654</v>
      </c>
      <c r="G98">
        <v>-95714595</v>
      </c>
      <c r="H98">
        <v>-73318614</v>
      </c>
      <c r="I98">
        <v>81351106</v>
      </c>
      <c r="J98">
        <v>16794899</v>
      </c>
      <c r="K98">
        <v>5487925</v>
      </c>
      <c r="L98">
        <v>4553319</v>
      </c>
      <c r="M98">
        <v>23074178</v>
      </c>
      <c r="N98">
        <v>31489337</v>
      </c>
      <c r="O98">
        <v>53413108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102146262</v>
      </c>
      <c r="G99">
        <v>103399016</v>
      </c>
      <c r="H99">
        <v>118799576</v>
      </c>
      <c r="I99">
        <v>85109666</v>
      </c>
      <c r="J99">
        <v>75437788</v>
      </c>
      <c r="K99">
        <v>79202783</v>
      </c>
      <c r="L99">
        <v>11184632</v>
      </c>
      <c r="M99">
        <v>12808949</v>
      </c>
      <c r="N99">
        <v>19129885</v>
      </c>
      <c r="O99">
        <v>27569748</v>
      </c>
      <c r="P99">
        <v>135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84647645</v>
      </c>
      <c r="G100">
        <v>48377252</v>
      </c>
      <c r="H100">
        <v>82337338</v>
      </c>
      <c r="I100">
        <v>248977786</v>
      </c>
      <c r="J100">
        <v>209904504</v>
      </c>
      <c r="K100">
        <v>108922160</v>
      </c>
      <c r="L100">
        <v>114644647</v>
      </c>
      <c r="M100">
        <v>99009033</v>
      </c>
      <c r="N100">
        <v>52212501</v>
      </c>
      <c r="O100">
        <v>29957162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-8162000000</v>
      </c>
      <c r="G101">
        <v>-9105000000</v>
      </c>
      <c r="H101">
        <v>4367000000</v>
      </c>
      <c r="I101">
        <v>4490000000</v>
      </c>
      <c r="J101">
        <v>7915000000</v>
      </c>
      <c r="K101">
        <v>6694000000</v>
      </c>
      <c r="L101">
        <v>5334000000</v>
      </c>
      <c r="M101">
        <v>2058000000</v>
      </c>
      <c r="N101">
        <v>3621361000</v>
      </c>
      <c r="O101">
        <v>3629755000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811311539</v>
      </c>
      <c r="G102">
        <v>384084796</v>
      </c>
      <c r="H102">
        <v>169719415</v>
      </c>
      <c r="I102">
        <v>174698383</v>
      </c>
      <c r="J102">
        <v>199097787</v>
      </c>
      <c r="K102">
        <v>197280379</v>
      </c>
      <c r="L102">
        <v>190621859</v>
      </c>
      <c r="M102">
        <v>116536131</v>
      </c>
      <c r="N102">
        <v>91416497</v>
      </c>
      <c r="O102">
        <v>74602018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-217718168</v>
      </c>
      <c r="G103">
        <v>9529056</v>
      </c>
      <c r="H103">
        <v>86599100</v>
      </c>
      <c r="I103">
        <v>-576104343</v>
      </c>
      <c r="J103">
        <v>-161184959</v>
      </c>
      <c r="K103">
        <v>-349917895</v>
      </c>
      <c r="L103">
        <v>-507318239</v>
      </c>
      <c r="M103">
        <v>-161520945</v>
      </c>
      <c r="N103">
        <v>23643297</v>
      </c>
      <c r="O103">
        <v>11953853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213899436</v>
      </c>
      <c r="G104">
        <v>238732117</v>
      </c>
      <c r="H104">
        <v>264871740</v>
      </c>
      <c r="I104">
        <v>268931297</v>
      </c>
      <c r="J104">
        <v>255730053</v>
      </c>
      <c r="K104">
        <v>233229688</v>
      </c>
      <c r="L104">
        <v>239865857</v>
      </c>
      <c r="M104">
        <v>214160109</v>
      </c>
      <c r="N104">
        <v>218279114</v>
      </c>
      <c r="O104">
        <v>173640165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7837226</v>
      </c>
      <c r="G105">
        <v>-32940424</v>
      </c>
      <c r="H105">
        <v>-54644776</v>
      </c>
      <c r="I105">
        <v>-291081686</v>
      </c>
      <c r="J105">
        <v>24233973</v>
      </c>
      <c r="K105">
        <v>125401009</v>
      </c>
      <c r="L105">
        <v>80373839</v>
      </c>
      <c r="M105">
        <v>32050197</v>
      </c>
      <c r="N105">
        <v>35055503</v>
      </c>
      <c r="O105">
        <v>24097483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490158732</v>
      </c>
      <c r="G106">
        <v>638272989</v>
      </c>
      <c r="H106">
        <v>614190428</v>
      </c>
      <c r="I106">
        <v>565336833</v>
      </c>
      <c r="J106">
        <v>587636160</v>
      </c>
      <c r="K106">
        <v>473637857</v>
      </c>
      <c r="L106">
        <v>447437701</v>
      </c>
      <c r="M106">
        <v>405856506</v>
      </c>
      <c r="N106">
        <v>455364568</v>
      </c>
      <c r="O106">
        <v>298994698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-72589573</v>
      </c>
      <c r="G107">
        <v>-407033272</v>
      </c>
      <c r="H107">
        <v>-64550713</v>
      </c>
      <c r="I107">
        <v>164784974</v>
      </c>
      <c r="J107">
        <v>615215872</v>
      </c>
      <c r="K107">
        <v>-141439804</v>
      </c>
      <c r="L107">
        <v>-427079029</v>
      </c>
      <c r="M107">
        <v>-173534888</v>
      </c>
      <c r="N107">
        <v>46449784</v>
      </c>
      <c r="O107">
        <v>38393538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-281250414</v>
      </c>
      <c r="G108">
        <v>-421594307</v>
      </c>
      <c r="H108">
        <v>-646437045</v>
      </c>
      <c r="I108">
        <v>-355803801</v>
      </c>
      <c r="J108">
        <v>466436512</v>
      </c>
      <c r="K108">
        <v>298070112</v>
      </c>
      <c r="L108">
        <v>369435160</v>
      </c>
      <c r="M108">
        <v>174258827</v>
      </c>
      <c r="N108">
        <v>166014814</v>
      </c>
      <c r="O108">
        <v>152519924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1407060451</v>
      </c>
      <c r="G109">
        <v>244874102</v>
      </c>
      <c r="H109">
        <v>739861222</v>
      </c>
      <c r="I109">
        <v>988444788</v>
      </c>
      <c r="J109">
        <v>741991521</v>
      </c>
      <c r="K109">
        <v>-236263735</v>
      </c>
      <c r="L109">
        <v>65615866</v>
      </c>
      <c r="M109">
        <v>17573535</v>
      </c>
      <c r="N109">
        <v>829005305</v>
      </c>
      <c r="O109">
        <v>1504049695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327724272</v>
      </c>
      <c r="G110">
        <v>374020911</v>
      </c>
      <c r="H110">
        <v>388442755</v>
      </c>
      <c r="I110">
        <v>408260577</v>
      </c>
      <c r="J110">
        <v>277886320</v>
      </c>
      <c r="K110">
        <v>192894978</v>
      </c>
      <c r="L110">
        <v>232644709</v>
      </c>
      <c r="M110">
        <v>265479692</v>
      </c>
      <c r="N110">
        <v>336718773</v>
      </c>
      <c r="O110">
        <v>358369526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1619222395</v>
      </c>
      <c r="G111">
        <v>758004317</v>
      </c>
      <c r="H111">
        <v>821432827</v>
      </c>
      <c r="I111">
        <v>1605393572</v>
      </c>
      <c r="J111">
        <v>1189056427</v>
      </c>
      <c r="K111">
        <v>528668053</v>
      </c>
      <c r="L111">
        <v>-409223935</v>
      </c>
      <c r="M111">
        <v>5057752</v>
      </c>
      <c r="N111">
        <v>-31293495</v>
      </c>
      <c r="O111">
        <v>-320310236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11704058</v>
      </c>
      <c r="G112">
        <v>34590884</v>
      </c>
      <c r="H112">
        <v>49962731</v>
      </c>
      <c r="I112">
        <v>-17530132</v>
      </c>
      <c r="J112">
        <v>9046899</v>
      </c>
      <c r="K112">
        <v>13606057</v>
      </c>
      <c r="L112">
        <v>-103595562</v>
      </c>
      <c r="M112">
        <v>-9898610</v>
      </c>
      <c r="N112">
        <v>14616338</v>
      </c>
      <c r="O112">
        <v>-731466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20079450</v>
      </c>
      <c r="G113">
        <v>32283094</v>
      </c>
      <c r="H113">
        <v>-8649539</v>
      </c>
      <c r="I113">
        <v>-40435788</v>
      </c>
      <c r="J113">
        <v>5950648</v>
      </c>
      <c r="K113">
        <v>30416474</v>
      </c>
      <c r="L113">
        <v>31746651</v>
      </c>
      <c r="M113">
        <v>43921551</v>
      </c>
      <c r="N113">
        <v>43995854</v>
      </c>
      <c r="O113">
        <v>36228089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248027293</v>
      </c>
      <c r="G114">
        <v>16258333</v>
      </c>
      <c r="H114">
        <v>123861282</v>
      </c>
      <c r="I114">
        <v>146504493</v>
      </c>
      <c r="J114">
        <v>78264969</v>
      </c>
      <c r="K114">
        <v>930108866</v>
      </c>
      <c r="L114">
        <v>202727078</v>
      </c>
      <c r="M114">
        <v>22623632</v>
      </c>
      <c r="N114">
        <v>30425152</v>
      </c>
      <c r="O114">
        <v>24636963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27650741</v>
      </c>
      <c r="G115">
        <v>33920575</v>
      </c>
      <c r="H115">
        <v>13928243</v>
      </c>
      <c r="I115">
        <v>35010243</v>
      </c>
      <c r="J115">
        <v>-72594653</v>
      </c>
      <c r="K115">
        <v>21732168</v>
      </c>
      <c r="L115">
        <v>31561312</v>
      </c>
      <c r="M115">
        <v>43277514</v>
      </c>
      <c r="N115">
        <v>38420865</v>
      </c>
      <c r="O115">
        <v>56384915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371086883</v>
      </c>
      <c r="G116">
        <v>291682440</v>
      </c>
      <c r="H116">
        <v>119413479</v>
      </c>
      <c r="I116">
        <v>109836151</v>
      </c>
      <c r="J116">
        <v>59326219</v>
      </c>
      <c r="K116">
        <v>164240663</v>
      </c>
      <c r="L116">
        <v>121175068</v>
      </c>
      <c r="M116">
        <v>137600146</v>
      </c>
      <c r="N116">
        <v>-111190537</v>
      </c>
      <c r="O116">
        <v>107309270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1043753250</v>
      </c>
      <c r="G117">
        <v>460916305</v>
      </c>
      <c r="H117">
        <v>593876551</v>
      </c>
      <c r="I117">
        <v>384651330</v>
      </c>
      <c r="J117">
        <v>316052250</v>
      </c>
      <c r="K117">
        <v>263566459</v>
      </c>
      <c r="L117">
        <v>172102812</v>
      </c>
      <c r="M117">
        <v>159710427</v>
      </c>
      <c r="N117">
        <v>218632968</v>
      </c>
      <c r="O117">
        <v>175880695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267781002</v>
      </c>
      <c r="G118">
        <v>302175991</v>
      </c>
      <c r="H118">
        <v>165264826</v>
      </c>
      <c r="I118">
        <v>186888756</v>
      </c>
      <c r="J118">
        <v>734209567</v>
      </c>
      <c r="K118">
        <v>33580399</v>
      </c>
      <c r="L118">
        <v>37259371</v>
      </c>
      <c r="M118">
        <v>117102556</v>
      </c>
      <c r="N118">
        <v>-624164584</v>
      </c>
      <c r="O118">
        <v>-5238545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54135598</v>
      </c>
      <c r="G119">
        <v>35111466</v>
      </c>
      <c r="H119">
        <v>77733524</v>
      </c>
      <c r="I119">
        <v>26301784</v>
      </c>
      <c r="J119">
        <v>69527936</v>
      </c>
      <c r="K119">
        <v>41420102</v>
      </c>
      <c r="L119">
        <v>30919988</v>
      </c>
      <c r="M119">
        <v>25034897</v>
      </c>
      <c r="N119">
        <v>34425424</v>
      </c>
      <c r="O119">
        <v>23740457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1499301</v>
      </c>
      <c r="G120">
        <v>-1298657425</v>
      </c>
      <c r="H120">
        <v>652289944</v>
      </c>
      <c r="I120">
        <v>130130244</v>
      </c>
      <c r="J120">
        <v>50043488</v>
      </c>
      <c r="K120">
        <v>55037500</v>
      </c>
      <c r="L120">
        <v>34041407</v>
      </c>
      <c r="M120">
        <v>55320</v>
      </c>
      <c r="N120">
        <v>71248</v>
      </c>
      <c r="O120">
        <v>596401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16129835</v>
      </c>
      <c r="G121">
        <v>14353059</v>
      </c>
      <c r="H121">
        <v>16939246</v>
      </c>
      <c r="I121">
        <v>21735733</v>
      </c>
      <c r="J121">
        <v>20594060</v>
      </c>
      <c r="K121">
        <v>8336134</v>
      </c>
      <c r="L121">
        <v>1450842</v>
      </c>
      <c r="M121">
        <v>7331904</v>
      </c>
      <c r="N121">
        <v>8340388</v>
      </c>
      <c r="O121">
        <v>18104484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37261285</v>
      </c>
      <c r="G122">
        <v>-127877419</v>
      </c>
      <c r="H122">
        <v>544814331</v>
      </c>
      <c r="I122">
        <v>546591016</v>
      </c>
      <c r="J122">
        <v>501195532</v>
      </c>
      <c r="K122">
        <v>438679232</v>
      </c>
      <c r="L122">
        <v>286439488</v>
      </c>
      <c r="M122">
        <v>301099753</v>
      </c>
      <c r="N122">
        <v>213755596</v>
      </c>
      <c r="O122">
        <v>262963831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-595854807</v>
      </c>
      <c r="G123">
        <v>-17097138</v>
      </c>
      <c r="H123">
        <v>-38982039</v>
      </c>
      <c r="I123">
        <v>-36214445</v>
      </c>
      <c r="J123">
        <v>-182537263</v>
      </c>
      <c r="K123">
        <v>-230754594</v>
      </c>
      <c r="L123">
        <v>3409434</v>
      </c>
      <c r="M123">
        <v>1407833</v>
      </c>
      <c r="N123">
        <v>11035798</v>
      </c>
      <c r="O123">
        <v>129773902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2487624814</v>
      </c>
      <c r="G124">
        <v>362306743</v>
      </c>
      <c r="H124">
        <v>301129026</v>
      </c>
      <c r="I124">
        <v>391483293</v>
      </c>
      <c r="J124">
        <v>242278372</v>
      </c>
      <c r="K124">
        <v>78570419</v>
      </c>
      <c r="L124">
        <v>105652436</v>
      </c>
      <c r="M124">
        <v>478283456</v>
      </c>
      <c r="N124">
        <v>130806160</v>
      </c>
      <c r="O124">
        <v>251732434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1731046546</v>
      </c>
      <c r="G125">
        <v>3794203087</v>
      </c>
      <c r="H125">
        <v>944403398</v>
      </c>
      <c r="I125">
        <v>654286052</v>
      </c>
      <c r="J125">
        <v>457813526</v>
      </c>
      <c r="K125">
        <v>616704389</v>
      </c>
      <c r="L125">
        <v>544249582</v>
      </c>
      <c r="M125">
        <v>456618423</v>
      </c>
      <c r="N125">
        <v>617871487</v>
      </c>
      <c r="O125">
        <v>608198174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2803988</v>
      </c>
      <c r="G126">
        <v>176535</v>
      </c>
      <c r="H126">
        <v>-5319890</v>
      </c>
      <c r="I126">
        <v>42002882</v>
      </c>
      <c r="J126">
        <v>3794961</v>
      </c>
      <c r="K126">
        <v>23584456</v>
      </c>
      <c r="L126">
        <v>-3642671</v>
      </c>
      <c r="M126">
        <v>-3830289</v>
      </c>
      <c r="N126">
        <v>4193229</v>
      </c>
      <c r="O126">
        <v>11297176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-40838840</v>
      </c>
      <c r="G127">
        <v>-93023816</v>
      </c>
      <c r="H127">
        <v>-284615511</v>
      </c>
      <c r="I127">
        <v>-44980157</v>
      </c>
      <c r="J127">
        <v>71529672</v>
      </c>
      <c r="K127">
        <v>-16701064</v>
      </c>
      <c r="L127">
        <v>-20618630</v>
      </c>
      <c r="M127">
        <v>-19245292</v>
      </c>
      <c r="N127">
        <v>-13765962</v>
      </c>
      <c r="O127">
        <v>4571520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32649103</v>
      </c>
      <c r="G128">
        <v>48807751</v>
      </c>
      <c r="H128">
        <v>19522823</v>
      </c>
      <c r="I128">
        <v>24155830</v>
      </c>
      <c r="J128">
        <v>18474877</v>
      </c>
      <c r="K128">
        <v>10325029</v>
      </c>
      <c r="L128">
        <v>3590009</v>
      </c>
      <c r="M128">
        <v>27734174</v>
      </c>
      <c r="N128">
        <v>24436862</v>
      </c>
      <c r="O128">
        <v>-1959368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-9750923</v>
      </c>
      <c r="G129">
        <v>3029476</v>
      </c>
      <c r="H129">
        <v>-4321446</v>
      </c>
      <c r="I129">
        <v>-11290733</v>
      </c>
      <c r="J129">
        <v>-5429840</v>
      </c>
      <c r="K129">
        <v>-15306802</v>
      </c>
      <c r="L129">
        <v>-2006105</v>
      </c>
      <c r="M129">
        <v>4080164</v>
      </c>
      <c r="N129">
        <v>-4067042</v>
      </c>
      <c r="O129">
        <v>2119366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410549909</v>
      </c>
      <c r="G130">
        <v>162941508</v>
      </c>
      <c r="H130">
        <v>96317970</v>
      </c>
      <c r="I130">
        <v>309698329</v>
      </c>
      <c r="J130">
        <v>-292669869</v>
      </c>
      <c r="K130">
        <v>-436362208</v>
      </c>
      <c r="L130">
        <v>170799232</v>
      </c>
      <c r="M130">
        <v>138755699</v>
      </c>
      <c r="N130">
        <v>15302940</v>
      </c>
      <c r="O130">
        <v>546059230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-14103665</v>
      </c>
      <c r="G131">
        <v>-92636791</v>
      </c>
      <c r="H131">
        <v>-119430925</v>
      </c>
      <c r="I131">
        <v>-242076276</v>
      </c>
      <c r="J131">
        <v>-243992706</v>
      </c>
      <c r="K131">
        <v>93470236</v>
      </c>
      <c r="L131">
        <v>23221282</v>
      </c>
      <c r="M131">
        <v>36206012</v>
      </c>
      <c r="N131">
        <v>200365092</v>
      </c>
      <c r="O131">
        <v>-470215934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-44544062</v>
      </c>
      <c r="G132">
        <v>42413328</v>
      </c>
      <c r="H132">
        <v>-46931021</v>
      </c>
      <c r="I132">
        <v>96540940</v>
      </c>
      <c r="J132">
        <v>38682157</v>
      </c>
      <c r="K132">
        <v>-67981938</v>
      </c>
      <c r="L132">
        <v>19220413</v>
      </c>
      <c r="M132">
        <v>-82317832</v>
      </c>
      <c r="N132">
        <v>-42167201</v>
      </c>
      <c r="O132">
        <v>-63298857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3383891475</v>
      </c>
      <c r="G133">
        <v>2813781762</v>
      </c>
      <c r="H133">
        <v>1824994691</v>
      </c>
      <c r="I133">
        <v>1717781724</v>
      </c>
      <c r="J133">
        <v>1630705084</v>
      </c>
      <c r="K133">
        <v>1314674325</v>
      </c>
      <c r="L133">
        <v>1609598737</v>
      </c>
      <c r="M133">
        <v>1573955505</v>
      </c>
      <c r="N133">
        <v>1580759658</v>
      </c>
      <c r="O133">
        <v>1115733796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525885549</v>
      </c>
      <c r="G134">
        <v>455873665</v>
      </c>
      <c r="H134">
        <v>324295095</v>
      </c>
      <c r="I134">
        <v>248041244</v>
      </c>
      <c r="J134">
        <v>226725582</v>
      </c>
      <c r="K134">
        <v>-7955289</v>
      </c>
      <c r="L134">
        <v>286272818</v>
      </c>
      <c r="M134">
        <v>-69656088</v>
      </c>
      <c r="N134">
        <v>-24173826</v>
      </c>
      <c r="O134">
        <v>-86438184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-27586443</v>
      </c>
      <c r="G135">
        <v>31755913</v>
      </c>
      <c r="H135">
        <v>-26434003</v>
      </c>
      <c r="I135">
        <v>-21385668</v>
      </c>
      <c r="J135">
        <v>-48216930</v>
      </c>
      <c r="K135">
        <v>-38275861</v>
      </c>
      <c r="L135">
        <v>-5728947</v>
      </c>
      <c r="M135">
        <v>-11467524</v>
      </c>
      <c r="N135">
        <v>-35316891</v>
      </c>
      <c r="O135">
        <v>1355215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715976841</v>
      </c>
      <c r="G136">
        <v>198325247</v>
      </c>
      <c r="H136">
        <v>131000828</v>
      </c>
      <c r="I136">
        <v>31082775</v>
      </c>
      <c r="J136">
        <v>411601963</v>
      </c>
      <c r="K136">
        <v>461193705</v>
      </c>
      <c r="L136">
        <v>526276435</v>
      </c>
      <c r="M136">
        <v>393753682</v>
      </c>
      <c r="N136">
        <v>461664909</v>
      </c>
      <c r="O136">
        <v>553423031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-30191090</v>
      </c>
      <c r="G137">
        <v>12632929</v>
      </c>
      <c r="H137">
        <v>32706592</v>
      </c>
      <c r="I137">
        <v>44342954</v>
      </c>
      <c r="J137">
        <v>39388580</v>
      </c>
      <c r="K137">
        <v>20472192</v>
      </c>
      <c r="L137">
        <v>50067138</v>
      </c>
      <c r="M137">
        <v>66083429</v>
      </c>
      <c r="N137">
        <v>78973785</v>
      </c>
      <c r="O137">
        <v>41223955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89153488</v>
      </c>
      <c r="G138">
        <v>40359677</v>
      </c>
      <c r="H138">
        <v>12347959</v>
      </c>
      <c r="I138">
        <v>-30388695</v>
      </c>
      <c r="J138">
        <v>-37195382</v>
      </c>
      <c r="K138">
        <v>106491433</v>
      </c>
      <c r="L138">
        <v>22579942</v>
      </c>
      <c r="M138">
        <v>91970915</v>
      </c>
      <c r="N138">
        <v>268822391</v>
      </c>
      <c r="O138">
        <v>-21982772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258486099</v>
      </c>
      <c r="G139">
        <v>38496105</v>
      </c>
      <c r="H139">
        <v>890771275</v>
      </c>
      <c r="I139">
        <v>1653050731</v>
      </c>
      <c r="J139">
        <v>807716941</v>
      </c>
      <c r="K139">
        <v>70667477</v>
      </c>
      <c r="L139">
        <v>138920577</v>
      </c>
      <c r="M139">
        <v>116392580</v>
      </c>
      <c r="N139">
        <v>213882906</v>
      </c>
      <c r="O139">
        <v>602150488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558078739</v>
      </c>
      <c r="G140">
        <v>496845784</v>
      </c>
      <c r="H140">
        <v>466879052</v>
      </c>
      <c r="I140">
        <v>396596230</v>
      </c>
      <c r="J140">
        <v>1045746276</v>
      </c>
      <c r="K140">
        <v>183896406</v>
      </c>
      <c r="L140">
        <v>40267684</v>
      </c>
      <c r="M140">
        <v>256729642</v>
      </c>
      <c r="N140">
        <v>337373171</v>
      </c>
      <c r="O140">
        <v>183460357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218902889</v>
      </c>
      <c r="G141">
        <v>-8866600</v>
      </c>
      <c r="H141">
        <v>292763432</v>
      </c>
      <c r="I141">
        <v>282389323</v>
      </c>
      <c r="J141">
        <v>453199839</v>
      </c>
      <c r="K141">
        <v>477240691</v>
      </c>
      <c r="L141">
        <v>203967465</v>
      </c>
      <c r="M141">
        <v>245842665</v>
      </c>
      <c r="N141">
        <v>176915914</v>
      </c>
      <c r="O141">
        <v>-78355906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390080228</v>
      </c>
      <c r="G142">
        <v>200120097</v>
      </c>
      <c r="H142">
        <v>87940548</v>
      </c>
      <c r="I142">
        <v>96597117</v>
      </c>
      <c r="J142">
        <v>84624196</v>
      </c>
      <c r="K142">
        <v>58819271</v>
      </c>
      <c r="L142">
        <v>-42693582</v>
      </c>
      <c r="M142">
        <v>-365655671</v>
      </c>
      <c r="N142">
        <v>-349550285</v>
      </c>
      <c r="O142">
        <v>-339450744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-18486935</v>
      </c>
      <c r="G143">
        <v>-8690773</v>
      </c>
      <c r="H143">
        <v>-31514585</v>
      </c>
      <c r="I143">
        <v>329265</v>
      </c>
      <c r="J143">
        <v>-785282</v>
      </c>
      <c r="K143">
        <v>-81459079</v>
      </c>
      <c r="L143">
        <v>-17336260</v>
      </c>
      <c r="M143">
        <v>-6595482</v>
      </c>
      <c r="N143">
        <v>8229390</v>
      </c>
      <c r="O143">
        <v>10692319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292821065</v>
      </c>
      <c r="G144">
        <v>281725851</v>
      </c>
      <c r="H144">
        <v>257507729</v>
      </c>
      <c r="I144">
        <v>-1693619844</v>
      </c>
      <c r="J144">
        <v>138330735</v>
      </c>
      <c r="K144">
        <v>232097632</v>
      </c>
      <c r="L144">
        <v>161136176</v>
      </c>
      <c r="M144">
        <v>301244648</v>
      </c>
      <c r="N144">
        <v>520934821</v>
      </c>
      <c r="O144">
        <v>1557374242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730403865</v>
      </c>
      <c r="G145">
        <v>1159666604</v>
      </c>
      <c r="H145">
        <v>918088037</v>
      </c>
      <c r="I145">
        <v>637642395</v>
      </c>
      <c r="J145">
        <v>467388409</v>
      </c>
      <c r="K145">
        <v>298019142</v>
      </c>
      <c r="L145">
        <v>137129017</v>
      </c>
      <c r="M145">
        <v>118449548</v>
      </c>
      <c r="N145">
        <v>80839440</v>
      </c>
      <c r="O145">
        <v>62381491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211345795</v>
      </c>
      <c r="G146">
        <v>285412599</v>
      </c>
      <c r="H146">
        <v>252796062</v>
      </c>
      <c r="I146">
        <v>227593331</v>
      </c>
      <c r="J146">
        <v>262853748</v>
      </c>
      <c r="K146">
        <v>252071247</v>
      </c>
      <c r="L146">
        <v>254384469</v>
      </c>
      <c r="M146">
        <v>311516682</v>
      </c>
      <c r="N146">
        <v>236596283</v>
      </c>
      <c r="O146">
        <v>42095497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217926918</v>
      </c>
      <c r="G147">
        <v>-305704415</v>
      </c>
      <c r="H147">
        <v>18462030</v>
      </c>
      <c r="I147">
        <v>6525330</v>
      </c>
      <c r="J147">
        <v>17331692</v>
      </c>
      <c r="K147">
        <v>-980766212</v>
      </c>
      <c r="L147">
        <v>10874267</v>
      </c>
      <c r="M147">
        <v>19473180</v>
      </c>
      <c r="N147">
        <v>-52120825</v>
      </c>
      <c r="O147">
        <v>-233244312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2959547002</v>
      </c>
      <c r="G148">
        <v>2243009478</v>
      </c>
      <c r="H148">
        <v>2720981946</v>
      </c>
      <c r="I148">
        <v>1811096341</v>
      </c>
      <c r="J148">
        <v>1898894463</v>
      </c>
      <c r="K148">
        <v>1656108004</v>
      </c>
      <c r="L148">
        <v>1425087143</v>
      </c>
      <c r="M148">
        <v>1337519252</v>
      </c>
      <c r="N148">
        <v>1130686375</v>
      </c>
      <c r="O148">
        <v>1072477007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507286731</v>
      </c>
      <c r="G149">
        <v>134740777</v>
      </c>
      <c r="H149">
        <v>171062830</v>
      </c>
      <c r="I149">
        <v>88425778</v>
      </c>
      <c r="J149">
        <v>152513302</v>
      </c>
      <c r="K149">
        <v>39024193</v>
      </c>
      <c r="L149">
        <v>36593782</v>
      </c>
      <c r="M149">
        <v>32075447</v>
      </c>
      <c r="N149">
        <v>18161712</v>
      </c>
      <c r="O149">
        <v>31530848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40491486</v>
      </c>
      <c r="G150">
        <v>-115444477</v>
      </c>
      <c r="H150">
        <v>58399375</v>
      </c>
      <c r="I150">
        <v>101550960</v>
      </c>
      <c r="J150">
        <v>110724540</v>
      </c>
      <c r="K150">
        <v>254928211</v>
      </c>
      <c r="L150">
        <v>157276688</v>
      </c>
      <c r="M150">
        <v>159427830</v>
      </c>
      <c r="N150">
        <v>139420453</v>
      </c>
      <c r="O150">
        <v>121009353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418717210</v>
      </c>
      <c r="G151">
        <v>204884323</v>
      </c>
      <c r="H151">
        <v>326876594</v>
      </c>
      <c r="I151">
        <v>313930692</v>
      </c>
      <c r="J151">
        <v>223178994</v>
      </c>
      <c r="K151">
        <v>60607531</v>
      </c>
      <c r="L151">
        <v>53176852</v>
      </c>
      <c r="M151">
        <v>70364448</v>
      </c>
      <c r="N151">
        <v>70783543</v>
      </c>
      <c r="O151">
        <v>59486419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-209691019</v>
      </c>
      <c r="I152">
        <v>145445708</v>
      </c>
      <c r="J152">
        <v>27269496</v>
      </c>
      <c r="K152">
        <v>81680885</v>
      </c>
      <c r="L152">
        <v>22824783</v>
      </c>
      <c r="M152">
        <v>100616043</v>
      </c>
      <c r="N152">
        <v>136639245</v>
      </c>
      <c r="O152">
        <v>93706657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4304557909</v>
      </c>
      <c r="G153">
        <v>1279607588</v>
      </c>
      <c r="H153">
        <v>1548717494</v>
      </c>
      <c r="I153">
        <v>1912435622</v>
      </c>
      <c r="J153">
        <v>1551536337</v>
      </c>
      <c r="K153">
        <v>1141819110</v>
      </c>
      <c r="L153">
        <v>765503180</v>
      </c>
      <c r="M153">
        <v>288135749</v>
      </c>
      <c r="N153">
        <v>170357985</v>
      </c>
      <c r="O153">
        <v>183945135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3779139271</v>
      </c>
      <c r="G154">
        <v>5584198535</v>
      </c>
      <c r="H154">
        <v>3076952035</v>
      </c>
      <c r="I154">
        <v>2341102760</v>
      </c>
      <c r="J154">
        <v>2677889332</v>
      </c>
      <c r="K154">
        <v>3305835290</v>
      </c>
      <c r="L154">
        <v>3252432506</v>
      </c>
      <c r="M154">
        <v>1961526090</v>
      </c>
      <c r="N154">
        <v>1319468160</v>
      </c>
      <c r="O154">
        <v>1085284710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148777773</v>
      </c>
      <c r="G155">
        <v>75308471</v>
      </c>
      <c r="H155">
        <v>8091026</v>
      </c>
      <c r="I155">
        <v>66084999</v>
      </c>
      <c r="J155">
        <v>45612983</v>
      </c>
      <c r="K155">
        <v>71785105</v>
      </c>
      <c r="L155">
        <v>37258546</v>
      </c>
      <c r="M155">
        <v>-34723482</v>
      </c>
      <c r="N155">
        <v>-43944819</v>
      </c>
      <c r="O155">
        <v>2123154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735195546</v>
      </c>
      <c r="G156">
        <v>-547846599</v>
      </c>
      <c r="H156">
        <v>-935380731</v>
      </c>
      <c r="I156">
        <v>511528258</v>
      </c>
      <c r="J156">
        <v>365562360</v>
      </c>
      <c r="K156">
        <v>258520749</v>
      </c>
      <c r="L156">
        <v>-201337259</v>
      </c>
      <c r="M156">
        <v>-268273102</v>
      </c>
      <c r="N156">
        <v>1870533</v>
      </c>
      <c r="O156">
        <v>-40162605</v>
      </c>
      <c r="P156">
        <v>127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553484117</v>
      </c>
      <c r="G157">
        <v>151337662</v>
      </c>
      <c r="H157">
        <v>362249749</v>
      </c>
      <c r="I157">
        <v>377791604</v>
      </c>
      <c r="J157">
        <v>353808694</v>
      </c>
      <c r="K157">
        <v>293760562</v>
      </c>
      <c r="L157">
        <v>221888570</v>
      </c>
      <c r="M157">
        <v>251154949</v>
      </c>
      <c r="N157">
        <v>229077000</v>
      </c>
      <c r="O157">
        <v>272281258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30986008</v>
      </c>
      <c r="G158">
        <v>48420923</v>
      </c>
      <c r="H158">
        <v>75301374</v>
      </c>
      <c r="I158">
        <v>74446180</v>
      </c>
      <c r="J158">
        <v>40562884</v>
      </c>
      <c r="K158">
        <v>119526615</v>
      </c>
      <c r="L158">
        <v>168686350</v>
      </c>
      <c r="M158">
        <v>157267986</v>
      </c>
      <c r="N158">
        <v>203849891</v>
      </c>
      <c r="O158">
        <v>114536715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2339401728</v>
      </c>
      <c r="G159">
        <v>1302821119</v>
      </c>
      <c r="H159">
        <v>1042300453</v>
      </c>
      <c r="I159">
        <v>810108139</v>
      </c>
      <c r="J159">
        <v>806638887</v>
      </c>
      <c r="K159">
        <v>500016140</v>
      </c>
      <c r="L159">
        <v>338140692</v>
      </c>
      <c r="M159">
        <v>420045355</v>
      </c>
      <c r="N159">
        <v>444456572</v>
      </c>
      <c r="O159">
        <v>252728622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45879229</v>
      </c>
      <c r="G160">
        <v>41468411</v>
      </c>
      <c r="H160">
        <v>46069122</v>
      </c>
      <c r="I160">
        <v>44677694</v>
      </c>
      <c r="J160">
        <v>20474382</v>
      </c>
      <c r="K160">
        <v>7630957</v>
      </c>
      <c r="L160">
        <v>14061258</v>
      </c>
      <c r="M160">
        <v>12563497</v>
      </c>
      <c r="N160">
        <v>38103618</v>
      </c>
      <c r="O160">
        <v>-43005177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640641520</v>
      </c>
      <c r="G161">
        <v>597272164</v>
      </c>
      <c r="H161">
        <v>501838282</v>
      </c>
      <c r="I161">
        <v>390091831</v>
      </c>
      <c r="J161">
        <v>416496480</v>
      </c>
      <c r="K161">
        <v>365179418</v>
      </c>
      <c r="L161">
        <v>829735141</v>
      </c>
      <c r="M161">
        <v>192816521</v>
      </c>
      <c r="N161">
        <v>240081133</v>
      </c>
      <c r="O161">
        <v>204531033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36703880</v>
      </c>
      <c r="G162">
        <v>52333114</v>
      </c>
      <c r="H162">
        <v>93494541</v>
      </c>
      <c r="I162">
        <v>-99445911</v>
      </c>
      <c r="J162">
        <v>-109170365</v>
      </c>
      <c r="K162">
        <v>-44872050</v>
      </c>
      <c r="L162">
        <v>-484305610</v>
      </c>
      <c r="M162">
        <v>-129085275</v>
      </c>
      <c r="N162">
        <v>-173965723</v>
      </c>
      <c r="O162">
        <v>84946794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7398956</v>
      </c>
      <c r="G163">
        <v>36209626</v>
      </c>
      <c r="H163">
        <v>26366049</v>
      </c>
      <c r="I163">
        <v>9502961</v>
      </c>
      <c r="J163">
        <v>20519456</v>
      </c>
      <c r="K163">
        <v>18291748</v>
      </c>
      <c r="L163">
        <v>-21629590</v>
      </c>
      <c r="M163">
        <v>75521026</v>
      </c>
      <c r="N163">
        <v>53048393</v>
      </c>
      <c r="O163">
        <v>37026200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11531730000</v>
      </c>
      <c r="G164">
        <v>5690486000</v>
      </c>
      <c r="H164">
        <v>6983703000</v>
      </c>
      <c r="I164">
        <v>5048974000</v>
      </c>
      <c r="J164">
        <v>4333686000</v>
      </c>
      <c r="K164">
        <v>700959000</v>
      </c>
      <c r="L164">
        <v>1380838000</v>
      </c>
      <c r="M164">
        <v>1954607000</v>
      </c>
      <c r="N164">
        <v>-588646000</v>
      </c>
      <c r="O164">
        <v>4826600962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86111705</v>
      </c>
      <c r="G165">
        <v>76419216</v>
      </c>
      <c r="H165">
        <v>74858835</v>
      </c>
      <c r="I165">
        <v>35421326</v>
      </c>
      <c r="J165">
        <v>-92681245</v>
      </c>
      <c r="K165">
        <v>38773870</v>
      </c>
      <c r="L165">
        <v>-88934109</v>
      </c>
      <c r="M165">
        <v>3670503</v>
      </c>
      <c r="N165">
        <v>13134353</v>
      </c>
      <c r="O165">
        <v>-59627967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139404445</v>
      </c>
      <c r="G166">
        <v>154286300</v>
      </c>
      <c r="H166">
        <v>148433940</v>
      </c>
      <c r="I166">
        <v>114847302</v>
      </c>
      <c r="J166">
        <v>85461055</v>
      </c>
      <c r="K166">
        <v>40006383</v>
      </c>
      <c r="L166">
        <v>121626876</v>
      </c>
      <c r="M166">
        <v>156542127</v>
      </c>
      <c r="N166">
        <v>143426355</v>
      </c>
      <c r="O166">
        <v>121586430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8826338</v>
      </c>
      <c r="G167">
        <v>30668114</v>
      </c>
      <c r="H167">
        <v>59007325</v>
      </c>
      <c r="I167">
        <v>-60816998</v>
      </c>
      <c r="J167">
        <v>34175239</v>
      </c>
      <c r="K167">
        <v>15961950</v>
      </c>
      <c r="L167">
        <v>154788325</v>
      </c>
      <c r="M167">
        <v>36668075</v>
      </c>
      <c r="N167">
        <v>14155735</v>
      </c>
      <c r="O167">
        <v>-39996342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-87527877</v>
      </c>
      <c r="G168">
        <v>9927518</v>
      </c>
      <c r="H168">
        <v>9789058</v>
      </c>
      <c r="I168">
        <v>12923216</v>
      </c>
      <c r="J168">
        <v>14064635</v>
      </c>
      <c r="K168">
        <v>22645736</v>
      </c>
      <c r="L168">
        <v>39294343</v>
      </c>
      <c r="M168">
        <v>76798168</v>
      </c>
      <c r="N168">
        <v>62698604</v>
      </c>
      <c r="O168">
        <v>37056077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20906956</v>
      </c>
      <c r="G169">
        <v>19634139</v>
      </c>
      <c r="H169">
        <v>17769443</v>
      </c>
      <c r="I169">
        <v>19281796</v>
      </c>
      <c r="J169">
        <v>-119082656</v>
      </c>
      <c r="K169">
        <v>3091273</v>
      </c>
      <c r="L169">
        <v>11557969</v>
      </c>
      <c r="M169">
        <v>-44813243</v>
      </c>
      <c r="N169">
        <v>89979333</v>
      </c>
      <c r="O169">
        <v>85943567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464639160</v>
      </c>
      <c r="G170">
        <v>486088018</v>
      </c>
      <c r="H170">
        <v>271830634</v>
      </c>
      <c r="I170">
        <v>338029390</v>
      </c>
      <c r="J170">
        <v>262898585</v>
      </c>
      <c r="K170">
        <v>214653755</v>
      </c>
      <c r="L170">
        <v>229906176</v>
      </c>
      <c r="M170">
        <v>238867139</v>
      </c>
      <c r="N170">
        <v>254996621</v>
      </c>
      <c r="O170">
        <v>247219895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3564733324</v>
      </c>
      <c r="G171">
        <v>2478980552</v>
      </c>
      <c r="H171">
        <v>2063704148</v>
      </c>
      <c r="I171">
        <v>2094152354</v>
      </c>
      <c r="J171">
        <v>2419266945</v>
      </c>
      <c r="K171">
        <v>2176888748</v>
      </c>
      <c r="L171">
        <v>1890969457</v>
      </c>
      <c r="M171">
        <v>1574583864</v>
      </c>
      <c r="N171">
        <v>1389079632</v>
      </c>
      <c r="O171">
        <v>1093223252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266490122</v>
      </c>
      <c r="G172">
        <v>202454546</v>
      </c>
      <c r="H172">
        <v>302384815</v>
      </c>
      <c r="I172">
        <v>289671849</v>
      </c>
      <c r="J172">
        <v>256571937</v>
      </c>
      <c r="K172">
        <v>231386729</v>
      </c>
      <c r="L172">
        <v>229318321</v>
      </c>
      <c r="M172">
        <v>271699394</v>
      </c>
      <c r="N172">
        <v>250710053</v>
      </c>
      <c r="O172">
        <v>192977355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-111825294</v>
      </c>
      <c r="G173">
        <v>-254431642</v>
      </c>
      <c r="H173">
        <v>-554100378</v>
      </c>
      <c r="I173">
        <v>252319658</v>
      </c>
      <c r="J173">
        <v>-506128966</v>
      </c>
      <c r="K173">
        <v>-624980168</v>
      </c>
      <c r="L173">
        <v>-416322811</v>
      </c>
      <c r="M173">
        <v>-131890017</v>
      </c>
      <c r="N173">
        <v>-77051219</v>
      </c>
      <c r="O173">
        <v>2014998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-144242463</v>
      </c>
      <c r="G174">
        <v>-105009177</v>
      </c>
      <c r="H174">
        <v>-71606729</v>
      </c>
      <c r="I174">
        <v>1624718</v>
      </c>
      <c r="J174">
        <v>4980639</v>
      </c>
      <c r="K174">
        <v>10030751</v>
      </c>
      <c r="L174">
        <v>38306437</v>
      </c>
      <c r="M174">
        <v>56253845</v>
      </c>
      <c r="N174">
        <v>273099930</v>
      </c>
      <c r="O174">
        <v>427826833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49388713</v>
      </c>
      <c r="G175">
        <v>-45964294</v>
      </c>
      <c r="H175">
        <v>55307616</v>
      </c>
      <c r="I175">
        <v>115127767</v>
      </c>
      <c r="J175">
        <v>101611735</v>
      </c>
      <c r="K175">
        <v>60312534</v>
      </c>
      <c r="L175">
        <v>20401763</v>
      </c>
      <c r="M175">
        <v>22658132</v>
      </c>
      <c r="N175">
        <v>28501221</v>
      </c>
      <c r="O175">
        <v>22789982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418621190</v>
      </c>
      <c r="G176">
        <v>295732932</v>
      </c>
      <c r="H176">
        <v>248444290</v>
      </c>
      <c r="I176">
        <v>681035562</v>
      </c>
      <c r="J176">
        <v>682609072</v>
      </c>
      <c r="K176">
        <v>485122863</v>
      </c>
      <c r="L176">
        <v>403960116</v>
      </c>
      <c r="M176">
        <v>309650936</v>
      </c>
      <c r="N176">
        <v>214230080</v>
      </c>
      <c r="O176">
        <v>101235213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54672235</v>
      </c>
      <c r="G177">
        <v>31849795</v>
      </c>
      <c r="H177">
        <v>40431514</v>
      </c>
      <c r="I177">
        <v>10795079</v>
      </c>
      <c r="J177">
        <v>-40700959</v>
      </c>
      <c r="K177">
        <v>-82455132</v>
      </c>
      <c r="L177">
        <v>-24770491</v>
      </c>
      <c r="M177">
        <v>5402646</v>
      </c>
      <c r="N177">
        <v>-33196374</v>
      </c>
      <c r="O177">
        <v>5261155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-97182428</v>
      </c>
      <c r="G178">
        <v>-59496499</v>
      </c>
      <c r="H178">
        <v>33422028</v>
      </c>
      <c r="I178">
        <v>19775468</v>
      </c>
      <c r="J178">
        <v>54005273</v>
      </c>
      <c r="K178">
        <v>73605152</v>
      </c>
      <c r="L178">
        <v>7556406</v>
      </c>
      <c r="M178">
        <v>51292112</v>
      </c>
      <c r="N178">
        <v>104210215</v>
      </c>
      <c r="O178">
        <v>64703476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212004015</v>
      </c>
      <c r="G179">
        <v>149444252</v>
      </c>
      <c r="H179">
        <v>75144607</v>
      </c>
      <c r="I179">
        <v>68113834</v>
      </c>
      <c r="J179">
        <v>48366104</v>
      </c>
      <c r="K179">
        <v>29114029</v>
      </c>
      <c r="L179">
        <v>13114813</v>
      </c>
      <c r="M179">
        <v>-66826860</v>
      </c>
      <c r="N179">
        <v>3559507</v>
      </c>
      <c r="O179">
        <v>-51568285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206640110</v>
      </c>
      <c r="G180">
        <v>61396324</v>
      </c>
      <c r="H180">
        <v>27051941</v>
      </c>
      <c r="I180">
        <v>-26178320</v>
      </c>
      <c r="J180">
        <v>-6459191</v>
      </c>
      <c r="K180">
        <v>1594267</v>
      </c>
      <c r="L180">
        <v>58184334</v>
      </c>
      <c r="M180">
        <v>-75235052</v>
      </c>
      <c r="N180">
        <v>-105778877</v>
      </c>
      <c r="O180">
        <v>-191872210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2052241211</v>
      </c>
      <c r="G181">
        <v>2734010659</v>
      </c>
      <c r="H181">
        <v>2457040390</v>
      </c>
      <c r="I181">
        <v>1770294955</v>
      </c>
      <c r="J181">
        <v>1730260362</v>
      </c>
      <c r="K181">
        <v>694389202</v>
      </c>
      <c r="L181">
        <v>593998528</v>
      </c>
      <c r="M181">
        <v>445775993</v>
      </c>
      <c r="N181">
        <v>290404960</v>
      </c>
      <c r="O181">
        <v>412603720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-24767880</v>
      </c>
      <c r="G182">
        <v>-17260136</v>
      </c>
      <c r="H182">
        <v>-20959254</v>
      </c>
      <c r="I182">
        <v>-26907321</v>
      </c>
      <c r="J182">
        <v>-23230702</v>
      </c>
      <c r="K182">
        <v>-48259398</v>
      </c>
      <c r="L182">
        <v>-19541939</v>
      </c>
      <c r="M182">
        <v>2815334</v>
      </c>
      <c r="N182">
        <v>-19660912</v>
      </c>
      <c r="O182">
        <v>-2479455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430325735</v>
      </c>
      <c r="G183">
        <v>440320507</v>
      </c>
      <c r="H183">
        <v>406034437</v>
      </c>
      <c r="I183">
        <v>391007912</v>
      </c>
      <c r="J183">
        <v>669219778</v>
      </c>
      <c r="K183">
        <v>246344674</v>
      </c>
      <c r="L183">
        <v>154926005</v>
      </c>
      <c r="M183">
        <v>188231976</v>
      </c>
      <c r="N183">
        <v>252099213</v>
      </c>
      <c r="O183">
        <v>217778414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418484501</v>
      </c>
      <c r="G184">
        <v>324450174</v>
      </c>
      <c r="H184">
        <v>239053400</v>
      </c>
      <c r="I184">
        <v>231147267</v>
      </c>
      <c r="J184">
        <v>134769264</v>
      </c>
      <c r="K184">
        <v>118010245</v>
      </c>
      <c r="L184">
        <v>64347985</v>
      </c>
      <c r="M184">
        <v>30853798</v>
      </c>
      <c r="N184">
        <v>13613420</v>
      </c>
      <c r="O184">
        <v>24111513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-151829</v>
      </c>
      <c r="G185">
        <v>7701559</v>
      </c>
      <c r="H185">
        <v>-228786826</v>
      </c>
      <c r="I185">
        <v>-27354142</v>
      </c>
      <c r="J185">
        <v>25191342</v>
      </c>
      <c r="K185">
        <v>55238898</v>
      </c>
      <c r="L185">
        <v>-236138411</v>
      </c>
      <c r="M185">
        <v>-8687649</v>
      </c>
      <c r="N185">
        <v>2653387</v>
      </c>
      <c r="O185">
        <v>-27562305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-97897777</v>
      </c>
      <c r="G186">
        <v>-88178883</v>
      </c>
      <c r="H186">
        <v>13122746</v>
      </c>
      <c r="I186">
        <v>19249529</v>
      </c>
      <c r="J186">
        <v>24561712</v>
      </c>
      <c r="K186">
        <v>43382150</v>
      </c>
      <c r="L186">
        <v>-76961174</v>
      </c>
      <c r="M186">
        <v>-77179599</v>
      </c>
      <c r="N186">
        <v>-35397378</v>
      </c>
      <c r="O186">
        <v>-9520962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114514071</v>
      </c>
      <c r="G187">
        <v>85077744</v>
      </c>
      <c r="H187">
        <v>67057838</v>
      </c>
      <c r="I187">
        <v>75424412</v>
      </c>
      <c r="J187">
        <v>8436790</v>
      </c>
      <c r="K187">
        <v>15095484</v>
      </c>
      <c r="L187">
        <v>-61721585</v>
      </c>
      <c r="M187">
        <v>-69918543</v>
      </c>
      <c r="N187">
        <v>-52879335</v>
      </c>
      <c r="O187">
        <v>-60737553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750614848</v>
      </c>
      <c r="G188">
        <v>620534301</v>
      </c>
      <c r="H188">
        <v>360142351</v>
      </c>
      <c r="I188">
        <v>514504236</v>
      </c>
      <c r="J188">
        <v>131455144</v>
      </c>
      <c r="K188">
        <v>405061991</v>
      </c>
      <c r="L188">
        <v>188914308</v>
      </c>
      <c r="M188">
        <v>297108394</v>
      </c>
      <c r="N188">
        <v>423088293</v>
      </c>
      <c r="O188">
        <v>721706932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259803604</v>
      </c>
      <c r="G189">
        <v>325471384</v>
      </c>
      <c r="H189">
        <v>321179370</v>
      </c>
      <c r="I189">
        <v>207484904</v>
      </c>
      <c r="J189">
        <v>149260229</v>
      </c>
      <c r="K189">
        <v>63445642</v>
      </c>
      <c r="L189">
        <v>116967649</v>
      </c>
      <c r="M189">
        <v>-188058430</v>
      </c>
      <c r="N189">
        <v>-91500372</v>
      </c>
      <c r="O189">
        <v>-6205872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117475256</v>
      </c>
      <c r="G190">
        <v>121138325</v>
      </c>
      <c r="H190">
        <v>69412803</v>
      </c>
      <c r="I190">
        <v>36712285</v>
      </c>
      <c r="J190">
        <v>67060684</v>
      </c>
      <c r="K190">
        <v>89040121</v>
      </c>
      <c r="L190">
        <v>72677300</v>
      </c>
      <c r="M190">
        <v>34058943</v>
      </c>
      <c r="N190">
        <v>30251047</v>
      </c>
      <c r="O190">
        <v>20477819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2519322743</v>
      </c>
      <c r="G191">
        <v>1413986931</v>
      </c>
      <c r="H191">
        <v>1262989746</v>
      </c>
      <c r="I191">
        <v>1396218386</v>
      </c>
      <c r="J191">
        <v>1321348550</v>
      </c>
      <c r="K191">
        <v>461561083</v>
      </c>
      <c r="L191">
        <v>541442232</v>
      </c>
      <c r="M191">
        <v>566846301</v>
      </c>
      <c r="N191">
        <v>495562883</v>
      </c>
      <c r="O191">
        <v>610252576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68375045</v>
      </c>
      <c r="G192">
        <v>-10096091</v>
      </c>
      <c r="H192">
        <v>84506572</v>
      </c>
      <c r="I192">
        <v>92274693</v>
      </c>
      <c r="J192">
        <v>78373560</v>
      </c>
      <c r="K192">
        <v>131052479</v>
      </c>
      <c r="L192">
        <v>65484388</v>
      </c>
      <c r="M192">
        <v>48907363</v>
      </c>
      <c r="N192">
        <v>53731831</v>
      </c>
      <c r="O192">
        <v>-86116137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-3442231000</v>
      </c>
      <c r="G193">
        <v>-15627164000</v>
      </c>
      <c r="H193">
        <v>611842000</v>
      </c>
      <c r="I193">
        <v>728977000</v>
      </c>
      <c r="J193">
        <v>2757764000</v>
      </c>
      <c r="K193">
        <v>3403288000</v>
      </c>
      <c r="L193">
        <v>2489799000</v>
      </c>
      <c r="M193">
        <v>1887848000</v>
      </c>
      <c r="N193">
        <v>2183911000</v>
      </c>
      <c r="O193">
        <v>1700348000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28299148</v>
      </c>
      <c r="G194">
        <v>29499857</v>
      </c>
      <c r="H194">
        <v>32914649</v>
      </c>
      <c r="I194">
        <v>5646728</v>
      </c>
      <c r="J194">
        <v>2791112</v>
      </c>
      <c r="K194">
        <v>2151312</v>
      </c>
      <c r="L194">
        <v>2081767</v>
      </c>
      <c r="M194">
        <v>11217575</v>
      </c>
      <c r="N194">
        <v>20088507</v>
      </c>
      <c r="O194">
        <v>10388027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503153321</v>
      </c>
      <c r="G195">
        <v>412768516</v>
      </c>
      <c r="H195">
        <v>185006179</v>
      </c>
      <c r="I195">
        <v>97666599</v>
      </c>
      <c r="J195">
        <v>87720286</v>
      </c>
      <c r="K195">
        <v>78103743</v>
      </c>
      <c r="L195">
        <v>83344176</v>
      </c>
      <c r="M195">
        <v>123848142</v>
      </c>
      <c r="N195">
        <v>100325588</v>
      </c>
      <c r="O195">
        <v>50449249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-268504163</v>
      </c>
      <c r="G196">
        <v>-456241021</v>
      </c>
      <c r="H196">
        <v>-268975474</v>
      </c>
      <c r="I196">
        <v>-263236278</v>
      </c>
      <c r="J196">
        <v>396164316</v>
      </c>
      <c r="K196">
        <v>-529771776</v>
      </c>
      <c r="L196">
        <v>-475976263</v>
      </c>
      <c r="M196">
        <v>-345353713</v>
      </c>
      <c r="N196">
        <v>-300803346</v>
      </c>
      <c r="O196">
        <v>-97990447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446203206</v>
      </c>
      <c r="G197">
        <v>192021460</v>
      </c>
      <c r="H197">
        <v>217228302</v>
      </c>
      <c r="I197">
        <v>212982018</v>
      </c>
      <c r="J197">
        <v>219619354</v>
      </c>
      <c r="K197">
        <v>265618477</v>
      </c>
      <c r="L197">
        <v>141622442</v>
      </c>
      <c r="M197">
        <v>96777427</v>
      </c>
      <c r="N197">
        <v>32765777</v>
      </c>
      <c r="O197">
        <v>43032383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118692802</v>
      </c>
      <c r="G198">
        <v>41753233</v>
      </c>
      <c r="H198">
        <v>-1673625578</v>
      </c>
      <c r="I198">
        <v>189589701</v>
      </c>
      <c r="J198">
        <v>-24779480</v>
      </c>
      <c r="K198">
        <v>-109214961</v>
      </c>
      <c r="L198">
        <v>-142386548</v>
      </c>
      <c r="M198">
        <v>-314497428</v>
      </c>
      <c r="N198">
        <v>-91131601</v>
      </c>
      <c r="O198">
        <v>66435002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42467179</v>
      </c>
      <c r="G199">
        <v>-3820652</v>
      </c>
      <c r="H199">
        <v>-3694338</v>
      </c>
      <c r="I199">
        <v>8173538</v>
      </c>
      <c r="J199">
        <v>-20358813</v>
      </c>
      <c r="K199">
        <v>-23740004</v>
      </c>
      <c r="L199">
        <v>-14630378</v>
      </c>
      <c r="M199">
        <v>-32910775</v>
      </c>
      <c r="N199">
        <v>-55065655</v>
      </c>
      <c r="O199">
        <v>-101224747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214368044</v>
      </c>
      <c r="G200">
        <v>228752279</v>
      </c>
      <c r="H200">
        <v>261078642</v>
      </c>
      <c r="I200">
        <v>191690303</v>
      </c>
      <c r="J200">
        <v>181908925</v>
      </c>
      <c r="K200">
        <v>151232480</v>
      </c>
      <c r="L200">
        <v>127869278</v>
      </c>
      <c r="M200">
        <v>49482415</v>
      </c>
      <c r="N200">
        <v>17844611</v>
      </c>
      <c r="O200">
        <v>-180965883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194590809</v>
      </c>
      <c r="G201">
        <v>-170784840</v>
      </c>
      <c r="H201">
        <v>49589744</v>
      </c>
      <c r="I201">
        <v>1028868496</v>
      </c>
      <c r="J201">
        <v>964911588</v>
      </c>
      <c r="K201">
        <v>82723425</v>
      </c>
      <c r="L201">
        <v>-382969115</v>
      </c>
      <c r="M201">
        <v>-101565332</v>
      </c>
      <c r="N201">
        <v>151177403</v>
      </c>
      <c r="O201">
        <v>223849739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1094320565</v>
      </c>
      <c r="G202">
        <v>420797645</v>
      </c>
      <c r="H202">
        <v>421889388</v>
      </c>
      <c r="I202">
        <v>1276945759</v>
      </c>
      <c r="J202">
        <v>996012420</v>
      </c>
      <c r="K202">
        <v>13793870</v>
      </c>
      <c r="L202">
        <v>-174521737</v>
      </c>
      <c r="M202">
        <v>-258573774</v>
      </c>
      <c r="N202">
        <v>50477187</v>
      </c>
      <c r="O202">
        <v>121814992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35929149</v>
      </c>
      <c r="G203">
        <v>41791965</v>
      </c>
      <c r="H203">
        <v>23570825</v>
      </c>
      <c r="I203">
        <v>25537196</v>
      </c>
      <c r="J203">
        <v>19279557</v>
      </c>
      <c r="K203">
        <v>18644506</v>
      </c>
      <c r="L203">
        <v>24683189</v>
      </c>
      <c r="M203">
        <v>16395791</v>
      </c>
      <c r="N203">
        <v>16715129</v>
      </c>
      <c r="O203">
        <v>-8190580</v>
      </c>
      <c r="P203">
        <v>88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954099524</v>
      </c>
      <c r="G204">
        <v>1385977695</v>
      </c>
      <c r="H204">
        <v>1376468644</v>
      </c>
      <c r="I204">
        <v>1254162232</v>
      </c>
      <c r="J204">
        <v>1058084957</v>
      </c>
      <c r="K204">
        <v>975851105</v>
      </c>
      <c r="L204">
        <v>34619846</v>
      </c>
      <c r="M204">
        <v>38238107</v>
      </c>
      <c r="N204">
        <v>41865020</v>
      </c>
      <c r="O204">
        <v>52023411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10055469</v>
      </c>
      <c r="G205">
        <v>29373946</v>
      </c>
      <c r="H205">
        <v>8938646</v>
      </c>
      <c r="I205">
        <v>-2676266</v>
      </c>
      <c r="J205">
        <v>-10364282</v>
      </c>
      <c r="K205">
        <v>758222</v>
      </c>
      <c r="L205">
        <v>-14222178</v>
      </c>
      <c r="M205">
        <v>-13035690</v>
      </c>
      <c r="N205">
        <v>-18793632</v>
      </c>
      <c r="O205">
        <v>-26631051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55243230</v>
      </c>
      <c r="G206">
        <v>45193058</v>
      </c>
      <c r="H206">
        <v>6614512</v>
      </c>
      <c r="I206">
        <v>18899550</v>
      </c>
      <c r="J206">
        <v>15911334</v>
      </c>
      <c r="K206">
        <v>8106037</v>
      </c>
      <c r="L206">
        <v>-23191247</v>
      </c>
      <c r="M206">
        <v>-24046442</v>
      </c>
      <c r="N206">
        <v>11828826</v>
      </c>
      <c r="O206">
        <v>15582797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1562896260</v>
      </c>
      <c r="G207">
        <v>1668605202</v>
      </c>
      <c r="H207">
        <v>1967292193</v>
      </c>
      <c r="I207">
        <v>2012460785</v>
      </c>
      <c r="J207">
        <v>1843585480</v>
      </c>
      <c r="K207">
        <v>2451170380</v>
      </c>
      <c r="L207">
        <v>817520486</v>
      </c>
      <c r="M207">
        <v>527748333</v>
      </c>
      <c r="N207">
        <v>359494451</v>
      </c>
      <c r="O207">
        <v>217033984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33239109</v>
      </c>
      <c r="G208">
        <v>5264692</v>
      </c>
      <c r="H208">
        <v>-20767567</v>
      </c>
      <c r="I208">
        <v>4284966</v>
      </c>
      <c r="J208">
        <v>8668095</v>
      </c>
      <c r="K208">
        <v>-62264820</v>
      </c>
      <c r="L208">
        <v>-23176016</v>
      </c>
      <c r="M208">
        <v>-35500821</v>
      </c>
      <c r="N208">
        <v>19215622</v>
      </c>
      <c r="O208">
        <v>34828616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-12765143</v>
      </c>
      <c r="G209">
        <v>-34815214</v>
      </c>
      <c r="H209">
        <v>-129984599</v>
      </c>
      <c r="I209">
        <v>-162862988</v>
      </c>
      <c r="J209">
        <v>3433261</v>
      </c>
      <c r="K209">
        <v>-64783334</v>
      </c>
      <c r="L209">
        <v>-13000029</v>
      </c>
      <c r="M209">
        <v>41942260</v>
      </c>
      <c r="N209">
        <v>112808244</v>
      </c>
      <c r="O209">
        <v>2444431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138617488</v>
      </c>
      <c r="G210">
        <v>-1038624792</v>
      </c>
      <c r="H210">
        <v>-1062885584</v>
      </c>
      <c r="I210">
        <v>227526410</v>
      </c>
      <c r="J210">
        <v>-375694053</v>
      </c>
      <c r="K210">
        <v>-492631732</v>
      </c>
      <c r="L210">
        <v>-262836459</v>
      </c>
      <c r="M210">
        <v>-12986277</v>
      </c>
      <c r="N210">
        <v>20159079</v>
      </c>
      <c r="O210">
        <v>68007032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-5048993946</v>
      </c>
      <c r="I211">
        <v>-135519729</v>
      </c>
      <c r="J211">
        <v>907129643</v>
      </c>
      <c r="K211">
        <v>867055965</v>
      </c>
      <c r="L211">
        <v>690206903</v>
      </c>
      <c r="M211">
        <v>461949970</v>
      </c>
      <c r="N211">
        <v>279708702</v>
      </c>
      <c r="O211">
        <v>103320881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57269811</v>
      </c>
      <c r="G212">
        <v>-3472037</v>
      </c>
      <c r="H212">
        <v>-3092606</v>
      </c>
      <c r="I212">
        <v>-31845960</v>
      </c>
      <c r="J212">
        <v>17412300</v>
      </c>
      <c r="K212">
        <v>-9698925</v>
      </c>
      <c r="L212">
        <v>-53755060</v>
      </c>
      <c r="M212">
        <v>-25953161</v>
      </c>
      <c r="N212">
        <v>13025495</v>
      </c>
      <c r="O212">
        <v>10398331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-39507992</v>
      </c>
      <c r="G213">
        <v>1764555</v>
      </c>
      <c r="H213">
        <v>28306010</v>
      </c>
      <c r="I213">
        <v>97246000</v>
      </c>
      <c r="J213">
        <v>89550253</v>
      </c>
      <c r="K213">
        <v>-6335618</v>
      </c>
      <c r="L213">
        <v>-9031855</v>
      </c>
      <c r="M213">
        <v>-99853545</v>
      </c>
      <c r="N213">
        <v>-76530015</v>
      </c>
      <c r="O213">
        <v>-50582389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-18822767</v>
      </c>
      <c r="G214">
        <v>3353453</v>
      </c>
      <c r="H214">
        <v>-84353554</v>
      </c>
      <c r="I214">
        <v>-85851503</v>
      </c>
      <c r="J214">
        <v>33029263</v>
      </c>
      <c r="K214">
        <v>-51920394</v>
      </c>
      <c r="L214">
        <v>-19928675</v>
      </c>
      <c r="M214">
        <v>-36105997</v>
      </c>
      <c r="N214">
        <v>40424148</v>
      </c>
      <c r="O214">
        <v>-31236394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266766330</v>
      </c>
      <c r="G215">
        <v>45785619</v>
      </c>
      <c r="H215">
        <v>239895300</v>
      </c>
      <c r="I215">
        <v>339392509</v>
      </c>
      <c r="J215">
        <v>113004437</v>
      </c>
      <c r="K215">
        <v>212281790</v>
      </c>
      <c r="L215">
        <v>36081992</v>
      </c>
      <c r="M215">
        <v>91965201</v>
      </c>
      <c r="N215">
        <v>78185203</v>
      </c>
      <c r="O215">
        <v>70617594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-36700645</v>
      </c>
      <c r="H216">
        <v>-33635428</v>
      </c>
      <c r="I216">
        <v>14796199</v>
      </c>
      <c r="J216">
        <v>-368477596</v>
      </c>
      <c r="K216">
        <v>-62641788</v>
      </c>
      <c r="L216">
        <v>-12501930</v>
      </c>
      <c r="M216">
        <v>-26921305</v>
      </c>
      <c r="N216">
        <v>1389667</v>
      </c>
      <c r="O216">
        <v>1247531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3408017324</v>
      </c>
      <c r="G217">
        <v>31891136</v>
      </c>
      <c r="H217">
        <v>217185499</v>
      </c>
      <c r="I217">
        <v>98235098</v>
      </c>
      <c r="J217">
        <v>86145985</v>
      </c>
      <c r="K217">
        <v>84585030</v>
      </c>
      <c r="L217">
        <v>97586845</v>
      </c>
      <c r="M217">
        <v>169753155</v>
      </c>
      <c r="N217">
        <v>161620114</v>
      </c>
      <c r="O217">
        <v>115988825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2880152</v>
      </c>
      <c r="G218">
        <v>62437647</v>
      </c>
      <c r="H218">
        <v>7798588</v>
      </c>
      <c r="I218">
        <v>2145363</v>
      </c>
      <c r="J218">
        <v>-70350907</v>
      </c>
      <c r="K218">
        <v>-92196959</v>
      </c>
      <c r="L218">
        <v>-101040332</v>
      </c>
      <c r="M218">
        <v>-115633401</v>
      </c>
      <c r="N218">
        <v>3634537</v>
      </c>
      <c r="O218">
        <v>-1534998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-98144656</v>
      </c>
      <c r="G219">
        <v>44162063</v>
      </c>
      <c r="H219">
        <v>20826768</v>
      </c>
      <c r="I219">
        <v>17630366</v>
      </c>
      <c r="J219">
        <v>-78939990</v>
      </c>
      <c r="K219">
        <v>-51124330</v>
      </c>
      <c r="L219">
        <v>-47947763</v>
      </c>
      <c r="M219">
        <v>-97221918</v>
      </c>
      <c r="N219">
        <v>-107168077</v>
      </c>
      <c r="O219">
        <v>-78530998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229724112</v>
      </c>
      <c r="G220">
        <v>233198775</v>
      </c>
      <c r="H220">
        <v>153675094</v>
      </c>
      <c r="I220">
        <v>128487745</v>
      </c>
      <c r="J220">
        <v>91189743</v>
      </c>
      <c r="K220">
        <v>12193702</v>
      </c>
      <c r="L220">
        <v>137509728</v>
      </c>
      <c r="M220">
        <v>156290094</v>
      </c>
      <c r="N220">
        <v>181625381</v>
      </c>
      <c r="O220">
        <v>168199600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520889864</v>
      </c>
      <c r="G221">
        <v>428122883</v>
      </c>
      <c r="H221">
        <v>577072012</v>
      </c>
      <c r="I221">
        <v>477656493</v>
      </c>
      <c r="J221">
        <v>531023079</v>
      </c>
      <c r="K221">
        <v>433484671</v>
      </c>
      <c r="L221">
        <v>599205614</v>
      </c>
      <c r="M221">
        <v>736267381</v>
      </c>
      <c r="N221">
        <v>558642013</v>
      </c>
      <c r="O221">
        <v>456847530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24567432.949999999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63625753</v>
      </c>
      <c r="G223">
        <v>73209193</v>
      </c>
      <c r="H223">
        <v>-58395550</v>
      </c>
      <c r="I223">
        <v>41884964</v>
      </c>
      <c r="J223">
        <v>38397047</v>
      </c>
      <c r="K223">
        <v>-79819352</v>
      </c>
      <c r="L223">
        <v>-98207719</v>
      </c>
      <c r="M223">
        <v>32198866</v>
      </c>
      <c r="N223">
        <v>-8387647</v>
      </c>
      <c r="O223">
        <v>11777284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2760412491</v>
      </c>
      <c r="G224">
        <v>708761797</v>
      </c>
      <c r="H224">
        <v>1193850971</v>
      </c>
      <c r="I224">
        <v>1360803881</v>
      </c>
      <c r="J224">
        <v>248035922</v>
      </c>
      <c r="K224">
        <v>164516290</v>
      </c>
      <c r="L224">
        <v>342135926</v>
      </c>
      <c r="M224">
        <v>1553232774</v>
      </c>
      <c r="N224">
        <v>620356173</v>
      </c>
      <c r="O224">
        <v>849012438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20251325</v>
      </c>
      <c r="G225">
        <v>5679447</v>
      </c>
      <c r="H225">
        <v>5312076</v>
      </c>
      <c r="I225">
        <v>22088087</v>
      </c>
      <c r="J225">
        <v>6182819</v>
      </c>
      <c r="K225">
        <v>5235642</v>
      </c>
      <c r="L225">
        <v>4319000</v>
      </c>
      <c r="M225">
        <v>1536527</v>
      </c>
      <c r="N225">
        <v>220957183</v>
      </c>
      <c r="O225">
        <v>14990540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125085313</v>
      </c>
      <c r="G226">
        <v>-555019013</v>
      </c>
      <c r="H226">
        <v>719192680</v>
      </c>
      <c r="I226">
        <v>801496122</v>
      </c>
      <c r="J226">
        <v>550414460</v>
      </c>
      <c r="K226">
        <v>156869357</v>
      </c>
      <c r="L226">
        <v>67154345</v>
      </c>
      <c r="M226">
        <v>90251031</v>
      </c>
      <c r="N226">
        <v>96216197</v>
      </c>
      <c r="O226">
        <v>97613515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125948518</v>
      </c>
      <c r="G227">
        <v>30129363</v>
      </c>
      <c r="H227">
        <v>70339401</v>
      </c>
      <c r="I227">
        <v>-135212604</v>
      </c>
      <c r="J227">
        <v>8183620</v>
      </c>
      <c r="K227">
        <v>-118228896</v>
      </c>
      <c r="L227">
        <v>-95869654</v>
      </c>
      <c r="M227">
        <v>8977580</v>
      </c>
      <c r="N227">
        <v>-34473941</v>
      </c>
      <c r="O227">
        <v>37574614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-6256001291</v>
      </c>
      <c r="G228">
        <v>606873637</v>
      </c>
      <c r="H228">
        <v>967886082</v>
      </c>
      <c r="I228">
        <v>842973544</v>
      </c>
      <c r="J228">
        <v>519661212</v>
      </c>
      <c r="K228">
        <v>112883814</v>
      </c>
      <c r="L228">
        <v>115094814</v>
      </c>
      <c r="M228">
        <v>90890884</v>
      </c>
      <c r="N228">
        <v>123274227</v>
      </c>
      <c r="O228">
        <v>204960021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342254349</v>
      </c>
      <c r="G229">
        <v>443341272</v>
      </c>
      <c r="H229">
        <v>521957745</v>
      </c>
      <c r="I229">
        <v>288404699</v>
      </c>
      <c r="J229">
        <v>323601636</v>
      </c>
      <c r="K229">
        <v>354744230</v>
      </c>
      <c r="L229">
        <v>269966756</v>
      </c>
      <c r="M229">
        <v>214230901</v>
      </c>
      <c r="N229">
        <v>180695600</v>
      </c>
      <c r="O229">
        <v>179451557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59550120</v>
      </c>
      <c r="G230">
        <v>43916643</v>
      </c>
      <c r="H230">
        <v>45444686</v>
      </c>
      <c r="I230">
        <v>72782712</v>
      </c>
      <c r="J230">
        <v>13683494</v>
      </c>
      <c r="K230">
        <v>-2835611</v>
      </c>
      <c r="L230">
        <v>-7653102</v>
      </c>
      <c r="M230">
        <v>57415486</v>
      </c>
      <c r="N230">
        <v>93502496</v>
      </c>
      <c r="O230">
        <v>119937543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-13694876</v>
      </c>
      <c r="G231">
        <v>-14720785</v>
      </c>
      <c r="H231">
        <v>-6486144</v>
      </c>
      <c r="I231">
        <v>-21138390</v>
      </c>
      <c r="J231">
        <v>-18745922</v>
      </c>
      <c r="K231">
        <v>30882111</v>
      </c>
      <c r="L231">
        <v>-39263643</v>
      </c>
      <c r="M231">
        <v>-43280116</v>
      </c>
      <c r="N231">
        <v>-56492581</v>
      </c>
      <c r="O231">
        <v>-73023352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552096188</v>
      </c>
      <c r="G232">
        <v>844991999</v>
      </c>
      <c r="H232">
        <v>1797318177</v>
      </c>
      <c r="I232">
        <v>670721608</v>
      </c>
      <c r="J232">
        <v>482213249</v>
      </c>
      <c r="K232">
        <v>684734274</v>
      </c>
      <c r="L232">
        <v>791363699</v>
      </c>
      <c r="M232">
        <v>700389077</v>
      </c>
      <c r="N232">
        <v>618640963</v>
      </c>
      <c r="O232">
        <v>401503404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499461077</v>
      </c>
      <c r="G233">
        <v>342504814</v>
      </c>
      <c r="H233">
        <v>1254988331</v>
      </c>
      <c r="I233">
        <v>7113648</v>
      </c>
      <c r="J233">
        <v>5110635</v>
      </c>
      <c r="K233">
        <v>31004371</v>
      </c>
      <c r="L233">
        <v>4431479</v>
      </c>
      <c r="M233">
        <v>227035006</v>
      </c>
      <c r="N233">
        <v>214841799</v>
      </c>
      <c r="O233">
        <v>247958375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90249645</v>
      </c>
      <c r="G234">
        <v>-91700374</v>
      </c>
      <c r="H234">
        <v>-99302925</v>
      </c>
      <c r="I234">
        <v>-23572098</v>
      </c>
      <c r="J234">
        <v>-76401721</v>
      </c>
      <c r="K234">
        <v>-114031299</v>
      </c>
      <c r="L234">
        <v>-100672366</v>
      </c>
      <c r="M234">
        <v>-177441986</v>
      </c>
      <c r="N234">
        <v>-71139917</v>
      </c>
      <c r="O234">
        <v>8335785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603018234</v>
      </c>
      <c r="G235">
        <v>99982982</v>
      </c>
      <c r="H235">
        <v>1007724726</v>
      </c>
      <c r="I235">
        <v>829869285</v>
      </c>
      <c r="J235">
        <v>817439950</v>
      </c>
      <c r="K235">
        <v>920693918</v>
      </c>
      <c r="L235">
        <v>489058074</v>
      </c>
      <c r="M235">
        <v>611153028</v>
      </c>
      <c r="N235">
        <v>630726868</v>
      </c>
      <c r="O235">
        <v>886925668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901570614</v>
      </c>
      <c r="J236">
        <v>971628816</v>
      </c>
      <c r="K236">
        <v>714901767.88</v>
      </c>
      <c r="L236">
        <v>705842375.19000006</v>
      </c>
      <c r="M236">
        <v>395324707.25999999</v>
      </c>
      <c r="N236">
        <v>468204019.04000002</v>
      </c>
      <c r="O236">
        <v>416392955.16000003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529976228</v>
      </c>
      <c r="G237">
        <v>176215818</v>
      </c>
      <c r="H237">
        <v>1144936307</v>
      </c>
      <c r="I237">
        <v>854418898</v>
      </c>
      <c r="J237">
        <v>1122314446</v>
      </c>
      <c r="K237">
        <v>944065057</v>
      </c>
      <c r="L237">
        <v>1231115829</v>
      </c>
      <c r="M237">
        <v>902818505</v>
      </c>
      <c r="N237">
        <v>843013422</v>
      </c>
      <c r="O237">
        <v>745904847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7148713</v>
      </c>
      <c r="G238">
        <v>5486880</v>
      </c>
      <c r="H238">
        <v>14186693</v>
      </c>
      <c r="I238">
        <v>26741670</v>
      </c>
      <c r="J238">
        <v>20088364</v>
      </c>
      <c r="K238">
        <v>14210939</v>
      </c>
      <c r="L238">
        <v>17855189</v>
      </c>
      <c r="M238">
        <v>43755141</v>
      </c>
      <c r="N238">
        <v>14031653</v>
      </c>
      <c r="O238">
        <v>60358727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1207973346</v>
      </c>
      <c r="G239">
        <v>851140017</v>
      </c>
      <c r="H239">
        <v>942304382</v>
      </c>
      <c r="I239">
        <v>855198674</v>
      </c>
      <c r="J239">
        <v>681919068</v>
      </c>
      <c r="K239">
        <v>536264077</v>
      </c>
      <c r="L239">
        <v>429321545</v>
      </c>
      <c r="M239">
        <v>415479340</v>
      </c>
      <c r="N239">
        <v>-11869992</v>
      </c>
      <c r="O239">
        <v>-58394569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-20869325</v>
      </c>
      <c r="G240">
        <v>-21635574</v>
      </c>
      <c r="H240">
        <v>-16454300</v>
      </c>
      <c r="I240">
        <v>-7194750</v>
      </c>
      <c r="J240">
        <v>-28340122</v>
      </c>
      <c r="K240">
        <v>-22960932</v>
      </c>
      <c r="L240">
        <v>-28609506</v>
      </c>
      <c r="M240">
        <v>-13187621</v>
      </c>
      <c r="N240">
        <v>-17655170</v>
      </c>
      <c r="O240">
        <v>22529536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4207201011</v>
      </c>
      <c r="G241">
        <v>4258592129</v>
      </c>
      <c r="H241">
        <v>3734893398</v>
      </c>
      <c r="I241">
        <v>2911920929</v>
      </c>
      <c r="J241">
        <v>2327765909</v>
      </c>
      <c r="K241">
        <v>1928591661</v>
      </c>
      <c r="L241">
        <v>1571635405</v>
      </c>
      <c r="M241">
        <v>1116850986</v>
      </c>
      <c r="N241">
        <v>925654739</v>
      </c>
      <c r="O241">
        <v>804284413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627829086</v>
      </c>
      <c r="G242">
        <v>224993393</v>
      </c>
      <c r="H242">
        <v>761596829</v>
      </c>
      <c r="I242">
        <v>538338190</v>
      </c>
      <c r="J242">
        <v>281911056</v>
      </c>
      <c r="K242">
        <v>217553492</v>
      </c>
      <c r="L242">
        <v>105368643</v>
      </c>
      <c r="M242">
        <v>379536686</v>
      </c>
      <c r="N242">
        <v>206566606</v>
      </c>
      <c r="O242">
        <v>104053649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317968679</v>
      </c>
      <c r="G243">
        <v>164627531</v>
      </c>
      <c r="H243">
        <v>94274999</v>
      </c>
      <c r="I243">
        <v>103986127</v>
      </c>
      <c r="J243">
        <v>105599358</v>
      </c>
      <c r="K243">
        <v>104254049</v>
      </c>
      <c r="L243">
        <v>104727627</v>
      </c>
      <c r="M243">
        <v>95505341</v>
      </c>
      <c r="N243">
        <v>88553234</v>
      </c>
      <c r="O243">
        <v>91541968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32765932</v>
      </c>
      <c r="G244">
        <v>64512028</v>
      </c>
      <c r="H244">
        <v>121501582</v>
      </c>
      <c r="I244">
        <v>104200911</v>
      </c>
      <c r="J244">
        <v>111897897</v>
      </c>
      <c r="K244">
        <v>61802722</v>
      </c>
      <c r="L244">
        <v>58459729</v>
      </c>
      <c r="M244">
        <v>73510378</v>
      </c>
      <c r="N244">
        <v>67228581</v>
      </c>
      <c r="O244">
        <v>44265712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10952416</v>
      </c>
      <c r="G245">
        <v>-15253698</v>
      </c>
      <c r="H245">
        <v>-56976244</v>
      </c>
      <c r="I245">
        <v>73644292</v>
      </c>
      <c r="J245">
        <v>272460887</v>
      </c>
      <c r="K245">
        <v>80113023</v>
      </c>
      <c r="L245">
        <v>172321247</v>
      </c>
      <c r="M245">
        <v>494475520</v>
      </c>
      <c r="N245">
        <v>429214805</v>
      </c>
      <c r="O245">
        <v>58517907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-11177125</v>
      </c>
      <c r="G246">
        <v>3338938</v>
      </c>
      <c r="H246">
        <v>-32388428</v>
      </c>
      <c r="I246">
        <v>-34543528</v>
      </c>
      <c r="J246">
        <v>-38668717</v>
      </c>
      <c r="K246">
        <v>-23943857</v>
      </c>
      <c r="L246">
        <v>-25441965</v>
      </c>
      <c r="M246">
        <v>1896510</v>
      </c>
      <c r="N246">
        <v>-179546445</v>
      </c>
      <c r="O246">
        <v>-45036311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3468768271</v>
      </c>
      <c r="G247">
        <v>2006658971</v>
      </c>
      <c r="H247">
        <v>2375216089</v>
      </c>
      <c r="I247">
        <v>3437304437</v>
      </c>
      <c r="J247">
        <v>2046650152</v>
      </c>
      <c r="K247">
        <v>227620660</v>
      </c>
      <c r="L247">
        <v>-474308086</v>
      </c>
      <c r="M247">
        <v>202402835</v>
      </c>
      <c r="N247">
        <v>-27520381</v>
      </c>
      <c r="O247">
        <v>-508604720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147158295</v>
      </c>
      <c r="G248">
        <v>89925201</v>
      </c>
      <c r="H248">
        <v>18416247</v>
      </c>
      <c r="I248">
        <v>89927179</v>
      </c>
      <c r="J248">
        <v>61266403</v>
      </c>
      <c r="K248">
        <v>-181582478</v>
      </c>
      <c r="L248">
        <v>40997421</v>
      </c>
      <c r="M248">
        <v>9475432</v>
      </c>
      <c r="N248">
        <v>6986256</v>
      </c>
      <c r="O248">
        <v>10446711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325105830</v>
      </c>
      <c r="G249">
        <v>253794736</v>
      </c>
      <c r="H249">
        <v>249683588</v>
      </c>
      <c r="I249">
        <v>214868023</v>
      </c>
      <c r="J249">
        <v>217534988</v>
      </c>
      <c r="K249">
        <v>226998653</v>
      </c>
      <c r="L249">
        <v>228493834</v>
      </c>
      <c r="M249">
        <v>237489909</v>
      </c>
      <c r="N249">
        <v>160288524</v>
      </c>
      <c r="O249">
        <v>148918697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326732030</v>
      </c>
      <c r="G250">
        <v>269569972</v>
      </c>
      <c r="H250">
        <v>261818494</v>
      </c>
      <c r="I250">
        <v>212776249</v>
      </c>
      <c r="J250">
        <v>190368727</v>
      </c>
      <c r="K250">
        <v>337790330</v>
      </c>
      <c r="L250">
        <v>107178384</v>
      </c>
      <c r="M250">
        <v>62141820</v>
      </c>
      <c r="N250">
        <v>93003516</v>
      </c>
      <c r="O250">
        <v>32683196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77401862.75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-70264435</v>
      </c>
      <c r="G252">
        <v>158880347</v>
      </c>
      <c r="H252">
        <v>172331742</v>
      </c>
      <c r="I252">
        <v>73494170</v>
      </c>
      <c r="J252">
        <v>70564336</v>
      </c>
      <c r="K252">
        <v>41168621</v>
      </c>
      <c r="L252">
        <v>48912789</v>
      </c>
      <c r="M252">
        <v>58635964</v>
      </c>
      <c r="N252">
        <v>347289789</v>
      </c>
      <c r="O252">
        <v>4393136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46287350</v>
      </c>
      <c r="G253">
        <v>15011485</v>
      </c>
      <c r="H253">
        <v>31737913</v>
      </c>
      <c r="I253">
        <v>31599909</v>
      </c>
      <c r="J253">
        <v>5187765</v>
      </c>
      <c r="K253">
        <v>-4553921</v>
      </c>
      <c r="L253">
        <v>8814206</v>
      </c>
      <c r="M253">
        <v>9520458</v>
      </c>
      <c r="N253">
        <v>-7522126</v>
      </c>
      <c r="O253">
        <v>27418042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-16435610</v>
      </c>
      <c r="G254">
        <v>-143697902</v>
      </c>
      <c r="H254">
        <v>-170202183</v>
      </c>
      <c r="I254">
        <v>-458135809</v>
      </c>
      <c r="J254">
        <v>-61240864</v>
      </c>
      <c r="K254">
        <v>19819435</v>
      </c>
      <c r="L254">
        <v>17940613</v>
      </c>
      <c r="M254">
        <v>3846473</v>
      </c>
      <c r="N254">
        <v>-79935039</v>
      </c>
      <c r="O254">
        <v>58563548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-270715375</v>
      </c>
      <c r="G255">
        <v>-94853975</v>
      </c>
      <c r="H255">
        <v>11022760</v>
      </c>
      <c r="I255">
        <v>17233687</v>
      </c>
      <c r="J255">
        <v>35020347</v>
      </c>
      <c r="K255">
        <v>30923995</v>
      </c>
      <c r="L255">
        <v>140838417</v>
      </c>
      <c r="M255">
        <v>100108647</v>
      </c>
      <c r="N255">
        <v>14290676</v>
      </c>
      <c r="O255">
        <v>48804603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F256">
        <v>88863563</v>
      </c>
      <c r="G256">
        <v>-8730781616</v>
      </c>
      <c r="H256">
        <v>-1564263075</v>
      </c>
      <c r="I256">
        <v>401707415</v>
      </c>
      <c r="J256">
        <v>2486709661</v>
      </c>
      <c r="K256">
        <v>38611063</v>
      </c>
      <c r="L256">
        <v>403082089</v>
      </c>
      <c r="M256">
        <v>229677013.13999999</v>
      </c>
      <c r="N256">
        <v>32870084.52</v>
      </c>
      <c r="O256">
        <v>-41408335.340000004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80354692</v>
      </c>
      <c r="G257">
        <v>57253879</v>
      </c>
      <c r="H257">
        <v>103473712</v>
      </c>
      <c r="I257">
        <v>107720544</v>
      </c>
      <c r="J257">
        <v>93010843</v>
      </c>
      <c r="K257">
        <v>113280685</v>
      </c>
      <c r="L257">
        <v>309356464</v>
      </c>
      <c r="M257">
        <v>218815712</v>
      </c>
      <c r="N257">
        <v>146236501</v>
      </c>
      <c r="O257">
        <v>73359379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125580005</v>
      </c>
      <c r="G258">
        <v>-591001633</v>
      </c>
      <c r="H258">
        <v>61027924</v>
      </c>
      <c r="I258">
        <v>275002053</v>
      </c>
      <c r="J258">
        <v>277242809</v>
      </c>
      <c r="K258">
        <v>21036614</v>
      </c>
      <c r="L258">
        <v>2048574</v>
      </c>
      <c r="M258">
        <v>8437075</v>
      </c>
      <c r="N258">
        <v>8994323</v>
      </c>
      <c r="O258">
        <v>5250872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3711645573</v>
      </c>
      <c r="G259">
        <v>954126732</v>
      </c>
      <c r="H259">
        <v>974175803</v>
      </c>
      <c r="I259">
        <v>498146746</v>
      </c>
      <c r="J259">
        <v>362440676</v>
      </c>
      <c r="K259">
        <v>181880412</v>
      </c>
      <c r="L259">
        <v>172923455</v>
      </c>
      <c r="M259">
        <v>264864917</v>
      </c>
      <c r="N259">
        <v>415892794</v>
      </c>
      <c r="O259">
        <v>404745509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1627176469</v>
      </c>
      <c r="G260">
        <v>1311881486</v>
      </c>
      <c r="H260">
        <v>2246478202</v>
      </c>
      <c r="I260">
        <v>3153460476</v>
      </c>
      <c r="J260">
        <v>2907580362</v>
      </c>
      <c r="K260">
        <v>2003808566</v>
      </c>
      <c r="L260">
        <v>1244524078</v>
      </c>
      <c r="M260">
        <v>27093845</v>
      </c>
      <c r="N260">
        <v>30124684</v>
      </c>
      <c r="O260">
        <v>46028272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1017947987</v>
      </c>
      <c r="G261">
        <v>1012489566</v>
      </c>
      <c r="H261">
        <v>665584282</v>
      </c>
      <c r="I261">
        <v>673732533</v>
      </c>
      <c r="J261">
        <v>611534298</v>
      </c>
      <c r="K261">
        <v>382779122</v>
      </c>
      <c r="L261">
        <v>193934324</v>
      </c>
      <c r="M261">
        <v>123496090</v>
      </c>
      <c r="N261">
        <v>132803749</v>
      </c>
      <c r="O261">
        <v>200206945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1250669950</v>
      </c>
      <c r="G262">
        <v>1097984275</v>
      </c>
      <c r="H262">
        <v>811801433</v>
      </c>
      <c r="I262">
        <v>709514301</v>
      </c>
      <c r="J262">
        <v>911670690</v>
      </c>
      <c r="K262">
        <v>1545092115</v>
      </c>
      <c r="L262">
        <v>1225967202</v>
      </c>
      <c r="M262">
        <v>-643646808</v>
      </c>
      <c r="N262">
        <v>-722737583</v>
      </c>
      <c r="O262">
        <v>-833466374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175840885</v>
      </c>
      <c r="G263">
        <v>316311404</v>
      </c>
      <c r="H263">
        <v>92850351</v>
      </c>
      <c r="I263">
        <v>98246497</v>
      </c>
      <c r="J263">
        <v>107276026</v>
      </c>
      <c r="K263">
        <v>96414469</v>
      </c>
      <c r="L263">
        <v>30210747</v>
      </c>
      <c r="M263">
        <v>84563916</v>
      </c>
      <c r="N263">
        <v>136271045</v>
      </c>
      <c r="O263">
        <v>114158976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11595695</v>
      </c>
      <c r="G264">
        <v>7273533</v>
      </c>
      <c r="H264">
        <v>7875180</v>
      </c>
      <c r="I264">
        <v>49790442</v>
      </c>
      <c r="J264">
        <v>-1859298</v>
      </c>
      <c r="K264">
        <v>-32908682</v>
      </c>
      <c r="L264">
        <v>-10175297</v>
      </c>
      <c r="M264">
        <v>-142866614</v>
      </c>
      <c r="N264">
        <v>-196072264</v>
      </c>
      <c r="O264">
        <v>-200413954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-34375405</v>
      </c>
      <c r="G265">
        <v>1134128</v>
      </c>
      <c r="H265">
        <v>-72496490</v>
      </c>
      <c r="I265">
        <v>-33437627</v>
      </c>
      <c r="J265">
        <v>-829085</v>
      </c>
      <c r="K265">
        <v>-36818070</v>
      </c>
      <c r="L265">
        <v>-42024797</v>
      </c>
      <c r="M265">
        <v>-62293758</v>
      </c>
      <c r="N265">
        <v>-22771673</v>
      </c>
      <c r="O265">
        <v>-3928690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-190318382</v>
      </c>
      <c r="G266">
        <v>-28757100</v>
      </c>
      <c r="H266">
        <v>-87603189</v>
      </c>
      <c r="I266">
        <v>-30802268</v>
      </c>
      <c r="J266">
        <v>383696872</v>
      </c>
      <c r="K266">
        <v>34586015</v>
      </c>
      <c r="L266">
        <v>-59827507</v>
      </c>
      <c r="M266">
        <v>63852663</v>
      </c>
      <c r="N266">
        <v>-31522288</v>
      </c>
      <c r="O266">
        <v>19796647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134649902</v>
      </c>
      <c r="G267">
        <v>230661785</v>
      </c>
      <c r="H267">
        <v>250641390</v>
      </c>
      <c r="I267">
        <v>218300338</v>
      </c>
      <c r="J267">
        <v>144870139</v>
      </c>
      <c r="K267">
        <v>117008524</v>
      </c>
      <c r="L267">
        <v>209869927</v>
      </c>
      <c r="M267">
        <v>55122470</v>
      </c>
      <c r="N267">
        <v>26956591</v>
      </c>
      <c r="O267">
        <v>9645307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-58340268</v>
      </c>
      <c r="G268">
        <v>-99213242</v>
      </c>
      <c r="H268">
        <v>-77811628</v>
      </c>
      <c r="I268">
        <v>-86400405</v>
      </c>
      <c r="J268">
        <v>114917476</v>
      </c>
      <c r="K268">
        <v>-87284807</v>
      </c>
      <c r="L268">
        <v>-100806228</v>
      </c>
      <c r="M268">
        <v>-163209018</v>
      </c>
      <c r="N268">
        <v>-164229538</v>
      </c>
      <c r="O268">
        <v>836282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2481744237</v>
      </c>
      <c r="G269">
        <v>358298396</v>
      </c>
      <c r="H269">
        <v>1252968560</v>
      </c>
      <c r="I269">
        <v>1073658997</v>
      </c>
      <c r="J269">
        <v>664716979</v>
      </c>
      <c r="K269">
        <v>451475390</v>
      </c>
      <c r="L269">
        <v>-3526627997</v>
      </c>
      <c r="M269">
        <v>-136115180</v>
      </c>
      <c r="N269">
        <v>250401048</v>
      </c>
      <c r="O269">
        <v>412070770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759770798</v>
      </c>
      <c r="G270">
        <v>494333746</v>
      </c>
      <c r="H270">
        <v>482796979</v>
      </c>
      <c r="I270">
        <v>649712280</v>
      </c>
      <c r="J270">
        <v>482895574</v>
      </c>
      <c r="K270">
        <v>119205257</v>
      </c>
      <c r="L270">
        <v>68799209</v>
      </c>
      <c r="M270">
        <v>67131638</v>
      </c>
      <c r="N270">
        <v>66088481</v>
      </c>
      <c r="O270">
        <v>69345832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19541760750</v>
      </c>
      <c r="G271">
        <v>5349173376</v>
      </c>
      <c r="H271">
        <v>7899299228</v>
      </c>
      <c r="I271">
        <v>9021021454</v>
      </c>
      <c r="J271">
        <v>7810995979</v>
      </c>
      <c r="K271">
        <v>2500252821</v>
      </c>
      <c r="L271">
        <v>1435753711</v>
      </c>
      <c r="M271">
        <v>2097858933</v>
      </c>
      <c r="N271">
        <v>2336775292</v>
      </c>
      <c r="O271">
        <v>1648541187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57273342</v>
      </c>
      <c r="G272">
        <v>110415548</v>
      </c>
      <c r="H272">
        <v>172597955</v>
      </c>
      <c r="I272">
        <v>9589564</v>
      </c>
      <c r="J272">
        <v>17275058</v>
      </c>
      <c r="K272">
        <v>103528729</v>
      </c>
      <c r="L272">
        <v>403088355</v>
      </c>
      <c r="M272">
        <v>52174890</v>
      </c>
      <c r="N272">
        <v>76333378</v>
      </c>
      <c r="O272">
        <v>110751454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-99533200</v>
      </c>
      <c r="G273">
        <v>2519192</v>
      </c>
      <c r="H273">
        <v>-44602758</v>
      </c>
      <c r="I273">
        <v>-56579922</v>
      </c>
      <c r="J273">
        <v>4657910</v>
      </c>
      <c r="K273">
        <v>-46225763</v>
      </c>
      <c r="L273">
        <v>-4522694</v>
      </c>
      <c r="M273">
        <v>-3163470</v>
      </c>
      <c r="N273">
        <v>1664508</v>
      </c>
      <c r="O273">
        <v>4875500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104417927</v>
      </c>
      <c r="G274">
        <v>115674640</v>
      </c>
      <c r="H274">
        <v>117928378</v>
      </c>
      <c r="I274">
        <v>2243531</v>
      </c>
      <c r="J274">
        <v>462587806</v>
      </c>
      <c r="K274">
        <v>872589092</v>
      </c>
      <c r="L274">
        <v>509248066</v>
      </c>
      <c r="M274">
        <v>425289204</v>
      </c>
      <c r="N274">
        <v>210443638</v>
      </c>
      <c r="O274">
        <v>31551571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-4783972</v>
      </c>
      <c r="G275">
        <v>-5297909</v>
      </c>
      <c r="H275">
        <v>-10971407</v>
      </c>
      <c r="I275">
        <v>-1992340</v>
      </c>
      <c r="J275">
        <v>-43393011</v>
      </c>
      <c r="K275">
        <v>15744602</v>
      </c>
      <c r="L275">
        <v>13969429</v>
      </c>
      <c r="M275">
        <v>12738578</v>
      </c>
      <c r="N275">
        <v>12268327</v>
      </c>
      <c r="O275">
        <v>562331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420457503</v>
      </c>
      <c r="G276">
        <v>312117140</v>
      </c>
      <c r="H276">
        <v>540429291</v>
      </c>
      <c r="I276">
        <v>453796443</v>
      </c>
      <c r="J276">
        <v>302156268</v>
      </c>
      <c r="K276">
        <v>433427727</v>
      </c>
      <c r="L276">
        <v>790438921</v>
      </c>
      <c r="M276">
        <v>728097772</v>
      </c>
      <c r="N276">
        <v>622836837</v>
      </c>
      <c r="O276">
        <v>478004280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67136975</v>
      </c>
      <c r="G277">
        <v>12680130</v>
      </c>
      <c r="H277">
        <v>-79798272</v>
      </c>
      <c r="I277">
        <v>-75139957</v>
      </c>
      <c r="J277">
        <v>-87408629</v>
      </c>
      <c r="K277">
        <v>1239400</v>
      </c>
      <c r="L277">
        <v>11013767</v>
      </c>
      <c r="M277">
        <v>15732222</v>
      </c>
      <c r="N277">
        <v>11551098</v>
      </c>
      <c r="O277">
        <v>15243903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920644610</v>
      </c>
      <c r="H278">
        <v>836946233</v>
      </c>
      <c r="I278">
        <v>562411118</v>
      </c>
      <c r="J278">
        <v>406380131</v>
      </c>
      <c r="K278">
        <v>353241389.38999999</v>
      </c>
      <c r="L278">
        <v>443848367.66000003</v>
      </c>
      <c r="M278">
        <v>472057303.50999999</v>
      </c>
      <c r="N278">
        <v>437406156.18000001</v>
      </c>
      <c r="O278">
        <v>372900402.97000003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8884641</v>
      </c>
      <c r="G279">
        <v>29140055</v>
      </c>
      <c r="H279">
        <v>38702791</v>
      </c>
      <c r="I279">
        <v>38018663</v>
      </c>
      <c r="J279">
        <v>39589191</v>
      </c>
      <c r="K279">
        <v>105441670</v>
      </c>
      <c r="L279">
        <v>6293990</v>
      </c>
      <c r="M279">
        <v>113393259</v>
      </c>
      <c r="N279">
        <v>48708092</v>
      </c>
      <c r="O279">
        <v>38785012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-34717362</v>
      </c>
      <c r="G280">
        <v>-19979155</v>
      </c>
      <c r="H280">
        <v>19540126</v>
      </c>
      <c r="I280">
        <v>10496206</v>
      </c>
      <c r="J280">
        <v>7893199</v>
      </c>
      <c r="K280">
        <v>-104112748</v>
      </c>
      <c r="L280">
        <v>-171725836</v>
      </c>
      <c r="M280">
        <v>-126064383</v>
      </c>
      <c r="N280">
        <v>-96173808</v>
      </c>
      <c r="O280">
        <v>-125613921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140774646</v>
      </c>
      <c r="G281">
        <v>192128339</v>
      </c>
      <c r="H281">
        <v>243231715</v>
      </c>
      <c r="I281">
        <v>194929918</v>
      </c>
      <c r="J281">
        <v>170978450</v>
      </c>
      <c r="K281">
        <v>155570081</v>
      </c>
      <c r="L281">
        <v>164516095</v>
      </c>
      <c r="M281">
        <v>80544893</v>
      </c>
      <c r="N281">
        <v>55124115</v>
      </c>
      <c r="O281">
        <v>-644808659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-29226668</v>
      </c>
      <c r="G282">
        <v>-150542223</v>
      </c>
      <c r="H282">
        <v>9895310</v>
      </c>
      <c r="I282">
        <v>18287116</v>
      </c>
      <c r="J282">
        <v>5887279</v>
      </c>
      <c r="K282">
        <v>-95301556</v>
      </c>
      <c r="L282">
        <v>18699971</v>
      </c>
      <c r="M282">
        <v>8771136</v>
      </c>
      <c r="N282">
        <v>12147509</v>
      </c>
      <c r="O282">
        <v>22747844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-133567436</v>
      </c>
      <c r="G283">
        <v>30513126</v>
      </c>
      <c r="H283">
        <v>218689161</v>
      </c>
      <c r="I283">
        <v>148676069</v>
      </c>
      <c r="J283">
        <v>181489039</v>
      </c>
      <c r="K283">
        <v>-269510292</v>
      </c>
      <c r="L283">
        <v>39458205</v>
      </c>
      <c r="M283">
        <v>65696217</v>
      </c>
      <c r="N283">
        <v>111413730</v>
      </c>
      <c r="O283">
        <v>144792291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928610156</v>
      </c>
      <c r="G284">
        <v>768600032</v>
      </c>
      <c r="H284">
        <v>736367137</v>
      </c>
      <c r="I284">
        <v>743709553</v>
      </c>
      <c r="J284">
        <v>545643690</v>
      </c>
      <c r="K284">
        <v>432589087</v>
      </c>
      <c r="L284">
        <v>319484918</v>
      </c>
      <c r="M284">
        <v>214917584</v>
      </c>
      <c r="N284">
        <v>186216217</v>
      </c>
      <c r="O284">
        <v>160228962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2052601337</v>
      </c>
      <c r="G285">
        <v>1754576104</v>
      </c>
      <c r="H285">
        <v>1729531681</v>
      </c>
      <c r="I285">
        <v>1620429929</v>
      </c>
      <c r="J285">
        <v>865848192</v>
      </c>
      <c r="K285">
        <v>379709287</v>
      </c>
      <c r="L285">
        <v>306474889</v>
      </c>
      <c r="M285">
        <v>270755344</v>
      </c>
      <c r="N285">
        <v>263591827</v>
      </c>
      <c r="O285">
        <v>220505914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49340964</v>
      </c>
      <c r="G286">
        <v>308635384</v>
      </c>
      <c r="H286">
        <v>426960041</v>
      </c>
      <c r="I286">
        <v>379963493</v>
      </c>
      <c r="J286">
        <v>328516549</v>
      </c>
      <c r="K286">
        <v>170706343</v>
      </c>
      <c r="L286">
        <v>147881520</v>
      </c>
      <c r="M286">
        <v>51009831</v>
      </c>
      <c r="N286">
        <v>39527681</v>
      </c>
      <c r="O286">
        <v>72940664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401674293</v>
      </c>
      <c r="G287">
        <v>146151062</v>
      </c>
      <c r="H287">
        <v>243007963</v>
      </c>
      <c r="I287">
        <v>241040436</v>
      </c>
      <c r="J287">
        <v>210493068</v>
      </c>
      <c r="K287">
        <v>173822465</v>
      </c>
      <c r="L287">
        <v>130386650</v>
      </c>
      <c r="M287">
        <v>140176597</v>
      </c>
      <c r="N287">
        <v>129733151</v>
      </c>
      <c r="O287">
        <v>98912459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1205544747</v>
      </c>
      <c r="G288">
        <v>269419668</v>
      </c>
      <c r="H288">
        <v>292716909</v>
      </c>
      <c r="I288">
        <v>246544087</v>
      </c>
      <c r="J288">
        <v>191181727</v>
      </c>
      <c r="K288">
        <v>60323144</v>
      </c>
      <c r="L288">
        <v>-26260174</v>
      </c>
      <c r="M288">
        <v>12163521</v>
      </c>
      <c r="N288">
        <v>39871741</v>
      </c>
      <c r="O288">
        <v>-16332174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661510729</v>
      </c>
      <c r="G289">
        <v>476801148</v>
      </c>
      <c r="H289">
        <v>445064902</v>
      </c>
      <c r="I289">
        <v>400906349</v>
      </c>
      <c r="J289">
        <v>359504827</v>
      </c>
      <c r="K289">
        <v>349272916</v>
      </c>
      <c r="L289">
        <v>335031075</v>
      </c>
      <c r="M289">
        <v>256836900</v>
      </c>
      <c r="N289">
        <v>236820453</v>
      </c>
      <c r="O289">
        <v>371243777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345995333</v>
      </c>
      <c r="G290">
        <v>332887538</v>
      </c>
      <c r="H290">
        <v>146704871</v>
      </c>
      <c r="I290">
        <v>233257355</v>
      </c>
      <c r="J290">
        <v>150346738</v>
      </c>
      <c r="K290">
        <v>108563565</v>
      </c>
      <c r="L290">
        <v>57009445</v>
      </c>
      <c r="M290">
        <v>11445738</v>
      </c>
      <c r="N290">
        <v>-1826822</v>
      </c>
      <c r="O290">
        <v>-79132973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293447979</v>
      </c>
      <c r="G291">
        <v>-301673373</v>
      </c>
      <c r="H291">
        <v>73699220</v>
      </c>
      <c r="I291">
        <v>16536132</v>
      </c>
      <c r="J291">
        <v>215714810</v>
      </c>
      <c r="K291">
        <v>51693624</v>
      </c>
      <c r="L291">
        <v>32841867</v>
      </c>
      <c r="M291">
        <v>-177319963</v>
      </c>
      <c r="N291">
        <v>-127731222</v>
      </c>
      <c r="O291">
        <v>-271886805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3311742664</v>
      </c>
      <c r="G292">
        <v>2659067350</v>
      </c>
      <c r="H292">
        <v>3159521002</v>
      </c>
      <c r="I292">
        <v>3439293408</v>
      </c>
      <c r="J292">
        <v>1485651349</v>
      </c>
      <c r="K292">
        <v>1056422250</v>
      </c>
      <c r="L292">
        <v>960001445</v>
      </c>
      <c r="M292">
        <v>856842321</v>
      </c>
      <c r="N292">
        <v>728258337</v>
      </c>
      <c r="O292">
        <v>292624313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-87609157</v>
      </c>
      <c r="G293">
        <v>-90351317</v>
      </c>
      <c r="H293">
        <v>-84939098</v>
      </c>
      <c r="I293">
        <v>-129066485</v>
      </c>
      <c r="J293">
        <v>-13606425</v>
      </c>
      <c r="K293">
        <v>28348366</v>
      </c>
      <c r="L293">
        <v>6915786</v>
      </c>
      <c r="M293">
        <v>10832780</v>
      </c>
      <c r="N293">
        <v>10490074</v>
      </c>
      <c r="O293">
        <v>54896602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188864536</v>
      </c>
      <c r="G294">
        <v>244793015</v>
      </c>
      <c r="H294">
        <v>525445615</v>
      </c>
      <c r="I294">
        <v>488769683</v>
      </c>
      <c r="J294">
        <v>656878001</v>
      </c>
      <c r="K294">
        <v>535206466</v>
      </c>
      <c r="L294">
        <v>552700080</v>
      </c>
      <c r="M294">
        <v>625027799</v>
      </c>
      <c r="N294">
        <v>538694264</v>
      </c>
      <c r="O294">
        <v>329389934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146207208</v>
      </c>
      <c r="G295">
        <v>109418526</v>
      </c>
      <c r="H295">
        <v>87294750</v>
      </c>
      <c r="I295">
        <v>49239430</v>
      </c>
      <c r="J295">
        <v>36633712</v>
      </c>
      <c r="K295">
        <v>59915082</v>
      </c>
      <c r="L295">
        <v>70452310</v>
      </c>
      <c r="M295">
        <v>91863575</v>
      </c>
      <c r="N295">
        <v>162359972</v>
      </c>
      <c r="O295">
        <v>67083739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150860137</v>
      </c>
      <c r="G296">
        <v>25218533</v>
      </c>
      <c r="H296">
        <v>354350637</v>
      </c>
      <c r="I296">
        <v>337030451</v>
      </c>
      <c r="J296">
        <v>258512600</v>
      </c>
      <c r="K296">
        <v>218260213</v>
      </c>
      <c r="L296">
        <v>203025781</v>
      </c>
      <c r="M296">
        <v>148992061</v>
      </c>
      <c r="N296">
        <v>120431129</v>
      </c>
      <c r="O296">
        <v>8145898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618967145</v>
      </c>
      <c r="G297">
        <v>72822862</v>
      </c>
      <c r="H297">
        <v>519979151</v>
      </c>
      <c r="I297">
        <v>768514856</v>
      </c>
      <c r="J297">
        <v>824277257</v>
      </c>
      <c r="K297">
        <v>449138459</v>
      </c>
      <c r="L297">
        <v>225149026</v>
      </c>
      <c r="M297">
        <v>-38448337</v>
      </c>
      <c r="N297">
        <v>25067360</v>
      </c>
      <c r="O297">
        <v>-39643714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813163532</v>
      </c>
      <c r="G298">
        <v>625619443</v>
      </c>
      <c r="H298">
        <v>410369826</v>
      </c>
      <c r="I298">
        <v>518609666</v>
      </c>
      <c r="J298">
        <v>521075278</v>
      </c>
      <c r="K298">
        <v>-425302941</v>
      </c>
      <c r="L298">
        <v>-300642158</v>
      </c>
      <c r="M298">
        <v>-57382493</v>
      </c>
      <c r="N298">
        <v>-25678321</v>
      </c>
      <c r="O298">
        <v>-145142304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-13456369438</v>
      </c>
      <c r="G299">
        <v>7280066773</v>
      </c>
      <c r="H299">
        <v>9746233652</v>
      </c>
      <c r="I299">
        <v>7878262924</v>
      </c>
      <c r="J299">
        <v>6228457373</v>
      </c>
      <c r="K299">
        <v>4603357459</v>
      </c>
      <c r="L299">
        <v>3763363490</v>
      </c>
      <c r="M299">
        <v>2821171504</v>
      </c>
      <c r="N299">
        <v>2217665716</v>
      </c>
      <c r="O299">
        <v>1491709784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-68783878</v>
      </c>
      <c r="G300">
        <v>1382115</v>
      </c>
      <c r="H300">
        <v>22339622</v>
      </c>
      <c r="I300">
        <v>9949586</v>
      </c>
      <c r="J300">
        <v>10603208</v>
      </c>
      <c r="K300">
        <v>18701869</v>
      </c>
      <c r="L300">
        <v>18016723</v>
      </c>
      <c r="M300">
        <v>24009112</v>
      </c>
      <c r="N300">
        <v>29020845</v>
      </c>
      <c r="O300">
        <v>28596327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76925661</v>
      </c>
      <c r="G301">
        <v>64949537</v>
      </c>
      <c r="H301">
        <v>102888873</v>
      </c>
      <c r="I301">
        <v>215559507</v>
      </c>
      <c r="J301">
        <v>197140805</v>
      </c>
      <c r="K301">
        <v>52164518</v>
      </c>
      <c r="L301">
        <v>25200743</v>
      </c>
      <c r="M301">
        <v>48120268</v>
      </c>
      <c r="N301">
        <v>-26168541</v>
      </c>
      <c r="O301">
        <v>69449812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12711961630</v>
      </c>
      <c r="G302">
        <v>9895656556</v>
      </c>
      <c r="H302">
        <v>6817166135</v>
      </c>
      <c r="I302">
        <v>3652516495</v>
      </c>
      <c r="J302">
        <v>1101882710</v>
      </c>
      <c r="K302">
        <v>666853836</v>
      </c>
      <c r="L302">
        <v>-180683639</v>
      </c>
      <c r="M302">
        <v>-118266118</v>
      </c>
      <c r="N302">
        <v>6964373</v>
      </c>
      <c r="O302">
        <v>-17830727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2291207154</v>
      </c>
      <c r="G303">
        <v>1094540227</v>
      </c>
      <c r="H303">
        <v>1597069201</v>
      </c>
      <c r="I303">
        <v>1404480545</v>
      </c>
      <c r="J303">
        <v>1160540541</v>
      </c>
      <c r="K303">
        <v>126974565</v>
      </c>
      <c r="L303">
        <v>267622830</v>
      </c>
      <c r="M303">
        <v>422384154</v>
      </c>
      <c r="N303">
        <v>758799981</v>
      </c>
      <c r="O303">
        <v>1652017798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2064669247</v>
      </c>
      <c r="G304">
        <v>1335922991</v>
      </c>
      <c r="H304">
        <v>2122248273</v>
      </c>
      <c r="I304">
        <v>2727223798</v>
      </c>
      <c r="J304">
        <v>2660764878</v>
      </c>
      <c r="K304">
        <v>2462924372</v>
      </c>
      <c r="L304">
        <v>1698594533</v>
      </c>
      <c r="M304">
        <v>1723085354</v>
      </c>
      <c r="N304">
        <v>1626567221</v>
      </c>
      <c r="O304">
        <v>1528439509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145274815</v>
      </c>
      <c r="G305">
        <v>91891051</v>
      </c>
      <c r="H305">
        <v>226604164</v>
      </c>
      <c r="I305">
        <v>213477951</v>
      </c>
      <c r="J305">
        <v>148262121</v>
      </c>
      <c r="K305">
        <v>68817040</v>
      </c>
      <c r="L305">
        <v>206700806</v>
      </c>
      <c r="M305">
        <v>139384764</v>
      </c>
      <c r="N305">
        <v>105617499</v>
      </c>
      <c r="O305">
        <v>59691873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3006108688</v>
      </c>
      <c r="G306">
        <v>3160134780</v>
      </c>
      <c r="H306">
        <v>3882485580</v>
      </c>
      <c r="I306">
        <v>3178855756</v>
      </c>
      <c r="J306">
        <v>1872331359</v>
      </c>
      <c r="K306">
        <v>1422632663</v>
      </c>
      <c r="L306">
        <v>2320091691</v>
      </c>
      <c r="M306">
        <v>2020725212</v>
      </c>
      <c r="N306">
        <v>910506149</v>
      </c>
      <c r="O306">
        <v>448400420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46778369</v>
      </c>
      <c r="G307">
        <v>60563374</v>
      </c>
      <c r="H307">
        <v>60139623</v>
      </c>
      <c r="I307">
        <v>53280621</v>
      </c>
      <c r="J307">
        <v>30850595</v>
      </c>
      <c r="K307">
        <v>33953725</v>
      </c>
      <c r="L307">
        <v>39776420</v>
      </c>
      <c r="M307">
        <v>64701280</v>
      </c>
      <c r="N307">
        <v>79393876</v>
      </c>
      <c r="O307">
        <v>116380343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-22477534</v>
      </c>
      <c r="G308">
        <v>74291683</v>
      </c>
      <c r="H308">
        <v>-109657350</v>
      </c>
      <c r="I308">
        <v>-123934595</v>
      </c>
      <c r="J308">
        <v>124169080</v>
      </c>
      <c r="K308">
        <v>-176336366</v>
      </c>
      <c r="L308">
        <v>-135487748</v>
      </c>
      <c r="M308">
        <v>-174100118</v>
      </c>
      <c r="N308">
        <v>-137540192</v>
      </c>
      <c r="O308">
        <v>-219311984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2349561</v>
      </c>
      <c r="G309">
        <v>-26789401</v>
      </c>
      <c r="H309">
        <v>-20279108</v>
      </c>
      <c r="I309">
        <v>4149378</v>
      </c>
      <c r="J309">
        <v>-11182541</v>
      </c>
      <c r="K309">
        <v>2786360</v>
      </c>
      <c r="L309">
        <v>-54313253</v>
      </c>
      <c r="M309">
        <v>-12767522</v>
      </c>
      <c r="N309">
        <v>-27459431</v>
      </c>
      <c r="O309">
        <v>-17623303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106871862</v>
      </c>
      <c r="G310">
        <v>104170577</v>
      </c>
      <c r="H310">
        <v>78205487</v>
      </c>
      <c r="I310">
        <v>54802996</v>
      </c>
      <c r="J310">
        <v>75076557</v>
      </c>
      <c r="K310">
        <v>65640893</v>
      </c>
      <c r="L310">
        <v>51622960</v>
      </c>
      <c r="M310">
        <v>46304087</v>
      </c>
      <c r="N310">
        <v>44798314</v>
      </c>
      <c r="O310">
        <v>67498908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10456110</v>
      </c>
      <c r="G311">
        <v>28158981</v>
      </c>
      <c r="H311">
        <v>-2202329</v>
      </c>
      <c r="I311">
        <v>-16802586</v>
      </c>
      <c r="J311">
        <v>46498065</v>
      </c>
      <c r="K311">
        <v>-51762743</v>
      </c>
      <c r="L311">
        <v>20741029</v>
      </c>
      <c r="M311">
        <v>-47724676</v>
      </c>
      <c r="N311">
        <v>6319897</v>
      </c>
      <c r="O311">
        <v>6541484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52113864</v>
      </c>
      <c r="G312">
        <v>12610390</v>
      </c>
      <c r="H312">
        <v>-18353779</v>
      </c>
      <c r="I312">
        <v>-43944117</v>
      </c>
      <c r="J312">
        <v>19579024</v>
      </c>
      <c r="K312">
        <v>-116555766</v>
      </c>
      <c r="L312">
        <v>28234940</v>
      </c>
      <c r="M312">
        <v>-35219654</v>
      </c>
      <c r="N312">
        <v>7385384</v>
      </c>
      <c r="O312">
        <v>-30082880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61613209</v>
      </c>
      <c r="G313">
        <v>19103275</v>
      </c>
      <c r="H313">
        <v>55460410</v>
      </c>
      <c r="I313">
        <v>78144954</v>
      </c>
      <c r="J313">
        <v>55624839</v>
      </c>
      <c r="K313">
        <v>37955126</v>
      </c>
      <c r="L313">
        <v>27995631</v>
      </c>
      <c r="M313">
        <v>26818729</v>
      </c>
      <c r="N313">
        <v>42372798</v>
      </c>
      <c r="O313">
        <v>23824798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-159287919</v>
      </c>
      <c r="G314">
        <v>116995419</v>
      </c>
      <c r="H314">
        <v>62387776</v>
      </c>
      <c r="I314">
        <v>68811510</v>
      </c>
      <c r="J314">
        <v>71950970</v>
      </c>
      <c r="K314">
        <v>-148346817</v>
      </c>
      <c r="L314">
        <v>67247425</v>
      </c>
      <c r="M314">
        <v>113561283</v>
      </c>
      <c r="N314">
        <v>39914579</v>
      </c>
      <c r="O314">
        <v>42356353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4506785272</v>
      </c>
      <c r="G315">
        <v>1532497535</v>
      </c>
      <c r="H315">
        <v>2065256336</v>
      </c>
      <c r="I315">
        <v>2044980235</v>
      </c>
      <c r="J315">
        <v>1580662908</v>
      </c>
      <c r="K315">
        <v>988293615</v>
      </c>
      <c r="L315">
        <v>1229113890</v>
      </c>
      <c r="M315">
        <v>2324514690</v>
      </c>
      <c r="N315">
        <v>2469976434</v>
      </c>
      <c r="O315">
        <v>3791791118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249086546</v>
      </c>
      <c r="G316">
        <v>213744317</v>
      </c>
      <c r="H316">
        <v>154727537</v>
      </c>
      <c r="I316">
        <v>175201241</v>
      </c>
      <c r="J316">
        <v>172704043</v>
      </c>
      <c r="K316">
        <v>156493678</v>
      </c>
      <c r="L316">
        <v>122289219</v>
      </c>
      <c r="M316">
        <v>100672406</v>
      </c>
      <c r="N316">
        <v>83460833</v>
      </c>
      <c r="O316">
        <v>55684851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-18709005</v>
      </c>
      <c r="G317">
        <v>-18506071</v>
      </c>
      <c r="H317">
        <v>3122560</v>
      </c>
      <c r="I317">
        <v>2065871</v>
      </c>
      <c r="J317">
        <v>2720964</v>
      </c>
      <c r="K317">
        <v>1030886</v>
      </c>
      <c r="L317">
        <v>1864583</v>
      </c>
      <c r="M317">
        <v>300262</v>
      </c>
      <c r="N317">
        <v>479374</v>
      </c>
      <c r="O317">
        <v>15270546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374113222</v>
      </c>
      <c r="G318">
        <v>141329488</v>
      </c>
      <c r="H318">
        <v>46852973</v>
      </c>
      <c r="I318">
        <v>65265573</v>
      </c>
      <c r="J318">
        <v>299067539</v>
      </c>
      <c r="K318">
        <v>776031144</v>
      </c>
      <c r="L318">
        <v>299817984</v>
      </c>
      <c r="M318">
        <v>189734959</v>
      </c>
      <c r="N318">
        <v>209854583</v>
      </c>
      <c r="O318">
        <v>395523515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136562361</v>
      </c>
      <c r="G319">
        <v>-13786133</v>
      </c>
      <c r="H319">
        <v>58141238</v>
      </c>
      <c r="I319">
        <v>99754332</v>
      </c>
      <c r="J319">
        <v>74752833</v>
      </c>
      <c r="K319">
        <v>28240347</v>
      </c>
      <c r="L319">
        <v>-10309379</v>
      </c>
      <c r="M319">
        <v>6233453</v>
      </c>
      <c r="N319">
        <v>-19664571</v>
      </c>
      <c r="O319">
        <v>28974308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586050466</v>
      </c>
      <c r="G320">
        <v>479618975</v>
      </c>
      <c r="H320">
        <v>855419517</v>
      </c>
      <c r="I320">
        <v>293583267</v>
      </c>
      <c r="J320">
        <v>294231871</v>
      </c>
      <c r="K320">
        <v>196865886</v>
      </c>
      <c r="L320">
        <v>87294756</v>
      </c>
      <c r="M320">
        <v>138278661</v>
      </c>
      <c r="N320">
        <v>219471785</v>
      </c>
      <c r="O320">
        <v>260844650</v>
      </c>
      <c r="P320">
        <v>301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F321">
        <v>904267375</v>
      </c>
      <c r="G321">
        <v>752471017</v>
      </c>
      <c r="H321">
        <v>671948401</v>
      </c>
      <c r="I321">
        <v>296983754</v>
      </c>
      <c r="J321">
        <v>590529184</v>
      </c>
      <c r="K321">
        <v>1056561179</v>
      </c>
      <c r="L321">
        <v>3109941478</v>
      </c>
      <c r="M321">
        <v>890642464</v>
      </c>
      <c r="N321">
        <v>505390003</v>
      </c>
      <c r="O321">
        <v>202259027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430177811</v>
      </c>
      <c r="G322">
        <v>406392324</v>
      </c>
      <c r="H322">
        <v>47468703</v>
      </c>
      <c r="I322">
        <v>46655335</v>
      </c>
      <c r="J322">
        <v>38498671</v>
      </c>
      <c r="K322">
        <v>45324784</v>
      </c>
      <c r="L322">
        <v>24539906</v>
      </c>
      <c r="M322">
        <v>19676440</v>
      </c>
      <c r="N322">
        <v>24172705</v>
      </c>
      <c r="O322">
        <v>19333570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23385276</v>
      </c>
      <c r="G323">
        <v>41331531</v>
      </c>
      <c r="H323">
        <v>44160079</v>
      </c>
      <c r="I323">
        <v>33031692</v>
      </c>
      <c r="J323">
        <v>33392658</v>
      </c>
      <c r="K323">
        <v>30282390</v>
      </c>
      <c r="L323">
        <v>8238673</v>
      </c>
      <c r="M323">
        <v>-24784683</v>
      </c>
      <c r="N323">
        <v>1607861</v>
      </c>
      <c r="O323">
        <v>63387664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575145738</v>
      </c>
      <c r="G324">
        <v>414828916</v>
      </c>
      <c r="H324">
        <v>266339390</v>
      </c>
      <c r="I324">
        <v>247538710</v>
      </c>
      <c r="J324">
        <v>220743548</v>
      </c>
      <c r="K324">
        <v>221907856</v>
      </c>
      <c r="L324">
        <v>210879145</v>
      </c>
      <c r="M324">
        <v>373635493</v>
      </c>
      <c r="N324">
        <v>389009229</v>
      </c>
      <c r="O324">
        <v>292249349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1706780443</v>
      </c>
      <c r="G325">
        <v>1265700157</v>
      </c>
      <c r="H325">
        <v>1273458787</v>
      </c>
      <c r="I325">
        <v>1206786104</v>
      </c>
      <c r="J325">
        <v>1101503844</v>
      </c>
      <c r="K325">
        <v>988669957</v>
      </c>
      <c r="L325">
        <v>814515539</v>
      </c>
      <c r="M325">
        <v>657820486</v>
      </c>
      <c r="N325">
        <v>520907801</v>
      </c>
      <c r="O325">
        <v>437467966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-747111127</v>
      </c>
      <c r="G326">
        <v>-171539539</v>
      </c>
      <c r="H326">
        <v>10289207</v>
      </c>
      <c r="I326">
        <v>14836073</v>
      </c>
      <c r="J326">
        <v>21937231</v>
      </c>
      <c r="K326">
        <v>-211167262</v>
      </c>
      <c r="L326">
        <v>-370104388</v>
      </c>
      <c r="M326">
        <v>105248114</v>
      </c>
      <c r="N326">
        <v>201182274</v>
      </c>
      <c r="O326">
        <v>138510031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699212904</v>
      </c>
      <c r="G327">
        <v>1375425598</v>
      </c>
      <c r="H327">
        <v>2376450553</v>
      </c>
      <c r="I327">
        <v>1731585928</v>
      </c>
      <c r="J327">
        <v>913165192</v>
      </c>
      <c r="K327">
        <v>1205393534</v>
      </c>
      <c r="L327">
        <v>1553622933</v>
      </c>
      <c r="M327">
        <v>1199220253</v>
      </c>
      <c r="N327">
        <v>564727798</v>
      </c>
      <c r="O327">
        <v>393890181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3788305556</v>
      </c>
      <c r="G328">
        <v>1895364245</v>
      </c>
      <c r="H328">
        <v>3558975772</v>
      </c>
      <c r="I328">
        <v>3652096620</v>
      </c>
      <c r="J328">
        <v>2895998719</v>
      </c>
      <c r="K328">
        <v>2439656338</v>
      </c>
      <c r="L328">
        <v>2467109226</v>
      </c>
      <c r="M328">
        <v>2068216732</v>
      </c>
      <c r="N328">
        <v>2155589269</v>
      </c>
      <c r="O328">
        <v>1931505553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639955891</v>
      </c>
      <c r="G329">
        <v>444625134</v>
      </c>
      <c r="H329">
        <v>329978664</v>
      </c>
      <c r="I329">
        <v>39779687</v>
      </c>
      <c r="J329">
        <v>27288937</v>
      </c>
      <c r="K329">
        <v>14031535</v>
      </c>
      <c r="L329">
        <v>29172803</v>
      </c>
      <c r="M329">
        <v>50484319</v>
      </c>
      <c r="N329">
        <v>46614633</v>
      </c>
      <c r="O329">
        <v>48385051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32984263</v>
      </c>
      <c r="G330">
        <v>30611043</v>
      </c>
      <c r="H330">
        <v>35655519</v>
      </c>
      <c r="I330">
        <v>34077294</v>
      </c>
      <c r="J330">
        <v>34455121</v>
      </c>
      <c r="K330">
        <v>40746130</v>
      </c>
      <c r="L330">
        <v>24817295</v>
      </c>
      <c r="M330">
        <v>22393526</v>
      </c>
      <c r="N330">
        <v>10497157</v>
      </c>
      <c r="O330">
        <v>6439327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1008675185</v>
      </c>
      <c r="G331">
        <v>927470889</v>
      </c>
      <c r="H331">
        <v>778691143</v>
      </c>
      <c r="I331">
        <v>641375343</v>
      </c>
      <c r="J331">
        <v>2025503927</v>
      </c>
      <c r="K331">
        <v>373780658</v>
      </c>
      <c r="L331">
        <v>440414868</v>
      </c>
      <c r="M331">
        <v>303147546</v>
      </c>
      <c r="N331">
        <v>257816760</v>
      </c>
      <c r="O331">
        <v>186233659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-60000702</v>
      </c>
      <c r="G332">
        <v>-103262609</v>
      </c>
      <c r="H332">
        <v>-28403010</v>
      </c>
      <c r="I332">
        <v>64600333</v>
      </c>
      <c r="J332">
        <v>189055124</v>
      </c>
      <c r="K332">
        <v>88190985</v>
      </c>
      <c r="L332">
        <v>191155117</v>
      </c>
      <c r="M332">
        <v>154605767</v>
      </c>
      <c r="N332">
        <v>-1858158324</v>
      </c>
      <c r="O332">
        <v>-60070928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112559899</v>
      </c>
      <c r="G333">
        <v>328487121</v>
      </c>
      <c r="H333">
        <v>324750971</v>
      </c>
      <c r="I333">
        <v>291245352</v>
      </c>
      <c r="J333">
        <v>244539114</v>
      </c>
      <c r="K333">
        <v>143773816</v>
      </c>
      <c r="L333">
        <v>139594548</v>
      </c>
      <c r="M333">
        <v>827557989</v>
      </c>
      <c r="N333">
        <v>117106582</v>
      </c>
      <c r="O333">
        <v>112254938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3308919453</v>
      </c>
      <c r="G334">
        <v>4992173588</v>
      </c>
      <c r="H334">
        <v>5424819154</v>
      </c>
      <c r="I334">
        <v>5245783357</v>
      </c>
      <c r="J334">
        <v>2268833023</v>
      </c>
      <c r="K334">
        <v>1714639221</v>
      </c>
      <c r="L334">
        <v>832633252</v>
      </c>
      <c r="M334">
        <v>445252846</v>
      </c>
      <c r="N334">
        <v>716385648</v>
      </c>
      <c r="O334">
        <v>920858669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-1500186</v>
      </c>
      <c r="G335">
        <v>-4008495</v>
      </c>
      <c r="H335">
        <v>-8575088</v>
      </c>
      <c r="I335">
        <v>-7405304</v>
      </c>
      <c r="J335">
        <v>-4659970</v>
      </c>
      <c r="K335">
        <v>1756599</v>
      </c>
      <c r="L335">
        <v>-3210672</v>
      </c>
      <c r="M335">
        <v>10775017</v>
      </c>
      <c r="N335">
        <v>-12480116</v>
      </c>
      <c r="O335">
        <v>-7565797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101528182</v>
      </c>
      <c r="G336">
        <v>24897078</v>
      </c>
      <c r="H336">
        <v>68788982</v>
      </c>
      <c r="I336">
        <v>64325917</v>
      </c>
      <c r="J336">
        <v>80996112</v>
      </c>
      <c r="K336">
        <v>89742629</v>
      </c>
      <c r="L336">
        <v>145574736</v>
      </c>
      <c r="M336">
        <v>144684415</v>
      </c>
      <c r="N336">
        <v>134678972</v>
      </c>
      <c r="O336">
        <v>125859915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18084526</v>
      </c>
      <c r="G337">
        <v>53414176</v>
      </c>
      <c r="H337">
        <v>462670660</v>
      </c>
      <c r="I337">
        <v>290799367</v>
      </c>
      <c r="J337">
        <v>-58771802</v>
      </c>
      <c r="K337">
        <v>-472537</v>
      </c>
      <c r="L337">
        <v>-40245633</v>
      </c>
      <c r="M337">
        <v>49252022</v>
      </c>
      <c r="N337">
        <v>51657067</v>
      </c>
      <c r="O337">
        <v>8711487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693112928</v>
      </c>
      <c r="G338">
        <v>572779643</v>
      </c>
      <c r="H338">
        <v>557620540</v>
      </c>
      <c r="I338">
        <v>529837692</v>
      </c>
      <c r="J338">
        <v>470733531</v>
      </c>
      <c r="K338">
        <v>429545387</v>
      </c>
      <c r="L338">
        <v>389597336</v>
      </c>
      <c r="M338">
        <v>296303019</v>
      </c>
      <c r="N338">
        <v>335768920</v>
      </c>
      <c r="O338">
        <v>180276867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524707827</v>
      </c>
      <c r="G339">
        <v>260912593</v>
      </c>
      <c r="H339">
        <v>253072176</v>
      </c>
      <c r="I339">
        <v>259516111</v>
      </c>
      <c r="J339">
        <v>87282560</v>
      </c>
      <c r="K339">
        <v>8086136</v>
      </c>
      <c r="L339">
        <v>11326073</v>
      </c>
      <c r="M339">
        <v>188792284</v>
      </c>
      <c r="N339">
        <v>234339433</v>
      </c>
      <c r="O339">
        <v>11558976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3269709037</v>
      </c>
      <c r="G340">
        <v>3204598892</v>
      </c>
      <c r="H340">
        <v>2655446669</v>
      </c>
      <c r="I340">
        <v>1695796950</v>
      </c>
      <c r="J340">
        <v>2111276198</v>
      </c>
      <c r="K340">
        <v>97250422</v>
      </c>
      <c r="L340">
        <v>-48879371</v>
      </c>
      <c r="M340">
        <v>-7245214</v>
      </c>
      <c r="N340">
        <v>-16131154</v>
      </c>
      <c r="O340">
        <v>4268681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-48114152</v>
      </c>
      <c r="G341">
        <v>-58581131</v>
      </c>
      <c r="H341">
        <v>-20312348</v>
      </c>
      <c r="I341">
        <v>-77319060</v>
      </c>
      <c r="J341">
        <v>22644908</v>
      </c>
      <c r="K341">
        <v>39700581</v>
      </c>
      <c r="L341">
        <v>32526212</v>
      </c>
      <c r="M341">
        <v>26493879</v>
      </c>
      <c r="N341">
        <v>36169389</v>
      </c>
      <c r="O341">
        <v>23017649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831462928</v>
      </c>
      <c r="G342">
        <v>146860519</v>
      </c>
      <c r="H342">
        <v>257188688</v>
      </c>
      <c r="I342">
        <v>338153449</v>
      </c>
      <c r="J342">
        <v>398556386</v>
      </c>
      <c r="K342">
        <v>-66509968</v>
      </c>
      <c r="L342">
        <v>23264986</v>
      </c>
      <c r="M342">
        <v>28854240</v>
      </c>
      <c r="N342">
        <v>93321954</v>
      </c>
      <c r="O342">
        <v>-143493610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-214337744</v>
      </c>
      <c r="G343">
        <v>201321349</v>
      </c>
      <c r="H343">
        <v>386152777</v>
      </c>
      <c r="I343">
        <v>628601015</v>
      </c>
      <c r="J343">
        <v>1192034050</v>
      </c>
      <c r="K343">
        <v>87684516</v>
      </c>
      <c r="L343">
        <v>25715153</v>
      </c>
      <c r="M343">
        <v>15941920</v>
      </c>
      <c r="N343">
        <v>5641330</v>
      </c>
      <c r="O343">
        <v>21420594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800784445</v>
      </c>
      <c r="G344">
        <v>599513908</v>
      </c>
      <c r="H344">
        <v>896132604</v>
      </c>
      <c r="I344">
        <v>726397900</v>
      </c>
      <c r="J344">
        <v>644190600</v>
      </c>
      <c r="K344">
        <v>76751000</v>
      </c>
      <c r="L344">
        <v>14551416</v>
      </c>
      <c r="M344">
        <v>371847409</v>
      </c>
      <c r="N344">
        <v>357317023</v>
      </c>
      <c r="O344">
        <v>1187118563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-913270438</v>
      </c>
      <c r="G345">
        <v>1773907</v>
      </c>
      <c r="H345">
        <v>-49048086</v>
      </c>
      <c r="I345">
        <v>-434568414</v>
      </c>
      <c r="J345">
        <v>-307946690</v>
      </c>
      <c r="K345">
        <v>206900276</v>
      </c>
      <c r="L345">
        <v>102738188</v>
      </c>
      <c r="M345">
        <v>288112483</v>
      </c>
      <c r="N345">
        <v>186260609</v>
      </c>
      <c r="O345">
        <v>86402024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-30312114</v>
      </c>
      <c r="G346">
        <v>-224879545</v>
      </c>
      <c r="H346">
        <v>-85747697</v>
      </c>
      <c r="I346">
        <v>81463241</v>
      </c>
      <c r="J346">
        <v>-100616989</v>
      </c>
      <c r="K346">
        <v>-736199602</v>
      </c>
      <c r="L346">
        <v>20064609</v>
      </c>
      <c r="M346">
        <v>33238281</v>
      </c>
      <c r="N346">
        <v>157817946</v>
      </c>
      <c r="O346">
        <v>308089104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2047568013</v>
      </c>
      <c r="G347">
        <v>1290212713</v>
      </c>
      <c r="H347">
        <v>2616402497</v>
      </c>
      <c r="I347">
        <v>2628239492</v>
      </c>
      <c r="J347">
        <v>2512635019</v>
      </c>
      <c r="K347">
        <v>2414423926</v>
      </c>
      <c r="L347">
        <v>2289572801</v>
      </c>
      <c r="M347">
        <v>1612982115</v>
      </c>
      <c r="N347">
        <v>120564041</v>
      </c>
      <c r="O347">
        <v>115030658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685135278</v>
      </c>
      <c r="G348">
        <v>404483229</v>
      </c>
      <c r="H348">
        <v>173918368</v>
      </c>
      <c r="I348">
        <v>-126164506</v>
      </c>
      <c r="J348">
        <v>67465319</v>
      </c>
      <c r="K348">
        <v>132017451</v>
      </c>
      <c r="L348">
        <v>184207679</v>
      </c>
      <c r="M348">
        <v>22624845</v>
      </c>
      <c r="N348">
        <v>15859665</v>
      </c>
      <c r="O348">
        <v>14732289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76668469</v>
      </c>
      <c r="G349">
        <v>130072713</v>
      </c>
      <c r="H349">
        <v>144122192</v>
      </c>
      <c r="I349">
        <v>173489003</v>
      </c>
      <c r="J349">
        <v>567124817</v>
      </c>
      <c r="K349">
        <v>96618292</v>
      </c>
      <c r="L349">
        <v>48211129</v>
      </c>
      <c r="M349">
        <v>23171934</v>
      </c>
      <c r="N349">
        <v>21973140</v>
      </c>
      <c r="O349">
        <v>24012273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-1594663416</v>
      </c>
      <c r="I350">
        <v>-1048031178</v>
      </c>
      <c r="J350">
        <v>-883538226</v>
      </c>
      <c r="K350">
        <v>45285724.829999998</v>
      </c>
      <c r="L350">
        <v>50014043.859999999</v>
      </c>
      <c r="M350">
        <v>-41978033.18</v>
      </c>
      <c r="N350">
        <v>-220802755.62</v>
      </c>
      <c r="O350">
        <v>-198528323.25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540644620</v>
      </c>
      <c r="G351">
        <v>138808577</v>
      </c>
      <c r="H351">
        <v>152698806</v>
      </c>
      <c r="I351">
        <v>673042866</v>
      </c>
      <c r="J351">
        <v>413749890</v>
      </c>
      <c r="K351">
        <v>-1286135052</v>
      </c>
      <c r="L351">
        <v>-579921269</v>
      </c>
      <c r="M351">
        <v>126525135</v>
      </c>
      <c r="N351">
        <v>1121186883</v>
      </c>
      <c r="O351">
        <v>1068190947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-54880611</v>
      </c>
      <c r="G352">
        <v>21480075</v>
      </c>
      <c r="H352">
        <v>16117769</v>
      </c>
      <c r="I352">
        <v>-43023251</v>
      </c>
      <c r="J352">
        <v>-25080604</v>
      </c>
      <c r="K352">
        <v>23148399</v>
      </c>
      <c r="L352">
        <v>3501414</v>
      </c>
      <c r="M352">
        <v>31595038</v>
      </c>
      <c r="N352">
        <v>6095739</v>
      </c>
      <c r="O352">
        <v>-33205728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3192845375</v>
      </c>
      <c r="G353">
        <v>2548693460</v>
      </c>
      <c r="H353">
        <v>2146382977</v>
      </c>
      <c r="I353">
        <v>2315981588</v>
      </c>
      <c r="J353">
        <v>860665130</v>
      </c>
      <c r="K353">
        <v>767734807</v>
      </c>
      <c r="L353">
        <v>294759441</v>
      </c>
      <c r="M353">
        <v>653754036</v>
      </c>
      <c r="N353">
        <v>622929274</v>
      </c>
      <c r="O353">
        <v>478100308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452724811</v>
      </c>
      <c r="G354">
        <v>63070287</v>
      </c>
      <c r="H354">
        <v>153760130</v>
      </c>
      <c r="I354">
        <v>569493192</v>
      </c>
      <c r="J354">
        <v>9462331</v>
      </c>
      <c r="K354">
        <v>-442588406</v>
      </c>
      <c r="L354">
        <v>-341895805</v>
      </c>
      <c r="M354">
        <v>-314970151</v>
      </c>
      <c r="N354">
        <v>-99490881</v>
      </c>
      <c r="O354">
        <v>40659276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1522276295</v>
      </c>
      <c r="G355">
        <v>32301244</v>
      </c>
      <c r="H355">
        <v>527734757</v>
      </c>
      <c r="I355">
        <v>1543951952</v>
      </c>
      <c r="J355">
        <v>1463883999</v>
      </c>
      <c r="K355">
        <v>570239291</v>
      </c>
      <c r="L355">
        <v>331207216</v>
      </c>
      <c r="M355">
        <v>371784738</v>
      </c>
      <c r="N355">
        <v>333224234</v>
      </c>
      <c r="O355">
        <v>67444692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-69645414</v>
      </c>
      <c r="G356">
        <v>127520624</v>
      </c>
      <c r="H356">
        <v>271887140</v>
      </c>
      <c r="I356">
        <v>51191481</v>
      </c>
      <c r="J356">
        <v>189008088</v>
      </c>
      <c r="K356">
        <v>25200766</v>
      </c>
      <c r="L356">
        <v>44813957</v>
      </c>
      <c r="M356">
        <v>72604625</v>
      </c>
      <c r="N356">
        <v>59656905</v>
      </c>
      <c r="O356">
        <v>76171716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1209245880</v>
      </c>
      <c r="G357">
        <v>1109637508</v>
      </c>
      <c r="H357">
        <v>1022066773</v>
      </c>
      <c r="I357">
        <v>1358828356</v>
      </c>
      <c r="J357">
        <v>1236936210</v>
      </c>
      <c r="K357">
        <v>830800272</v>
      </c>
      <c r="L357">
        <v>381404654</v>
      </c>
      <c r="M357">
        <v>320983074</v>
      </c>
      <c r="N357">
        <v>617145901</v>
      </c>
      <c r="O357">
        <v>588565101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75841318</v>
      </c>
      <c r="G358">
        <v>91156053</v>
      </c>
      <c r="H358">
        <v>-897004943</v>
      </c>
      <c r="I358">
        <v>-429851460</v>
      </c>
      <c r="J358">
        <v>54252899</v>
      </c>
      <c r="K358">
        <v>97498911</v>
      </c>
      <c r="L358">
        <v>11009678</v>
      </c>
      <c r="M358">
        <v>33179271</v>
      </c>
      <c r="N358">
        <v>16599163</v>
      </c>
      <c r="O358">
        <v>5164321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194822241</v>
      </c>
      <c r="G359">
        <v>42354404</v>
      </c>
      <c r="H359">
        <v>121639326</v>
      </c>
      <c r="I359">
        <v>47827293</v>
      </c>
      <c r="J359">
        <v>218735205</v>
      </c>
      <c r="K359">
        <v>817517719</v>
      </c>
      <c r="L359">
        <v>649149440</v>
      </c>
      <c r="M359">
        <v>419564855</v>
      </c>
      <c r="N359">
        <v>744235475</v>
      </c>
      <c r="O359">
        <v>403747669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112864075</v>
      </c>
      <c r="G360">
        <v>120228169</v>
      </c>
      <c r="H360">
        <v>117669166</v>
      </c>
      <c r="I360">
        <v>104305955</v>
      </c>
      <c r="J360">
        <v>86326659</v>
      </c>
      <c r="K360">
        <v>74645256</v>
      </c>
      <c r="L360">
        <v>35808961</v>
      </c>
      <c r="M360">
        <v>13773777</v>
      </c>
      <c r="N360">
        <v>-32918627</v>
      </c>
      <c r="O360">
        <v>-22490703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631451828</v>
      </c>
      <c r="G361">
        <v>630835912</v>
      </c>
      <c r="H361">
        <v>574634300</v>
      </c>
      <c r="I361">
        <v>576991663</v>
      </c>
      <c r="J361">
        <v>445985607</v>
      </c>
      <c r="K361">
        <v>109919336</v>
      </c>
      <c r="L361">
        <v>140685717</v>
      </c>
      <c r="M361">
        <v>124804527</v>
      </c>
      <c r="N361">
        <v>88433422</v>
      </c>
      <c r="O361">
        <v>75738080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-5126605</v>
      </c>
      <c r="G362">
        <v>-1792133</v>
      </c>
      <c r="H362">
        <v>-5317156</v>
      </c>
      <c r="I362">
        <v>-4715421</v>
      </c>
      <c r="J362">
        <v>-2300625</v>
      </c>
      <c r="K362">
        <v>-987965</v>
      </c>
      <c r="L362">
        <v>102280</v>
      </c>
      <c r="M362">
        <v>529903</v>
      </c>
      <c r="N362">
        <v>15145491</v>
      </c>
      <c r="O362">
        <v>-2364840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433863379</v>
      </c>
      <c r="G363">
        <v>351003368</v>
      </c>
      <c r="H363">
        <v>359818876</v>
      </c>
      <c r="I363">
        <v>266244125</v>
      </c>
      <c r="J363">
        <v>280255227</v>
      </c>
      <c r="K363">
        <v>330418098</v>
      </c>
      <c r="L363">
        <v>311259762</v>
      </c>
      <c r="M363">
        <v>203165839</v>
      </c>
      <c r="N363">
        <v>163624521</v>
      </c>
      <c r="O363">
        <v>122201363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25304011</v>
      </c>
      <c r="G364">
        <v>-1595773</v>
      </c>
      <c r="H364">
        <v>-483410158</v>
      </c>
      <c r="I364">
        <v>-84129482</v>
      </c>
      <c r="J364">
        <v>-178997395</v>
      </c>
      <c r="K364">
        <v>-431683733</v>
      </c>
      <c r="L364">
        <v>-188218611</v>
      </c>
      <c r="M364">
        <v>-9296999</v>
      </c>
      <c r="N364">
        <v>-46644808</v>
      </c>
      <c r="O364">
        <v>44638919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269670138</v>
      </c>
      <c r="G365">
        <v>239176880</v>
      </c>
      <c r="H365">
        <v>231275231</v>
      </c>
      <c r="I365">
        <v>452109589</v>
      </c>
      <c r="J365">
        <v>2429406</v>
      </c>
      <c r="K365">
        <v>-185861357</v>
      </c>
      <c r="L365">
        <v>-289553712</v>
      </c>
      <c r="M365">
        <v>-213945092</v>
      </c>
      <c r="N365">
        <v>26509289</v>
      </c>
      <c r="O365">
        <v>93131402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5611872113</v>
      </c>
      <c r="G366">
        <v>1290557908</v>
      </c>
      <c r="H366">
        <v>1912377945</v>
      </c>
      <c r="I366">
        <v>2534570946</v>
      </c>
      <c r="J366">
        <v>847827167</v>
      </c>
      <c r="K366">
        <v>644673785</v>
      </c>
      <c r="L366">
        <v>768551277</v>
      </c>
      <c r="M366">
        <v>621546289</v>
      </c>
      <c r="N366">
        <v>324768266</v>
      </c>
      <c r="O366">
        <v>326996726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413712119</v>
      </c>
      <c r="G367">
        <v>135393572</v>
      </c>
      <c r="H367">
        <v>146872215</v>
      </c>
      <c r="I367">
        <v>129048094</v>
      </c>
      <c r="J367">
        <v>161654152</v>
      </c>
      <c r="K367">
        <v>33190946</v>
      </c>
      <c r="L367">
        <v>366084690</v>
      </c>
      <c r="M367">
        <v>191778973</v>
      </c>
      <c r="N367">
        <v>-42789200</v>
      </c>
      <c r="O367">
        <v>8847861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212013064</v>
      </c>
      <c r="G368">
        <v>-46467873</v>
      </c>
      <c r="H368">
        <v>205007297</v>
      </c>
      <c r="I368">
        <v>139036427</v>
      </c>
      <c r="J368">
        <v>123469893</v>
      </c>
      <c r="K368">
        <v>171158492</v>
      </c>
      <c r="L368">
        <v>38819059</v>
      </c>
      <c r="M368">
        <v>111485862</v>
      </c>
      <c r="N368">
        <v>-86581774</v>
      </c>
      <c r="O368">
        <v>53686565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-945752249</v>
      </c>
      <c r="K369">
        <v>-605327671.99000001</v>
      </c>
      <c r="L369">
        <v>-647465603.76999998</v>
      </c>
      <c r="M369">
        <v>-14322865.75</v>
      </c>
      <c r="N369">
        <v>-35268559.939999998</v>
      </c>
      <c r="O369">
        <v>-307352759.38999999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192823342</v>
      </c>
      <c r="G370">
        <v>102990054</v>
      </c>
      <c r="H370">
        <v>92597374</v>
      </c>
      <c r="I370">
        <v>87165844</v>
      </c>
      <c r="J370">
        <v>38613983</v>
      </c>
      <c r="K370">
        <v>61267828</v>
      </c>
      <c r="L370">
        <v>31390726</v>
      </c>
      <c r="M370">
        <v>91331911</v>
      </c>
      <c r="N370">
        <v>138518574</v>
      </c>
      <c r="O370">
        <v>46399748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85470836</v>
      </c>
      <c r="G371">
        <v>5553032</v>
      </c>
      <c r="H371">
        <v>4145348</v>
      </c>
      <c r="I371">
        <v>4027582</v>
      </c>
      <c r="J371">
        <v>4023812</v>
      </c>
      <c r="K371">
        <v>3819015</v>
      </c>
      <c r="L371">
        <v>3389213</v>
      </c>
      <c r="M371">
        <v>2801852</v>
      </c>
      <c r="N371">
        <v>3773129</v>
      </c>
      <c r="O371">
        <v>3137784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2011463031</v>
      </c>
      <c r="G372">
        <v>1328943439</v>
      </c>
      <c r="H372">
        <v>1109054290</v>
      </c>
      <c r="I372">
        <v>919946372</v>
      </c>
      <c r="J372">
        <v>674707080</v>
      </c>
      <c r="K372">
        <v>481056726</v>
      </c>
      <c r="L372">
        <v>373161759</v>
      </c>
      <c r="M372">
        <v>298772224</v>
      </c>
      <c r="N372">
        <v>355080594</v>
      </c>
      <c r="O372">
        <v>280623774</v>
      </c>
      <c r="P372">
        <v>64360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5944698401</v>
      </c>
      <c r="G373">
        <v>3332566063</v>
      </c>
      <c r="H373">
        <v>2243050065</v>
      </c>
      <c r="I373">
        <v>1659783941</v>
      </c>
      <c r="J373">
        <v>1528538910</v>
      </c>
      <c r="K373">
        <v>901614957</v>
      </c>
      <c r="L373">
        <v>349391432</v>
      </c>
      <c r="M373">
        <v>328701839</v>
      </c>
      <c r="N373">
        <v>290621253</v>
      </c>
      <c r="O373">
        <v>146368372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44534585</v>
      </c>
      <c r="G374">
        <v>9555401</v>
      </c>
      <c r="H374">
        <v>183907995</v>
      </c>
      <c r="I374">
        <v>184629982</v>
      </c>
      <c r="J374">
        <v>157034267</v>
      </c>
      <c r="K374">
        <v>118280725</v>
      </c>
      <c r="L374">
        <v>130807432</v>
      </c>
      <c r="M374">
        <v>129968179</v>
      </c>
      <c r="N374">
        <v>142950924</v>
      </c>
      <c r="O374">
        <v>141147923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24160617</v>
      </c>
      <c r="G375">
        <v>37033150</v>
      </c>
      <c r="H375">
        <v>26412809</v>
      </c>
      <c r="I375">
        <v>33619363</v>
      </c>
      <c r="J375">
        <v>26047523</v>
      </c>
      <c r="K375">
        <v>4989351</v>
      </c>
      <c r="L375">
        <v>14306387</v>
      </c>
      <c r="M375">
        <v>-23988920</v>
      </c>
      <c r="N375">
        <v>-5993499</v>
      </c>
      <c r="O375">
        <v>-17743767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220616691</v>
      </c>
      <c r="G376">
        <v>238406396</v>
      </c>
      <c r="H376">
        <v>92231542</v>
      </c>
      <c r="I376">
        <v>98669849</v>
      </c>
      <c r="J376">
        <v>29562477</v>
      </c>
      <c r="K376">
        <v>97157240</v>
      </c>
      <c r="L376">
        <v>134052304</v>
      </c>
      <c r="M376">
        <v>65892756</v>
      </c>
      <c r="N376">
        <v>53065951</v>
      </c>
      <c r="O376">
        <v>39588519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10452909</v>
      </c>
      <c r="G377">
        <v>19965449</v>
      </c>
      <c r="H377">
        <v>15050236</v>
      </c>
      <c r="I377">
        <v>28322415</v>
      </c>
      <c r="J377">
        <v>14014648</v>
      </c>
      <c r="K377">
        <v>11497529</v>
      </c>
      <c r="L377">
        <v>15855888</v>
      </c>
      <c r="M377">
        <v>21871251</v>
      </c>
      <c r="N377">
        <v>13913990</v>
      </c>
      <c r="O377">
        <v>11695160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691804630</v>
      </c>
      <c r="G378">
        <v>820731561</v>
      </c>
      <c r="H378">
        <v>608683209</v>
      </c>
      <c r="I378">
        <v>347897110</v>
      </c>
      <c r="J378">
        <v>287109128</v>
      </c>
      <c r="K378">
        <v>88470559</v>
      </c>
      <c r="L378">
        <v>21301430</v>
      </c>
      <c r="M378">
        <v>278160414</v>
      </c>
      <c r="N378">
        <v>205309207</v>
      </c>
      <c r="O378">
        <v>26060518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433999554</v>
      </c>
      <c r="G379">
        <v>281787241</v>
      </c>
      <c r="H379">
        <v>313818239</v>
      </c>
      <c r="I379">
        <v>210505859</v>
      </c>
      <c r="J379">
        <v>179599697</v>
      </c>
      <c r="K379">
        <v>129474707</v>
      </c>
      <c r="L379">
        <v>167659747</v>
      </c>
      <c r="M379">
        <v>52654374</v>
      </c>
      <c r="N379">
        <v>56591921</v>
      </c>
      <c r="O379">
        <v>48074354</v>
      </c>
      <c r="P379">
        <v>4514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28497185</v>
      </c>
      <c r="G380">
        <v>22115440</v>
      </c>
      <c r="H380">
        <v>18208022</v>
      </c>
      <c r="I380">
        <v>6912113</v>
      </c>
      <c r="J380">
        <v>10026744</v>
      </c>
      <c r="K380">
        <v>-4452505</v>
      </c>
      <c r="L380">
        <v>4274099</v>
      </c>
      <c r="M380">
        <v>3032747</v>
      </c>
      <c r="N380">
        <v>12825732</v>
      </c>
      <c r="O380">
        <v>13817722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471233328</v>
      </c>
      <c r="G381">
        <v>241584753</v>
      </c>
      <c r="H381">
        <v>170077953</v>
      </c>
      <c r="I381">
        <v>96815689</v>
      </c>
      <c r="J381">
        <v>-26868282</v>
      </c>
      <c r="K381">
        <v>-116130998</v>
      </c>
      <c r="L381">
        <v>-89948259</v>
      </c>
      <c r="M381">
        <v>1506620</v>
      </c>
      <c r="N381">
        <v>1178317</v>
      </c>
      <c r="O381">
        <v>1375919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151005443</v>
      </c>
      <c r="G382">
        <v>154444137</v>
      </c>
      <c r="H382">
        <v>12479301</v>
      </c>
      <c r="I382">
        <v>85697707</v>
      </c>
      <c r="J382">
        <v>50477229</v>
      </c>
      <c r="K382">
        <v>203933404</v>
      </c>
      <c r="L382">
        <v>225148893</v>
      </c>
      <c r="M382">
        <v>109915833</v>
      </c>
      <c r="N382">
        <v>104842372</v>
      </c>
      <c r="O382">
        <v>134360872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340948040</v>
      </c>
      <c r="G383">
        <v>289834401</v>
      </c>
      <c r="H383">
        <v>158288398</v>
      </c>
      <c r="I383">
        <v>120123983</v>
      </c>
      <c r="J383">
        <v>88606628</v>
      </c>
      <c r="K383">
        <v>56937441</v>
      </c>
      <c r="L383">
        <v>52995584</v>
      </c>
      <c r="M383">
        <v>61095925</v>
      </c>
      <c r="N383">
        <v>45614132</v>
      </c>
      <c r="O383">
        <v>34255825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727581414</v>
      </c>
      <c r="G384">
        <v>44273324</v>
      </c>
      <c r="H384">
        <v>50486296</v>
      </c>
      <c r="I384">
        <v>151383906</v>
      </c>
      <c r="J384">
        <v>135048492</v>
      </c>
      <c r="K384">
        <v>60637660</v>
      </c>
      <c r="L384">
        <v>84724486</v>
      </c>
      <c r="M384">
        <v>125896755</v>
      </c>
      <c r="N384">
        <v>78289636</v>
      </c>
      <c r="O384">
        <v>15510747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637620434</v>
      </c>
      <c r="G385">
        <v>520934126</v>
      </c>
      <c r="H385">
        <v>350642846</v>
      </c>
      <c r="I385">
        <v>238042415</v>
      </c>
      <c r="J385">
        <v>208455188</v>
      </c>
      <c r="K385">
        <v>228067767</v>
      </c>
      <c r="L385">
        <v>161563084</v>
      </c>
      <c r="M385">
        <v>113769656</v>
      </c>
      <c r="N385">
        <v>82893373</v>
      </c>
      <c r="O385">
        <v>89223758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-54503255</v>
      </c>
      <c r="G386">
        <v>-25369772</v>
      </c>
      <c r="H386">
        <v>-16236177</v>
      </c>
      <c r="I386">
        <v>-12426074</v>
      </c>
      <c r="J386">
        <v>5444149</v>
      </c>
      <c r="K386">
        <v>3930261</v>
      </c>
      <c r="L386">
        <v>-31326887</v>
      </c>
      <c r="M386">
        <v>3078282</v>
      </c>
      <c r="N386">
        <v>112275348</v>
      </c>
      <c r="O386">
        <v>-32575938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15195998</v>
      </c>
      <c r="G387">
        <v>-26847901</v>
      </c>
      <c r="H387">
        <v>-30519950</v>
      </c>
      <c r="I387">
        <v>-4510876</v>
      </c>
      <c r="J387">
        <v>58828149</v>
      </c>
      <c r="K387">
        <v>25074160</v>
      </c>
      <c r="L387">
        <v>20224640</v>
      </c>
      <c r="M387">
        <v>35375837</v>
      </c>
      <c r="N387">
        <v>56100026</v>
      </c>
      <c r="O387">
        <v>68274340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-6704583055</v>
      </c>
      <c r="G388">
        <v>2670520096</v>
      </c>
      <c r="H388">
        <v>2534716640</v>
      </c>
      <c r="I388">
        <v>1219600290</v>
      </c>
      <c r="J388">
        <v>547778128</v>
      </c>
      <c r="K388">
        <v>209227057</v>
      </c>
      <c r="L388">
        <v>-63419224</v>
      </c>
      <c r="M388">
        <v>13334442</v>
      </c>
      <c r="N388">
        <v>12899463</v>
      </c>
      <c r="O388">
        <v>11976615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57879245</v>
      </c>
      <c r="G389">
        <v>54450684</v>
      </c>
      <c r="H389">
        <v>53467080</v>
      </c>
      <c r="I389">
        <v>51590639</v>
      </c>
      <c r="J389">
        <v>44442987</v>
      </c>
      <c r="K389">
        <v>39288473</v>
      </c>
      <c r="L389">
        <v>34628287</v>
      </c>
      <c r="M389">
        <v>22069039</v>
      </c>
      <c r="N389">
        <v>70280412</v>
      </c>
      <c r="O389">
        <v>130634745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96717105</v>
      </c>
      <c r="G390">
        <v>84001578</v>
      </c>
      <c r="H390">
        <v>40759097</v>
      </c>
      <c r="I390">
        <v>46681498</v>
      </c>
      <c r="J390">
        <v>47431375</v>
      </c>
      <c r="K390">
        <v>39014030</v>
      </c>
      <c r="L390">
        <v>33388587</v>
      </c>
      <c r="M390">
        <v>21807476</v>
      </c>
      <c r="N390">
        <v>20498744</v>
      </c>
      <c r="O390">
        <v>31044747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10033553</v>
      </c>
      <c r="G391">
        <v>162576531</v>
      </c>
      <c r="H391">
        <v>191973863</v>
      </c>
      <c r="I391">
        <v>1869971</v>
      </c>
      <c r="J391">
        <v>-200545352</v>
      </c>
      <c r="K391">
        <v>181240186</v>
      </c>
      <c r="L391">
        <v>204453132</v>
      </c>
      <c r="M391">
        <v>306337576</v>
      </c>
      <c r="N391">
        <v>246956798</v>
      </c>
      <c r="O391">
        <v>227150571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240223363</v>
      </c>
      <c r="G392">
        <v>148581942</v>
      </c>
      <c r="H392">
        <v>13033158</v>
      </c>
      <c r="I392">
        <v>38725532</v>
      </c>
      <c r="J392">
        <v>17165584</v>
      </c>
      <c r="K392">
        <v>-62106884</v>
      </c>
      <c r="L392">
        <v>142331969</v>
      </c>
      <c r="M392">
        <v>-84768147</v>
      </c>
      <c r="N392">
        <v>11278574</v>
      </c>
      <c r="O392">
        <v>53179175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507920010</v>
      </c>
      <c r="G393">
        <v>422776074</v>
      </c>
      <c r="H393">
        <v>336889881</v>
      </c>
      <c r="I393">
        <v>326494706</v>
      </c>
      <c r="J393">
        <v>312917840</v>
      </c>
      <c r="K393">
        <v>70062816</v>
      </c>
      <c r="L393">
        <v>71892524</v>
      </c>
      <c r="M393">
        <v>71712451</v>
      </c>
      <c r="N393">
        <v>64972730</v>
      </c>
      <c r="O393">
        <v>76996669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-14166273</v>
      </c>
      <c r="G394">
        <v>-6119451</v>
      </c>
      <c r="H394">
        <v>-23811680</v>
      </c>
      <c r="I394">
        <v>-10891149</v>
      </c>
      <c r="J394">
        <v>2414323</v>
      </c>
      <c r="K394">
        <v>-4717614</v>
      </c>
      <c r="L394">
        <v>-13061288</v>
      </c>
      <c r="M394">
        <v>-11676479</v>
      </c>
      <c r="N394">
        <v>-17528873</v>
      </c>
      <c r="O394">
        <v>-3655196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359845761</v>
      </c>
      <c r="G395">
        <v>647039857</v>
      </c>
      <c r="H395">
        <v>301691836</v>
      </c>
      <c r="I395">
        <v>428132994</v>
      </c>
      <c r="J395">
        <v>534678094</v>
      </c>
      <c r="K395">
        <v>299132411</v>
      </c>
      <c r="L395">
        <v>117252031</v>
      </c>
      <c r="M395">
        <v>50649766</v>
      </c>
      <c r="N395">
        <v>12782630</v>
      </c>
      <c r="O395">
        <v>5732531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39846901</v>
      </c>
      <c r="G396">
        <v>-67851943</v>
      </c>
      <c r="H396">
        <v>-196580145</v>
      </c>
      <c r="I396">
        <v>3654081</v>
      </c>
      <c r="J396">
        <v>-72963028</v>
      </c>
      <c r="K396">
        <v>-119451441</v>
      </c>
      <c r="L396">
        <v>2722145</v>
      </c>
      <c r="M396">
        <v>-13815698</v>
      </c>
      <c r="N396">
        <v>8199742</v>
      </c>
      <c r="O396">
        <v>-21647615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189205313</v>
      </c>
      <c r="G397">
        <v>163782946</v>
      </c>
      <c r="H397">
        <v>160630518</v>
      </c>
      <c r="I397">
        <v>138461363</v>
      </c>
      <c r="J397">
        <v>97583647</v>
      </c>
      <c r="K397">
        <v>65860026</v>
      </c>
      <c r="L397">
        <v>51942479</v>
      </c>
      <c r="M397">
        <v>63741231</v>
      </c>
      <c r="N397">
        <v>73400296</v>
      </c>
      <c r="O397">
        <v>81843534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201494318</v>
      </c>
      <c r="G398">
        <v>15699698</v>
      </c>
      <c r="H398">
        <v>-89662607</v>
      </c>
      <c r="I398">
        <v>220150857</v>
      </c>
      <c r="J398">
        <v>290481615</v>
      </c>
      <c r="K398">
        <v>187571074</v>
      </c>
      <c r="L398">
        <v>125208954</v>
      </c>
      <c r="M398">
        <v>115196453</v>
      </c>
      <c r="N398">
        <v>84498857</v>
      </c>
      <c r="O398">
        <v>98579748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177100578</v>
      </c>
      <c r="G399">
        <v>55192264</v>
      </c>
      <c r="H399">
        <v>128569086</v>
      </c>
      <c r="I399">
        <v>151149690</v>
      </c>
      <c r="J399">
        <v>22238011</v>
      </c>
      <c r="K399">
        <v>130921382</v>
      </c>
      <c r="L399">
        <v>211500046</v>
      </c>
      <c r="M399">
        <v>238678562</v>
      </c>
      <c r="N399">
        <v>334144376</v>
      </c>
      <c r="O399">
        <v>137383865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517701667</v>
      </c>
      <c r="G400">
        <v>587662915</v>
      </c>
      <c r="H400">
        <v>705596348</v>
      </c>
      <c r="I400">
        <v>994645090</v>
      </c>
      <c r="J400">
        <v>807329751</v>
      </c>
      <c r="K400">
        <v>662185723</v>
      </c>
      <c r="L400">
        <v>146873953</v>
      </c>
      <c r="M400">
        <v>122699396</v>
      </c>
      <c r="N400">
        <v>97510755</v>
      </c>
      <c r="O400">
        <v>59525150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1041949067</v>
      </c>
      <c r="G401">
        <v>811412354</v>
      </c>
      <c r="H401">
        <v>982205911</v>
      </c>
      <c r="I401">
        <v>737243622</v>
      </c>
      <c r="J401">
        <v>495271583</v>
      </c>
      <c r="K401">
        <v>700692431</v>
      </c>
      <c r="L401">
        <v>688230733</v>
      </c>
      <c r="M401">
        <v>538203221</v>
      </c>
      <c r="N401">
        <v>6439991</v>
      </c>
      <c r="O401">
        <v>12703305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-1206074027</v>
      </c>
      <c r="H402">
        <v>-15858421708</v>
      </c>
      <c r="I402">
        <v>-823475080</v>
      </c>
      <c r="J402">
        <v>430418509</v>
      </c>
      <c r="K402">
        <v>1421453749</v>
      </c>
      <c r="L402">
        <v>1164859313</v>
      </c>
      <c r="M402">
        <v>3037063</v>
      </c>
      <c r="N402">
        <v>3050925</v>
      </c>
      <c r="O402">
        <v>-18606994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1015506327</v>
      </c>
      <c r="G403">
        <v>1023164649</v>
      </c>
      <c r="H403">
        <v>1069566720</v>
      </c>
      <c r="I403">
        <v>786015735</v>
      </c>
      <c r="J403">
        <v>406956499</v>
      </c>
      <c r="K403">
        <v>294463012</v>
      </c>
      <c r="L403">
        <v>319635321</v>
      </c>
      <c r="M403">
        <v>317126473</v>
      </c>
      <c r="N403">
        <v>266179079</v>
      </c>
      <c r="O403">
        <v>137256080</v>
      </c>
      <c r="P403">
        <v>1251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1315709726</v>
      </c>
      <c r="G404">
        <v>873869994</v>
      </c>
      <c r="H404">
        <v>1187264968</v>
      </c>
      <c r="I404">
        <v>2106947591</v>
      </c>
      <c r="J404">
        <v>1670878675</v>
      </c>
      <c r="K404">
        <v>1047721274</v>
      </c>
      <c r="L404">
        <v>402371584</v>
      </c>
      <c r="M404">
        <v>249264560</v>
      </c>
      <c r="N404">
        <v>190948283</v>
      </c>
      <c r="O404">
        <v>268591229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53324553</v>
      </c>
      <c r="G405">
        <v>97074313</v>
      </c>
      <c r="H405">
        <v>113937797</v>
      </c>
      <c r="I405">
        <v>113167720</v>
      </c>
      <c r="J405">
        <v>93424145</v>
      </c>
      <c r="K405">
        <v>50330578</v>
      </c>
      <c r="L405">
        <v>71413501</v>
      </c>
      <c r="M405">
        <v>58785228</v>
      </c>
      <c r="N405">
        <v>52877709</v>
      </c>
      <c r="O405">
        <v>67751683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1386859634</v>
      </c>
      <c r="G406">
        <v>1036968275</v>
      </c>
      <c r="H406">
        <v>130452986</v>
      </c>
      <c r="I406">
        <v>191778615</v>
      </c>
      <c r="J406">
        <v>304126189</v>
      </c>
      <c r="K406">
        <v>408514020</v>
      </c>
      <c r="L406">
        <v>82165123</v>
      </c>
      <c r="M406">
        <v>393069593</v>
      </c>
      <c r="N406">
        <v>688443531</v>
      </c>
      <c r="O406">
        <v>1177729864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89566642</v>
      </c>
      <c r="G407">
        <v>66728302</v>
      </c>
      <c r="H407">
        <v>354956023</v>
      </c>
      <c r="I407">
        <v>298025328</v>
      </c>
      <c r="J407">
        <v>238066033</v>
      </c>
      <c r="K407">
        <v>48594346</v>
      </c>
      <c r="L407">
        <v>44587101</v>
      </c>
      <c r="M407">
        <v>53005477</v>
      </c>
      <c r="N407">
        <v>47458585</v>
      </c>
      <c r="O407">
        <v>63955136</v>
      </c>
      <c r="P407">
        <v>143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604693724</v>
      </c>
      <c r="G408">
        <v>568909951</v>
      </c>
      <c r="H408">
        <v>626998068</v>
      </c>
      <c r="I408">
        <v>557576289</v>
      </c>
      <c r="J408">
        <v>364556212</v>
      </c>
      <c r="K408">
        <v>204083923</v>
      </c>
      <c r="L408">
        <v>151351190</v>
      </c>
      <c r="M408">
        <v>156372689</v>
      </c>
      <c r="N408">
        <v>139059743</v>
      </c>
      <c r="O408">
        <v>384260122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73577703</v>
      </c>
      <c r="G409">
        <v>16716554</v>
      </c>
      <c r="H409">
        <v>31523312</v>
      </c>
      <c r="I409">
        <v>47362972</v>
      </c>
      <c r="J409">
        <v>16666266</v>
      </c>
      <c r="K409">
        <v>14368437</v>
      </c>
      <c r="L409">
        <v>5794795</v>
      </c>
      <c r="M409">
        <v>3191147</v>
      </c>
      <c r="N409">
        <v>7082948</v>
      </c>
      <c r="O409">
        <v>1430301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-87316827</v>
      </c>
      <c r="G410">
        <v>23817974</v>
      </c>
      <c r="H410">
        <v>46867924</v>
      </c>
      <c r="I410">
        <v>39831517</v>
      </c>
      <c r="J410">
        <v>19919901</v>
      </c>
      <c r="K410">
        <v>5571941</v>
      </c>
      <c r="L410">
        <v>50388476</v>
      </c>
      <c r="M410">
        <v>57142356</v>
      </c>
      <c r="N410">
        <v>71827201</v>
      </c>
      <c r="O410">
        <v>89525934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559913445</v>
      </c>
      <c r="G411">
        <v>488542947</v>
      </c>
      <c r="H411">
        <v>308701287</v>
      </c>
      <c r="I411">
        <v>146855899</v>
      </c>
      <c r="J411">
        <v>62749992</v>
      </c>
      <c r="K411">
        <v>136202043</v>
      </c>
      <c r="L411">
        <v>242085369</v>
      </c>
      <c r="M411">
        <v>212666235</v>
      </c>
      <c r="N411">
        <v>162170046</v>
      </c>
      <c r="O411">
        <v>160167902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1108855331</v>
      </c>
      <c r="G412">
        <v>683069282</v>
      </c>
      <c r="H412">
        <v>824016641</v>
      </c>
      <c r="I412">
        <v>836593285</v>
      </c>
      <c r="J412">
        <v>858803617</v>
      </c>
      <c r="K412">
        <v>71216480</v>
      </c>
      <c r="L412">
        <v>66308127</v>
      </c>
      <c r="M412">
        <v>152903575</v>
      </c>
      <c r="N412">
        <v>428004708</v>
      </c>
      <c r="O412">
        <v>210178550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283897807</v>
      </c>
      <c r="G413">
        <v>277398856</v>
      </c>
      <c r="H413">
        <v>619449158</v>
      </c>
      <c r="I413">
        <v>631158343</v>
      </c>
      <c r="J413">
        <v>596821992</v>
      </c>
      <c r="K413">
        <v>530962555</v>
      </c>
      <c r="L413">
        <v>443744434</v>
      </c>
      <c r="M413">
        <v>364759307</v>
      </c>
      <c r="N413">
        <v>390680996</v>
      </c>
      <c r="O413">
        <v>382032221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758821190</v>
      </c>
      <c r="G414">
        <v>154034593</v>
      </c>
      <c r="H414">
        <v>248122308</v>
      </c>
      <c r="I414">
        <v>315996745</v>
      </c>
      <c r="J414">
        <v>404559000</v>
      </c>
      <c r="K414">
        <v>359267545</v>
      </c>
      <c r="L414">
        <v>604810085</v>
      </c>
      <c r="M414">
        <v>398068127</v>
      </c>
      <c r="N414">
        <v>291821741</v>
      </c>
      <c r="O414">
        <v>209678708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2414685110</v>
      </c>
      <c r="G415">
        <v>128014663</v>
      </c>
      <c r="H415">
        <v>553981331</v>
      </c>
      <c r="I415">
        <v>772807106</v>
      </c>
      <c r="J415">
        <v>385163438</v>
      </c>
      <c r="K415">
        <v>225040811</v>
      </c>
      <c r="L415">
        <v>421324906</v>
      </c>
      <c r="M415">
        <v>782294542</v>
      </c>
      <c r="N415">
        <v>577687217</v>
      </c>
      <c r="O415">
        <v>320577408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41141962</v>
      </c>
      <c r="G416">
        <v>16476058</v>
      </c>
      <c r="H416">
        <v>-89641573</v>
      </c>
      <c r="I416">
        <v>-65624538</v>
      </c>
      <c r="J416">
        <v>-1380920</v>
      </c>
      <c r="K416">
        <v>-6984601</v>
      </c>
      <c r="L416">
        <v>20641537</v>
      </c>
      <c r="M416">
        <v>46890948</v>
      </c>
      <c r="N416">
        <v>48503545</v>
      </c>
      <c r="O416">
        <v>45624599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868042259</v>
      </c>
      <c r="G417">
        <v>578083503</v>
      </c>
      <c r="H417">
        <v>527501077</v>
      </c>
      <c r="I417">
        <v>433153502</v>
      </c>
      <c r="J417">
        <v>431701828</v>
      </c>
      <c r="K417">
        <v>175243406</v>
      </c>
      <c r="L417">
        <v>190430300</v>
      </c>
      <c r="M417">
        <v>184423222</v>
      </c>
      <c r="N417">
        <v>171953945</v>
      </c>
      <c r="O417">
        <v>162759335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138906587</v>
      </c>
      <c r="G418">
        <v>218950365</v>
      </c>
      <c r="H418">
        <v>-35862137</v>
      </c>
      <c r="I418">
        <v>36038688</v>
      </c>
      <c r="J418">
        <v>112443259</v>
      </c>
      <c r="K418">
        <v>125301268</v>
      </c>
      <c r="L418">
        <v>16527526</v>
      </c>
      <c r="M418">
        <v>1822165</v>
      </c>
      <c r="N418">
        <v>14949518</v>
      </c>
      <c r="O418">
        <v>30491477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40946325</v>
      </c>
      <c r="G419">
        <v>26431597</v>
      </c>
      <c r="H419">
        <v>42173719</v>
      </c>
      <c r="I419">
        <v>47914604</v>
      </c>
      <c r="J419">
        <v>52677595</v>
      </c>
      <c r="K419">
        <v>44157182</v>
      </c>
      <c r="L419">
        <v>48349680</v>
      </c>
      <c r="M419">
        <v>50054762</v>
      </c>
      <c r="N419">
        <v>79390237</v>
      </c>
      <c r="O419">
        <v>27045860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-7203188</v>
      </c>
      <c r="G420">
        <v>10556080</v>
      </c>
      <c r="H420">
        <v>-3745524</v>
      </c>
      <c r="I420">
        <v>-4276498</v>
      </c>
      <c r="J420">
        <v>-147876</v>
      </c>
      <c r="K420">
        <v>-4640345</v>
      </c>
      <c r="L420">
        <v>-4292637</v>
      </c>
      <c r="M420">
        <v>-7134979</v>
      </c>
      <c r="N420">
        <v>913071</v>
      </c>
      <c r="O420">
        <v>1012952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2141472322</v>
      </c>
      <c r="G421">
        <v>1497077206</v>
      </c>
      <c r="H421">
        <v>1277264313</v>
      </c>
      <c r="I421">
        <v>2314730240</v>
      </c>
      <c r="J421">
        <v>1539519414</v>
      </c>
      <c r="K421">
        <v>462923777</v>
      </c>
      <c r="L421">
        <v>160030665</v>
      </c>
      <c r="M421">
        <v>442085718</v>
      </c>
      <c r="N421">
        <v>482062382</v>
      </c>
      <c r="O421">
        <v>317175092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623697271</v>
      </c>
      <c r="G422">
        <v>602453909</v>
      </c>
      <c r="H422">
        <v>668134684</v>
      </c>
      <c r="I422">
        <v>756466996</v>
      </c>
      <c r="J422">
        <v>621840784</v>
      </c>
      <c r="K422">
        <v>298194645</v>
      </c>
      <c r="L422">
        <v>16446078</v>
      </c>
      <c r="M422">
        <v>71273679</v>
      </c>
      <c r="N422">
        <v>207813996</v>
      </c>
      <c r="O422">
        <v>736537839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119950216</v>
      </c>
      <c r="G423">
        <v>26816733</v>
      </c>
      <c r="H423">
        <v>-218979720</v>
      </c>
      <c r="I423">
        <v>64669847</v>
      </c>
      <c r="J423">
        <v>287224469</v>
      </c>
      <c r="K423">
        <v>273549104</v>
      </c>
      <c r="L423">
        <v>296713258</v>
      </c>
      <c r="M423">
        <v>276537968</v>
      </c>
      <c r="N423">
        <v>244084094</v>
      </c>
      <c r="O423">
        <v>202492304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644012644</v>
      </c>
      <c r="G424">
        <v>711982478</v>
      </c>
      <c r="H424">
        <v>640518277</v>
      </c>
      <c r="I424">
        <v>113848682</v>
      </c>
      <c r="J424">
        <v>218455798</v>
      </c>
      <c r="K424">
        <v>264965449</v>
      </c>
      <c r="L424">
        <v>157058136</v>
      </c>
      <c r="M424">
        <v>199621836</v>
      </c>
      <c r="N424">
        <v>400193624</v>
      </c>
      <c r="O424">
        <v>310681989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1301608096</v>
      </c>
      <c r="G425">
        <v>1004776636</v>
      </c>
      <c r="H425">
        <v>1071317615</v>
      </c>
      <c r="I425">
        <v>950487970</v>
      </c>
      <c r="J425">
        <v>835759749</v>
      </c>
      <c r="K425">
        <v>435241666</v>
      </c>
      <c r="L425">
        <v>391326379</v>
      </c>
      <c r="M425">
        <v>374845372</v>
      </c>
      <c r="N425">
        <v>321236628</v>
      </c>
      <c r="O425">
        <v>273390067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785086044</v>
      </c>
      <c r="G426">
        <v>483860453</v>
      </c>
      <c r="H426">
        <v>526781404</v>
      </c>
      <c r="I426">
        <v>12350763</v>
      </c>
      <c r="J426">
        <v>138204113</v>
      </c>
      <c r="K426">
        <v>60127870</v>
      </c>
      <c r="L426">
        <v>17875205</v>
      </c>
      <c r="M426">
        <v>27751058</v>
      </c>
      <c r="N426">
        <v>148007896</v>
      </c>
      <c r="O426">
        <v>23803343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85963004</v>
      </c>
      <c r="G427">
        <v>79469709</v>
      </c>
      <c r="H427">
        <v>61811922</v>
      </c>
      <c r="I427">
        <v>56611507</v>
      </c>
      <c r="J427">
        <v>50196829</v>
      </c>
      <c r="K427">
        <v>45708470</v>
      </c>
      <c r="L427">
        <v>37798773</v>
      </c>
      <c r="M427">
        <v>34192783</v>
      </c>
      <c r="N427">
        <v>28228986</v>
      </c>
      <c r="O427">
        <v>20078999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362665098</v>
      </c>
      <c r="G428">
        <v>813607252</v>
      </c>
      <c r="H428">
        <v>554462276</v>
      </c>
      <c r="I428">
        <v>1223138710</v>
      </c>
      <c r="J428">
        <v>1500291394</v>
      </c>
      <c r="K428">
        <v>655403411</v>
      </c>
      <c r="L428">
        <v>39911810</v>
      </c>
      <c r="M428">
        <v>13127477</v>
      </c>
      <c r="N428">
        <v>12225747</v>
      </c>
      <c r="O428">
        <v>-33288351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873414964</v>
      </c>
      <c r="G429">
        <v>400408073</v>
      </c>
      <c r="H429">
        <v>1933339628</v>
      </c>
      <c r="I429">
        <v>4524761062</v>
      </c>
      <c r="J429">
        <v>2019117320</v>
      </c>
      <c r="K429">
        <v>78751984</v>
      </c>
      <c r="L429">
        <v>14925988</v>
      </c>
      <c r="M429">
        <v>339214680</v>
      </c>
      <c r="N429">
        <v>250472070</v>
      </c>
      <c r="O429">
        <v>379419228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981243837</v>
      </c>
      <c r="G430">
        <v>955881709</v>
      </c>
      <c r="H430">
        <v>21806493</v>
      </c>
      <c r="I430">
        <v>-150117793</v>
      </c>
      <c r="J430">
        <v>81111130</v>
      </c>
      <c r="K430">
        <v>274186323</v>
      </c>
      <c r="L430">
        <v>91423252</v>
      </c>
      <c r="M430">
        <v>137708453</v>
      </c>
      <c r="N430">
        <v>86708468</v>
      </c>
      <c r="O430">
        <v>65847371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-1024589866</v>
      </c>
      <c r="G431">
        <v>-2371533844</v>
      </c>
      <c r="H431">
        <v>33173949</v>
      </c>
      <c r="I431">
        <v>3847295826</v>
      </c>
      <c r="J431">
        <v>3150976426</v>
      </c>
      <c r="K431">
        <v>2591738268</v>
      </c>
      <c r="L431">
        <v>2107492834</v>
      </c>
      <c r="M431">
        <v>1498194657</v>
      </c>
      <c r="N431">
        <v>1386938121</v>
      </c>
      <c r="O431">
        <v>1006374927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37266174160</v>
      </c>
      <c r="G432">
        <v>33827103961</v>
      </c>
      <c r="H432">
        <v>30454855385</v>
      </c>
      <c r="I432">
        <v>24733552720</v>
      </c>
      <c r="J432">
        <v>19983846984</v>
      </c>
      <c r="K432">
        <v>12465577764</v>
      </c>
      <c r="L432">
        <v>11424637744</v>
      </c>
      <c r="M432">
        <v>10693329221</v>
      </c>
      <c r="N432">
        <v>11070194524</v>
      </c>
      <c r="O432">
        <v>10420059217</v>
      </c>
      <c r="P432">
        <v>71977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-3255217</v>
      </c>
      <c r="G433">
        <v>-12570404</v>
      </c>
      <c r="H433">
        <v>-33604864</v>
      </c>
      <c r="I433">
        <v>-9629282</v>
      </c>
      <c r="J433">
        <v>-2697634</v>
      </c>
      <c r="K433">
        <v>-3710693</v>
      </c>
      <c r="L433">
        <v>-19422433</v>
      </c>
      <c r="M433">
        <v>-12130389</v>
      </c>
      <c r="N433">
        <v>10480546</v>
      </c>
      <c r="O433">
        <v>-4213206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589618543</v>
      </c>
      <c r="G434">
        <v>840534067</v>
      </c>
      <c r="H434">
        <v>511789280</v>
      </c>
      <c r="I434">
        <v>255379877</v>
      </c>
      <c r="J434">
        <v>485289872</v>
      </c>
      <c r="K434">
        <v>385322856</v>
      </c>
      <c r="L434">
        <v>335433909</v>
      </c>
      <c r="M434">
        <v>202399911</v>
      </c>
      <c r="N434">
        <v>284537346</v>
      </c>
      <c r="O434">
        <v>221384101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487726389</v>
      </c>
      <c r="G435">
        <v>1583144378</v>
      </c>
      <c r="H435">
        <v>1428262224</v>
      </c>
      <c r="I435">
        <v>1633618319</v>
      </c>
      <c r="J435">
        <v>1438808896</v>
      </c>
      <c r="K435">
        <v>1144988046</v>
      </c>
      <c r="L435">
        <v>548809101</v>
      </c>
      <c r="M435">
        <v>486335036</v>
      </c>
      <c r="N435">
        <v>398845606</v>
      </c>
      <c r="O435">
        <v>290901923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128963573</v>
      </c>
      <c r="G436">
        <v>101415418</v>
      </c>
      <c r="H436">
        <v>67871298</v>
      </c>
      <c r="I436">
        <v>97428933</v>
      </c>
      <c r="J436">
        <v>114326467</v>
      </c>
      <c r="K436">
        <v>102816796</v>
      </c>
      <c r="L436">
        <v>96123006</v>
      </c>
      <c r="M436">
        <v>73633286</v>
      </c>
      <c r="N436">
        <v>74553754</v>
      </c>
      <c r="O436">
        <v>82515360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-25401329</v>
      </c>
      <c r="G437">
        <v>188300348</v>
      </c>
      <c r="H437">
        <v>-512738224</v>
      </c>
      <c r="I437">
        <v>1278376735</v>
      </c>
      <c r="J437">
        <v>627838880</v>
      </c>
      <c r="K437">
        <v>453153913</v>
      </c>
      <c r="L437">
        <v>331397226</v>
      </c>
      <c r="M437">
        <v>253722231</v>
      </c>
      <c r="N437">
        <v>208713873</v>
      </c>
      <c r="O437">
        <v>141389239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36892885</v>
      </c>
      <c r="G438">
        <v>12398227</v>
      </c>
      <c r="H438">
        <v>37521015</v>
      </c>
      <c r="I438">
        <v>14760830</v>
      </c>
      <c r="J438">
        <v>42354790</v>
      </c>
      <c r="K438">
        <v>52312462</v>
      </c>
      <c r="L438">
        <v>63941342</v>
      </c>
      <c r="M438">
        <v>46826168</v>
      </c>
      <c r="N438">
        <v>24933762</v>
      </c>
      <c r="O438">
        <v>12062409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69145226</v>
      </c>
      <c r="G439">
        <v>206718240</v>
      </c>
      <c r="H439">
        <v>49521818</v>
      </c>
      <c r="I439">
        <v>53128253</v>
      </c>
      <c r="J439">
        <v>34668393</v>
      </c>
      <c r="K439">
        <v>11322974</v>
      </c>
      <c r="L439">
        <v>8283965</v>
      </c>
      <c r="M439">
        <v>92044051</v>
      </c>
      <c r="N439">
        <v>171363010</v>
      </c>
      <c r="O439">
        <v>131097642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1471583845</v>
      </c>
      <c r="G440">
        <v>1403412404</v>
      </c>
      <c r="H440">
        <v>1266963520</v>
      </c>
      <c r="I440">
        <v>1080121530</v>
      </c>
      <c r="J440">
        <v>900259229</v>
      </c>
      <c r="K440">
        <v>114982719</v>
      </c>
      <c r="L440">
        <v>157710469</v>
      </c>
      <c r="M440">
        <v>298093358</v>
      </c>
      <c r="N440">
        <v>259418535</v>
      </c>
      <c r="O440">
        <v>375306320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469683872</v>
      </c>
      <c r="G441">
        <v>414350152</v>
      </c>
      <c r="H441">
        <v>341150752</v>
      </c>
      <c r="I441">
        <v>262405360</v>
      </c>
      <c r="J441">
        <v>199570403</v>
      </c>
      <c r="K441">
        <v>129915897</v>
      </c>
      <c r="L441">
        <v>113344265</v>
      </c>
      <c r="M441">
        <v>97060883</v>
      </c>
      <c r="N441">
        <v>102162237</v>
      </c>
      <c r="O441">
        <v>95957190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23753832</v>
      </c>
      <c r="G442">
        <v>54561007</v>
      </c>
      <c r="H442">
        <v>93005043</v>
      </c>
      <c r="I442">
        <v>82923862</v>
      </c>
      <c r="J442">
        <v>94228645</v>
      </c>
      <c r="K442">
        <v>135703825</v>
      </c>
      <c r="L442">
        <v>78591455</v>
      </c>
      <c r="M442">
        <v>34596373</v>
      </c>
      <c r="N442">
        <v>41159331</v>
      </c>
      <c r="O442">
        <v>95372779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295812267</v>
      </c>
      <c r="G443">
        <v>242757812</v>
      </c>
      <c r="H443">
        <v>79434862</v>
      </c>
      <c r="I443">
        <v>31295535</v>
      </c>
      <c r="J443">
        <v>157242263</v>
      </c>
      <c r="K443">
        <v>60616595</v>
      </c>
      <c r="L443">
        <v>-41644390</v>
      </c>
      <c r="M443">
        <v>20850597</v>
      </c>
      <c r="N443">
        <v>-355762616</v>
      </c>
      <c r="O443">
        <v>37551858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-17089546</v>
      </c>
      <c r="G444">
        <v>5718521</v>
      </c>
      <c r="H444">
        <v>-155305896</v>
      </c>
      <c r="I444">
        <v>-46667924</v>
      </c>
      <c r="J444">
        <v>-47356991</v>
      </c>
      <c r="K444">
        <v>-70647553</v>
      </c>
      <c r="L444">
        <v>7171578</v>
      </c>
      <c r="M444">
        <v>117005229</v>
      </c>
      <c r="N444">
        <v>112092640</v>
      </c>
      <c r="O444">
        <v>18216223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353073290</v>
      </c>
      <c r="G445">
        <v>283007196</v>
      </c>
      <c r="H445">
        <v>493798295</v>
      </c>
      <c r="I445">
        <v>112125810</v>
      </c>
      <c r="J445">
        <v>75220985</v>
      </c>
      <c r="K445">
        <v>46648949</v>
      </c>
      <c r="L445">
        <v>153786853</v>
      </c>
      <c r="M445">
        <v>77410953</v>
      </c>
      <c r="N445">
        <v>111466704</v>
      </c>
      <c r="O445">
        <v>265034593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1481011056</v>
      </c>
      <c r="G446">
        <v>1099919086</v>
      </c>
      <c r="H446">
        <v>1132040956</v>
      </c>
      <c r="I446">
        <v>1369017521</v>
      </c>
      <c r="J446">
        <v>1138535923</v>
      </c>
      <c r="K446">
        <v>1003107879</v>
      </c>
      <c r="L446">
        <v>1218649016</v>
      </c>
      <c r="M446">
        <v>1140188414</v>
      </c>
      <c r="N446">
        <v>903325711</v>
      </c>
      <c r="O446">
        <v>625471837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-457262850</v>
      </c>
      <c r="G447">
        <v>-549790623</v>
      </c>
      <c r="H447">
        <v>-245436443</v>
      </c>
      <c r="I447">
        <v>-239642576</v>
      </c>
      <c r="J447">
        <v>-206830753</v>
      </c>
      <c r="K447">
        <v>-140951233</v>
      </c>
      <c r="L447">
        <v>-135735435</v>
      </c>
      <c r="M447">
        <v>-104457688</v>
      </c>
      <c r="N447">
        <v>5677626</v>
      </c>
      <c r="O447">
        <v>2945468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-199206400</v>
      </c>
      <c r="G448">
        <v>5259356</v>
      </c>
      <c r="H448">
        <v>-39876909</v>
      </c>
      <c r="I448">
        <v>65269511</v>
      </c>
      <c r="J448">
        <v>59777327</v>
      </c>
      <c r="K448">
        <v>386062186</v>
      </c>
      <c r="L448">
        <v>147858262</v>
      </c>
      <c r="M448">
        <v>155219525</v>
      </c>
      <c r="N448">
        <v>54876610</v>
      </c>
      <c r="O448">
        <v>-426927455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7804271</v>
      </c>
      <c r="G449">
        <v>-5301691</v>
      </c>
      <c r="H449">
        <v>-6132891</v>
      </c>
      <c r="I449">
        <v>-5793972</v>
      </c>
      <c r="J449">
        <v>-9857775</v>
      </c>
      <c r="K449">
        <v>-19836503</v>
      </c>
      <c r="L449">
        <v>-3911243</v>
      </c>
      <c r="M449">
        <v>-20665022</v>
      </c>
      <c r="N449">
        <v>-12407958</v>
      </c>
      <c r="O449">
        <v>-31261896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10798999</v>
      </c>
      <c r="G450">
        <v>4929190</v>
      </c>
      <c r="H450">
        <v>6979888</v>
      </c>
      <c r="I450">
        <v>8815929</v>
      </c>
      <c r="J450">
        <v>3907607</v>
      </c>
      <c r="K450">
        <v>-38352835</v>
      </c>
      <c r="L450">
        <v>19006090</v>
      </c>
      <c r="M450">
        <v>-12785274</v>
      </c>
      <c r="N450">
        <v>-37361961</v>
      </c>
      <c r="O450">
        <v>10325745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5884409</v>
      </c>
      <c r="G451">
        <v>1856988</v>
      </c>
      <c r="H451">
        <v>-18631169</v>
      </c>
      <c r="I451">
        <v>1995344</v>
      </c>
      <c r="J451">
        <v>7825938</v>
      </c>
      <c r="K451">
        <v>-5731524</v>
      </c>
      <c r="L451">
        <v>-21063500</v>
      </c>
      <c r="M451">
        <v>3017297</v>
      </c>
      <c r="N451">
        <v>2067740</v>
      </c>
      <c r="O451">
        <v>-81665530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-27551222</v>
      </c>
      <c r="G452">
        <v>-6847231</v>
      </c>
      <c r="H452">
        <v>14704573</v>
      </c>
      <c r="I452">
        <v>20461020</v>
      </c>
      <c r="J452">
        <v>24631367</v>
      </c>
      <c r="K452">
        <v>21636747</v>
      </c>
      <c r="L452">
        <v>23715460</v>
      </c>
      <c r="M452">
        <v>24129921</v>
      </c>
      <c r="N452">
        <v>26388172</v>
      </c>
      <c r="O452">
        <v>36865062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-272316000</v>
      </c>
      <c r="G453">
        <v>-133626000</v>
      </c>
      <c r="H453">
        <v>367118000</v>
      </c>
      <c r="I453">
        <v>536342000</v>
      </c>
      <c r="J453">
        <v>454997000</v>
      </c>
      <c r="K453">
        <v>-222444557</v>
      </c>
      <c r="L453">
        <v>-57302275</v>
      </c>
      <c r="M453">
        <v>57939495</v>
      </c>
      <c r="N453">
        <v>118277487</v>
      </c>
      <c r="O453">
        <v>67019832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1754450200</v>
      </c>
      <c r="G454">
        <v>645149190</v>
      </c>
      <c r="H454">
        <v>797700430</v>
      </c>
      <c r="I454">
        <v>506032935</v>
      </c>
      <c r="J454">
        <v>184754173</v>
      </c>
      <c r="K454">
        <v>-498482998</v>
      </c>
      <c r="L454">
        <v>-88719319</v>
      </c>
      <c r="M454">
        <v>71598343</v>
      </c>
      <c r="N454">
        <v>336649186</v>
      </c>
      <c r="O454">
        <v>664524256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-1254301558</v>
      </c>
      <c r="G455">
        <v>1843187527</v>
      </c>
      <c r="H455">
        <v>947058713</v>
      </c>
      <c r="I455">
        <v>770142926</v>
      </c>
      <c r="J455">
        <v>894704927</v>
      </c>
      <c r="K455">
        <v>732861120</v>
      </c>
      <c r="L455">
        <v>276429726</v>
      </c>
      <c r="M455">
        <v>591428311</v>
      </c>
      <c r="N455">
        <v>1132414428</v>
      </c>
      <c r="O455">
        <v>1835672950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1927695807</v>
      </c>
      <c r="G456">
        <v>629879181</v>
      </c>
      <c r="H456">
        <v>2150981254</v>
      </c>
      <c r="I456">
        <v>1520749771</v>
      </c>
      <c r="J456">
        <v>1210950232</v>
      </c>
      <c r="K456">
        <v>946755267</v>
      </c>
      <c r="L456">
        <v>852922811</v>
      </c>
      <c r="M456">
        <v>2004974183</v>
      </c>
      <c r="N456">
        <v>635186872</v>
      </c>
      <c r="O456">
        <v>578566473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995376307</v>
      </c>
      <c r="G457">
        <v>368916382</v>
      </c>
      <c r="H457">
        <v>108828279</v>
      </c>
      <c r="I457">
        <v>449969394</v>
      </c>
      <c r="J457">
        <v>587550974</v>
      </c>
      <c r="K457">
        <v>153065906</v>
      </c>
      <c r="L457">
        <v>-66257881</v>
      </c>
      <c r="M457">
        <v>212100510</v>
      </c>
      <c r="N457">
        <v>195153511</v>
      </c>
      <c r="O457">
        <v>435965733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14005297</v>
      </c>
      <c r="G458">
        <v>20428328</v>
      </c>
      <c r="H458">
        <v>-71420427</v>
      </c>
      <c r="I458">
        <v>-197810202</v>
      </c>
      <c r="J458">
        <v>57704736</v>
      </c>
      <c r="K458">
        <v>10984339</v>
      </c>
      <c r="L458">
        <v>226036102</v>
      </c>
      <c r="M458">
        <v>292563462</v>
      </c>
      <c r="N458">
        <v>-2201539715</v>
      </c>
      <c r="O458">
        <v>-711785693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287992724</v>
      </c>
      <c r="G459">
        <v>163558365</v>
      </c>
      <c r="H459">
        <v>223218553</v>
      </c>
      <c r="I459">
        <v>238485020</v>
      </c>
      <c r="J459">
        <v>229373042</v>
      </c>
      <c r="K459">
        <v>303607708</v>
      </c>
      <c r="L459">
        <v>287858068</v>
      </c>
      <c r="M459">
        <v>284266498</v>
      </c>
      <c r="N459">
        <v>255106802</v>
      </c>
      <c r="O459">
        <v>233317501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143795944</v>
      </c>
      <c r="G460">
        <v>77965179</v>
      </c>
      <c r="H460">
        <v>76550455</v>
      </c>
      <c r="I460">
        <v>72766622</v>
      </c>
      <c r="J460">
        <v>90428117</v>
      </c>
      <c r="K460">
        <v>63158486</v>
      </c>
      <c r="L460">
        <v>54334643</v>
      </c>
      <c r="M460">
        <v>77018486</v>
      </c>
      <c r="N460">
        <v>86994174</v>
      </c>
      <c r="O460">
        <v>106110044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-51314112</v>
      </c>
      <c r="G461">
        <v>37042059</v>
      </c>
      <c r="H461">
        <v>-49509962</v>
      </c>
      <c r="I461">
        <v>-3769659</v>
      </c>
      <c r="J461">
        <v>-176450697</v>
      </c>
      <c r="K461">
        <v>-22980770</v>
      </c>
      <c r="L461">
        <v>13534996</v>
      </c>
      <c r="M461">
        <v>12295459</v>
      </c>
      <c r="N461">
        <v>-45070419</v>
      </c>
      <c r="O461">
        <v>2864239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255020001</v>
      </c>
      <c r="G462">
        <v>247228664</v>
      </c>
      <c r="H462">
        <v>-84948103</v>
      </c>
      <c r="I462">
        <v>-13571135</v>
      </c>
      <c r="J462">
        <v>-9700287</v>
      </c>
      <c r="K462">
        <v>-18092713</v>
      </c>
      <c r="L462">
        <v>1061493</v>
      </c>
      <c r="M462">
        <v>264323</v>
      </c>
      <c r="N462">
        <v>-1332362</v>
      </c>
      <c r="O462">
        <v>-893279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207125906</v>
      </c>
      <c r="G463">
        <v>187884804</v>
      </c>
      <c r="H463">
        <v>373494819</v>
      </c>
      <c r="I463">
        <v>317593936</v>
      </c>
      <c r="J463">
        <v>300996123</v>
      </c>
      <c r="K463">
        <v>292992018</v>
      </c>
      <c r="L463">
        <v>288286593</v>
      </c>
      <c r="M463">
        <v>249984681</v>
      </c>
      <c r="N463">
        <v>223147143</v>
      </c>
      <c r="O463">
        <v>184420739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75080935</v>
      </c>
      <c r="G464">
        <v>52402950</v>
      </c>
      <c r="H464">
        <v>36083492</v>
      </c>
      <c r="I464">
        <v>64938872</v>
      </c>
      <c r="J464">
        <v>33460882</v>
      </c>
      <c r="K464">
        <v>38724938</v>
      </c>
      <c r="L464">
        <v>39688803</v>
      </c>
      <c r="M464">
        <v>33663574</v>
      </c>
      <c r="N464">
        <v>23744622</v>
      </c>
      <c r="O464">
        <v>17293542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249447109</v>
      </c>
      <c r="G465">
        <v>233028743</v>
      </c>
      <c r="H465">
        <v>271350523</v>
      </c>
      <c r="I465">
        <v>244106465</v>
      </c>
      <c r="J465">
        <v>116676226</v>
      </c>
      <c r="K465">
        <v>83071471</v>
      </c>
      <c r="L465">
        <v>57290341</v>
      </c>
      <c r="M465">
        <v>45490070</v>
      </c>
      <c r="N465">
        <v>57351603</v>
      </c>
      <c r="O465">
        <v>81835360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34901873</v>
      </c>
      <c r="G466">
        <v>32400051</v>
      </c>
      <c r="H466">
        <v>25232065</v>
      </c>
      <c r="I466">
        <v>17243600</v>
      </c>
      <c r="J466">
        <v>16501501</v>
      </c>
      <c r="K466">
        <v>14688017</v>
      </c>
      <c r="L466">
        <v>19273079</v>
      </c>
      <c r="M466">
        <v>30051660</v>
      </c>
      <c r="N466">
        <v>54002556</v>
      </c>
      <c r="O466">
        <v>59222865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13285679</v>
      </c>
      <c r="G467">
        <v>-202645305</v>
      </c>
      <c r="H467">
        <v>5272861</v>
      </c>
      <c r="I467">
        <v>17490475</v>
      </c>
      <c r="J467">
        <v>10732430</v>
      </c>
      <c r="K467">
        <v>32586</v>
      </c>
      <c r="L467">
        <v>49691337</v>
      </c>
      <c r="M467">
        <v>86316220</v>
      </c>
      <c r="N467">
        <v>110588811</v>
      </c>
      <c r="O467">
        <v>86124697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260998255</v>
      </c>
      <c r="G468">
        <v>254699855</v>
      </c>
      <c r="H468">
        <v>25625565</v>
      </c>
      <c r="I468">
        <v>30170791</v>
      </c>
      <c r="J468">
        <v>129225123</v>
      </c>
      <c r="K468">
        <v>133197561</v>
      </c>
      <c r="L468">
        <v>106239375</v>
      </c>
      <c r="M468">
        <v>89323306</v>
      </c>
      <c r="N468">
        <v>42634255</v>
      </c>
      <c r="O468">
        <v>3955103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551413241</v>
      </c>
      <c r="G469">
        <v>367322842</v>
      </c>
      <c r="H469">
        <v>304349622</v>
      </c>
      <c r="I469">
        <v>324891424</v>
      </c>
      <c r="J469">
        <v>296590129</v>
      </c>
      <c r="K469">
        <v>273895472</v>
      </c>
      <c r="L469">
        <v>237880044</v>
      </c>
      <c r="M469">
        <v>227524281</v>
      </c>
      <c r="N469">
        <v>196009487</v>
      </c>
      <c r="O469">
        <v>179875974</v>
      </c>
      <c r="P469">
        <v>21655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193560432</v>
      </c>
      <c r="G470">
        <v>328165865</v>
      </c>
      <c r="H470">
        <v>569030252</v>
      </c>
      <c r="I470">
        <v>375850480</v>
      </c>
      <c r="J470">
        <v>513534476</v>
      </c>
      <c r="K470">
        <v>128859411</v>
      </c>
      <c r="L470">
        <v>241000482</v>
      </c>
      <c r="M470">
        <v>156463293</v>
      </c>
      <c r="N470">
        <v>205894812</v>
      </c>
      <c r="O470">
        <v>35481574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1271971748</v>
      </c>
      <c r="G471">
        <v>959544959</v>
      </c>
      <c r="H471">
        <v>1305562344</v>
      </c>
      <c r="I471">
        <v>1308768013</v>
      </c>
      <c r="J471">
        <v>907316557</v>
      </c>
      <c r="K471">
        <v>676173671</v>
      </c>
      <c r="L471">
        <v>499001964</v>
      </c>
      <c r="M471">
        <v>378713302</v>
      </c>
      <c r="N471">
        <v>458870</v>
      </c>
      <c r="O471">
        <v>4583166</v>
      </c>
      <c r="P471">
        <v>13800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1306805348</v>
      </c>
      <c r="G472">
        <v>983170638</v>
      </c>
      <c r="H472">
        <v>1324647437</v>
      </c>
      <c r="I472">
        <v>2317115430</v>
      </c>
      <c r="J472">
        <v>1430813643</v>
      </c>
      <c r="K472">
        <v>207019108</v>
      </c>
      <c r="L472">
        <v>206194096</v>
      </c>
      <c r="M472">
        <v>172969314</v>
      </c>
      <c r="N472">
        <v>172512009</v>
      </c>
      <c r="O472">
        <v>10720489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-63494314</v>
      </c>
      <c r="G473">
        <v>-46060095</v>
      </c>
      <c r="H473">
        <v>-28427602</v>
      </c>
      <c r="I473">
        <v>25855560</v>
      </c>
      <c r="J473">
        <v>251304665</v>
      </c>
      <c r="K473">
        <v>167719093</v>
      </c>
      <c r="L473">
        <v>64867769</v>
      </c>
      <c r="M473">
        <v>3775194</v>
      </c>
      <c r="N473">
        <v>50920813</v>
      </c>
      <c r="O473">
        <v>58515966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1030329696</v>
      </c>
      <c r="G474">
        <v>18223533</v>
      </c>
      <c r="H474">
        <v>378087913</v>
      </c>
      <c r="I474">
        <v>1572710909</v>
      </c>
      <c r="J474">
        <v>976666398</v>
      </c>
      <c r="K474">
        <v>140396398</v>
      </c>
      <c r="L474">
        <v>-1275243561</v>
      </c>
      <c r="M474">
        <v>53128323</v>
      </c>
      <c r="N474">
        <v>-372628548</v>
      </c>
      <c r="O474">
        <v>-2460256799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683835025</v>
      </c>
      <c r="G475">
        <v>425314402</v>
      </c>
      <c r="H475">
        <v>803691631</v>
      </c>
      <c r="I475">
        <v>360630870</v>
      </c>
      <c r="J475">
        <v>289848787</v>
      </c>
      <c r="K475">
        <v>205354559</v>
      </c>
      <c r="L475">
        <v>160297248</v>
      </c>
      <c r="M475">
        <v>133815979</v>
      </c>
      <c r="N475">
        <v>131467828</v>
      </c>
      <c r="O475">
        <v>86254681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262733280</v>
      </c>
      <c r="G476">
        <v>50250426</v>
      </c>
      <c r="H476">
        <v>10100444</v>
      </c>
      <c r="I476">
        <v>9285448</v>
      </c>
      <c r="J476">
        <v>27918133</v>
      </c>
      <c r="K476">
        <v>85859765</v>
      </c>
      <c r="L476">
        <v>67256276</v>
      </c>
      <c r="M476">
        <v>65797810</v>
      </c>
      <c r="N476">
        <v>48196281</v>
      </c>
      <c r="O476">
        <v>35630253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214693058</v>
      </c>
      <c r="G477">
        <v>543822244</v>
      </c>
      <c r="H477">
        <v>474399177</v>
      </c>
      <c r="I477">
        <v>766643650</v>
      </c>
      <c r="J477">
        <v>607138648</v>
      </c>
      <c r="K477">
        <v>450212212</v>
      </c>
      <c r="L477">
        <v>615287097</v>
      </c>
      <c r="M477">
        <v>397226014</v>
      </c>
      <c r="N477">
        <v>305115603</v>
      </c>
      <c r="O477">
        <v>177860260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40575884</v>
      </c>
      <c r="G478">
        <v>37898736</v>
      </c>
      <c r="H478">
        <v>27614025</v>
      </c>
      <c r="I478">
        <v>24595875</v>
      </c>
      <c r="J478">
        <v>8121700</v>
      </c>
      <c r="K478">
        <v>656840</v>
      </c>
      <c r="L478">
        <v>37767252</v>
      </c>
      <c r="M478">
        <v>41150070</v>
      </c>
      <c r="N478">
        <v>21200966</v>
      </c>
      <c r="O478">
        <v>-33080233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376653690</v>
      </c>
      <c r="G479">
        <v>461588143</v>
      </c>
      <c r="H479">
        <v>548727559</v>
      </c>
      <c r="I479">
        <v>333444160</v>
      </c>
      <c r="J479">
        <v>307055368</v>
      </c>
      <c r="K479">
        <v>399677858</v>
      </c>
      <c r="L479">
        <v>183766046</v>
      </c>
      <c r="M479">
        <v>-2749775762</v>
      </c>
      <c r="N479">
        <v>234111902</v>
      </c>
      <c r="O479">
        <v>306575715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14001270</v>
      </c>
      <c r="G480">
        <v>3772549</v>
      </c>
      <c r="H480">
        <v>56486775</v>
      </c>
      <c r="I480">
        <v>71811887</v>
      </c>
      <c r="J480">
        <v>77324300</v>
      </c>
      <c r="K480">
        <v>69540484</v>
      </c>
      <c r="L480">
        <v>11598107</v>
      </c>
      <c r="M480">
        <v>-11894650</v>
      </c>
      <c r="N480">
        <v>-10257601</v>
      </c>
      <c r="O480">
        <v>-34145881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420892248</v>
      </c>
      <c r="G481">
        <v>301140943</v>
      </c>
      <c r="H481">
        <v>307932821</v>
      </c>
      <c r="I481">
        <v>375628254</v>
      </c>
      <c r="J481">
        <v>261699645</v>
      </c>
      <c r="K481">
        <v>171972644</v>
      </c>
      <c r="L481">
        <v>121067325</v>
      </c>
      <c r="M481">
        <v>121060781</v>
      </c>
      <c r="N481">
        <v>111034797</v>
      </c>
      <c r="O481">
        <v>110784690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-1607905448</v>
      </c>
      <c r="G482">
        <v>1279149946</v>
      </c>
      <c r="H482">
        <v>1106764741</v>
      </c>
      <c r="I482">
        <v>597055160</v>
      </c>
      <c r="J482">
        <v>223794279</v>
      </c>
      <c r="K482">
        <v>1114166174</v>
      </c>
      <c r="L482">
        <v>1927954199</v>
      </c>
      <c r="M482">
        <v>2144248207</v>
      </c>
      <c r="N482">
        <v>1770192069</v>
      </c>
      <c r="O482">
        <v>425813260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-222378430</v>
      </c>
      <c r="G483">
        <v>-198300247</v>
      </c>
      <c r="H483">
        <v>-90707007</v>
      </c>
      <c r="I483">
        <v>12315696</v>
      </c>
      <c r="J483">
        <v>-13050238</v>
      </c>
      <c r="K483">
        <v>2375253</v>
      </c>
      <c r="L483">
        <v>16922549</v>
      </c>
      <c r="M483">
        <v>15453414</v>
      </c>
      <c r="N483">
        <v>-98072062</v>
      </c>
      <c r="O483">
        <v>-301801744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669217976</v>
      </c>
      <c r="G484">
        <v>622266041</v>
      </c>
      <c r="H484">
        <v>810690595</v>
      </c>
      <c r="I484">
        <v>445577807</v>
      </c>
      <c r="J484">
        <v>684325363</v>
      </c>
      <c r="K484">
        <v>150577573</v>
      </c>
      <c r="L484">
        <v>255742860</v>
      </c>
      <c r="M484">
        <v>230995925</v>
      </c>
      <c r="N484">
        <v>181880575</v>
      </c>
      <c r="O484">
        <v>46881979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2228899041</v>
      </c>
      <c r="G485">
        <v>302533826</v>
      </c>
      <c r="H485">
        <v>240242275</v>
      </c>
      <c r="I485">
        <v>577487796</v>
      </c>
      <c r="J485">
        <v>865263878</v>
      </c>
      <c r="K485">
        <v>-551839196</v>
      </c>
      <c r="L485">
        <v>-1729137512</v>
      </c>
      <c r="M485">
        <v>-1240816249</v>
      </c>
      <c r="N485">
        <v>108993441</v>
      </c>
      <c r="O485">
        <v>69540054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1144530824</v>
      </c>
      <c r="G486">
        <v>864865481</v>
      </c>
      <c r="H486">
        <v>806611985</v>
      </c>
      <c r="I486">
        <v>678594856</v>
      </c>
      <c r="J486">
        <v>458826450</v>
      </c>
      <c r="K486">
        <v>364636805</v>
      </c>
      <c r="L486">
        <v>691943151</v>
      </c>
      <c r="M486">
        <v>567306853</v>
      </c>
      <c r="N486">
        <v>516584935</v>
      </c>
      <c r="O486">
        <v>808538296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549102000</v>
      </c>
      <c r="G487">
        <v>79606800</v>
      </c>
      <c r="H487">
        <v>-635154829</v>
      </c>
      <c r="I487">
        <v>-139634452</v>
      </c>
      <c r="J487">
        <v>302126537</v>
      </c>
      <c r="K487">
        <v>1117860458</v>
      </c>
      <c r="L487">
        <v>1985960283</v>
      </c>
      <c r="M487">
        <v>2592553357</v>
      </c>
      <c r="N487">
        <v>1329335717</v>
      </c>
      <c r="O487">
        <v>460856218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2115583528</v>
      </c>
      <c r="G488">
        <v>764194860</v>
      </c>
      <c r="H488">
        <v>-181878381</v>
      </c>
      <c r="I488">
        <v>17473068</v>
      </c>
      <c r="J488">
        <v>165184805</v>
      </c>
      <c r="K488">
        <v>59713632</v>
      </c>
      <c r="L488">
        <v>153795495</v>
      </c>
      <c r="M488">
        <v>126897836</v>
      </c>
      <c r="N488">
        <v>10582149</v>
      </c>
      <c r="O488">
        <v>10402124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22390267530</v>
      </c>
      <c r="G489">
        <v>24719025756</v>
      </c>
      <c r="H489">
        <v>23815647804</v>
      </c>
      <c r="I489">
        <v>20716125528</v>
      </c>
      <c r="J489">
        <v>9808653716</v>
      </c>
      <c r="K489">
        <v>5968420630</v>
      </c>
      <c r="L489">
        <v>6102720352</v>
      </c>
      <c r="M489">
        <v>8172848295</v>
      </c>
      <c r="N489">
        <v>5384056104</v>
      </c>
      <c r="O489">
        <v>3935056000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1247717797</v>
      </c>
      <c r="G490">
        <v>183190090</v>
      </c>
      <c r="H490">
        <v>139619815</v>
      </c>
      <c r="I490">
        <v>248741488</v>
      </c>
      <c r="J490">
        <v>170471692</v>
      </c>
      <c r="K490">
        <v>42565222</v>
      </c>
      <c r="L490">
        <v>-105540644</v>
      </c>
      <c r="M490">
        <v>15356008</v>
      </c>
      <c r="N490">
        <v>91524015</v>
      </c>
      <c r="O490">
        <v>-183928615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437914314</v>
      </c>
      <c r="G491">
        <v>212999372</v>
      </c>
      <c r="H491">
        <v>802406445</v>
      </c>
      <c r="I491">
        <v>153693497</v>
      </c>
      <c r="J491">
        <v>12451599</v>
      </c>
      <c r="K491">
        <v>146633820</v>
      </c>
      <c r="L491">
        <v>204783142</v>
      </c>
      <c r="M491">
        <v>240400209</v>
      </c>
      <c r="N491">
        <v>168969512</v>
      </c>
      <c r="O491">
        <v>116497781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126941970</v>
      </c>
      <c r="G492">
        <v>-15599508</v>
      </c>
      <c r="H492">
        <v>446958558</v>
      </c>
      <c r="I492">
        <v>150800007</v>
      </c>
      <c r="J492">
        <v>-259991856</v>
      </c>
      <c r="K492">
        <v>-354656650</v>
      </c>
      <c r="L492">
        <v>-394747079</v>
      </c>
      <c r="M492">
        <v>-55564383</v>
      </c>
      <c r="N492">
        <v>6546729</v>
      </c>
      <c r="O492">
        <v>3178274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-32410685</v>
      </c>
      <c r="G493">
        <v>20210629</v>
      </c>
      <c r="H493">
        <v>314281687</v>
      </c>
      <c r="I493">
        <v>124601714</v>
      </c>
      <c r="J493">
        <v>97756503</v>
      </c>
      <c r="K493">
        <v>79211205</v>
      </c>
      <c r="L493">
        <v>26024949</v>
      </c>
      <c r="M493">
        <v>44984179</v>
      </c>
      <c r="N493">
        <v>63132646</v>
      </c>
      <c r="O493">
        <v>112129597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445291822</v>
      </c>
      <c r="G494">
        <v>113135033</v>
      </c>
      <c r="H494">
        <v>143297081</v>
      </c>
      <c r="I494">
        <v>161043266</v>
      </c>
      <c r="J494">
        <v>120512479</v>
      </c>
      <c r="K494">
        <v>67332026</v>
      </c>
      <c r="L494">
        <v>30174790</v>
      </c>
      <c r="M494">
        <v>-26491093</v>
      </c>
      <c r="N494">
        <v>29991734</v>
      </c>
      <c r="O494">
        <v>48820990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168509241</v>
      </c>
      <c r="G495">
        <v>108763062</v>
      </c>
      <c r="H495">
        <v>107883961</v>
      </c>
      <c r="I495">
        <v>84043628</v>
      </c>
      <c r="J495">
        <v>57864481</v>
      </c>
      <c r="K495">
        <v>-4324819</v>
      </c>
      <c r="L495">
        <v>13141794</v>
      </c>
      <c r="M495">
        <v>52136634</v>
      </c>
      <c r="N495">
        <v>36848507</v>
      </c>
      <c r="O495">
        <v>88285688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2608821</v>
      </c>
      <c r="G496">
        <v>-63918010</v>
      </c>
      <c r="H496">
        <v>73040681</v>
      </c>
      <c r="I496">
        <v>91320101</v>
      </c>
      <c r="J496">
        <v>89533936</v>
      </c>
      <c r="K496">
        <v>69237674</v>
      </c>
      <c r="L496">
        <v>75203171</v>
      </c>
      <c r="M496">
        <v>59763977</v>
      </c>
      <c r="N496">
        <v>41568555</v>
      </c>
      <c r="O496">
        <v>41451242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297121686</v>
      </c>
      <c r="G497">
        <v>191044066</v>
      </c>
      <c r="H497">
        <v>156602025</v>
      </c>
      <c r="I497">
        <v>196313385</v>
      </c>
      <c r="J497">
        <v>316247813</v>
      </c>
      <c r="K497">
        <v>290171096</v>
      </c>
      <c r="L497">
        <v>162094906</v>
      </c>
      <c r="M497">
        <v>308067118</v>
      </c>
      <c r="N497">
        <v>253773595</v>
      </c>
      <c r="O497">
        <v>206498636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504517934</v>
      </c>
      <c r="G498">
        <v>-245449168</v>
      </c>
      <c r="H498">
        <v>-203054009</v>
      </c>
      <c r="I498">
        <v>-417394056</v>
      </c>
      <c r="J498">
        <v>137424557</v>
      </c>
      <c r="K498">
        <v>173531381</v>
      </c>
      <c r="L498">
        <v>-123741544</v>
      </c>
      <c r="M498">
        <v>163641760</v>
      </c>
      <c r="N498">
        <v>-227118110</v>
      </c>
      <c r="O498">
        <v>-34379296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1601055409</v>
      </c>
      <c r="G499">
        <v>152955972</v>
      </c>
      <c r="H499">
        <v>407621346</v>
      </c>
      <c r="I499">
        <v>1165707542</v>
      </c>
      <c r="J499">
        <v>231665733</v>
      </c>
      <c r="K499">
        <v>-12621185</v>
      </c>
      <c r="L499">
        <v>-151749307</v>
      </c>
      <c r="M499">
        <v>94402557</v>
      </c>
      <c r="N499">
        <v>361588516</v>
      </c>
      <c r="O499">
        <v>7707069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445081675</v>
      </c>
      <c r="G500">
        <v>425501716</v>
      </c>
      <c r="H500">
        <v>443969926</v>
      </c>
      <c r="I500">
        <v>393806587</v>
      </c>
      <c r="J500">
        <v>528809508</v>
      </c>
      <c r="K500">
        <v>425509391</v>
      </c>
      <c r="L500">
        <v>214168166</v>
      </c>
      <c r="M500">
        <v>406381079</v>
      </c>
      <c r="N500">
        <v>307819569</v>
      </c>
      <c r="O500">
        <v>222145100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850912847</v>
      </c>
      <c r="G501">
        <v>1037940908</v>
      </c>
      <c r="H501">
        <v>972721158</v>
      </c>
      <c r="I501">
        <v>973958016</v>
      </c>
      <c r="J501">
        <v>761091675</v>
      </c>
      <c r="K501">
        <v>796531528</v>
      </c>
      <c r="L501">
        <v>834806798</v>
      </c>
      <c r="M501">
        <v>1207583239</v>
      </c>
      <c r="N501">
        <v>99416899</v>
      </c>
      <c r="O501">
        <v>334949580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62665119</v>
      </c>
      <c r="G502">
        <v>26611850</v>
      </c>
      <c r="H502">
        <v>-18588893</v>
      </c>
      <c r="I502">
        <v>-26338563</v>
      </c>
      <c r="J502">
        <v>6176499</v>
      </c>
      <c r="K502">
        <v>-2401660</v>
      </c>
      <c r="L502">
        <v>5675732</v>
      </c>
      <c r="M502">
        <v>23043202</v>
      </c>
      <c r="N502">
        <v>25334487</v>
      </c>
      <c r="O502">
        <v>23868733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3610797933</v>
      </c>
      <c r="G503">
        <v>2978011508</v>
      </c>
      <c r="H503">
        <v>2585748595</v>
      </c>
      <c r="I503">
        <v>2099747417</v>
      </c>
      <c r="J503">
        <v>1869488697</v>
      </c>
      <c r="K503">
        <v>1840050057</v>
      </c>
      <c r="L503">
        <v>1745316492</v>
      </c>
      <c r="M503">
        <v>2179491491</v>
      </c>
      <c r="N503">
        <v>2164897716</v>
      </c>
      <c r="O503">
        <v>1682610100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-449013111</v>
      </c>
      <c r="G504">
        <v>-167157023</v>
      </c>
      <c r="H504">
        <v>-374911725</v>
      </c>
      <c r="I504">
        <v>-230797528</v>
      </c>
      <c r="J504">
        <v>-196502396</v>
      </c>
      <c r="K504">
        <v>-114898018</v>
      </c>
      <c r="L504">
        <v>21859189</v>
      </c>
      <c r="M504">
        <v>132442775</v>
      </c>
      <c r="N504">
        <v>58665215</v>
      </c>
      <c r="O504">
        <v>42696043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170127917</v>
      </c>
      <c r="G505">
        <v>155644890</v>
      </c>
      <c r="H505">
        <v>185006269</v>
      </c>
      <c r="I505">
        <v>181504098</v>
      </c>
      <c r="J505">
        <v>164181818</v>
      </c>
      <c r="K505">
        <v>226561565</v>
      </c>
      <c r="L505">
        <v>58349264</v>
      </c>
      <c r="M505">
        <v>59186713</v>
      </c>
      <c r="N505">
        <v>47863420</v>
      </c>
      <c r="O505">
        <v>59042258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409444499</v>
      </c>
      <c r="G506">
        <v>335317829</v>
      </c>
      <c r="H506">
        <v>283357701</v>
      </c>
      <c r="I506">
        <v>265618124</v>
      </c>
      <c r="J506">
        <v>151894223</v>
      </c>
      <c r="K506">
        <v>-33458713</v>
      </c>
      <c r="L506">
        <v>-9920146</v>
      </c>
      <c r="M506">
        <v>-2691188</v>
      </c>
      <c r="N506">
        <v>-9228953</v>
      </c>
      <c r="O506">
        <v>-5795206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-117697043</v>
      </c>
      <c r="G507">
        <v>56469893</v>
      </c>
      <c r="H507">
        <v>21254862</v>
      </c>
      <c r="I507">
        <v>57275792</v>
      </c>
      <c r="J507">
        <v>81745594</v>
      </c>
      <c r="K507">
        <v>164027902</v>
      </c>
      <c r="L507">
        <v>-29347938</v>
      </c>
      <c r="M507">
        <v>8964782</v>
      </c>
      <c r="N507">
        <v>100819991</v>
      </c>
      <c r="O507">
        <v>58070207</v>
      </c>
      <c r="P507">
        <v>137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52684808</v>
      </c>
      <c r="G508">
        <v>37987081</v>
      </c>
      <c r="H508">
        <v>5475368</v>
      </c>
      <c r="I508">
        <v>18158270</v>
      </c>
      <c r="J508">
        <v>14198176</v>
      </c>
      <c r="K508">
        <v>22459182</v>
      </c>
      <c r="L508">
        <v>5582800</v>
      </c>
      <c r="M508">
        <v>2919270</v>
      </c>
      <c r="N508">
        <v>3572615</v>
      </c>
      <c r="O508">
        <v>2113911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11164622806</v>
      </c>
      <c r="G509">
        <v>12041354633</v>
      </c>
      <c r="H509">
        <v>11812660964</v>
      </c>
      <c r="I509">
        <v>8893304820</v>
      </c>
      <c r="J509">
        <v>6562632355</v>
      </c>
      <c r="K509">
        <v>5919756958</v>
      </c>
      <c r="L509">
        <v>4943130335</v>
      </c>
      <c r="M509">
        <v>-231893309</v>
      </c>
      <c r="N509">
        <v>2651589</v>
      </c>
      <c r="O509">
        <v>26788561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2222166</v>
      </c>
      <c r="G510">
        <v>1650329</v>
      </c>
      <c r="H510">
        <v>1147505</v>
      </c>
      <c r="I510">
        <v>-1996939</v>
      </c>
      <c r="J510">
        <v>-23081622</v>
      </c>
      <c r="K510">
        <v>-21461307</v>
      </c>
      <c r="L510">
        <v>-17677231</v>
      </c>
      <c r="M510">
        <v>-4096955</v>
      </c>
      <c r="N510">
        <v>-21988313</v>
      </c>
      <c r="O510">
        <v>-38472605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237179001</v>
      </c>
      <c r="G511">
        <v>60411847</v>
      </c>
      <c r="H511">
        <v>54129899</v>
      </c>
      <c r="I511">
        <v>73165569</v>
      </c>
      <c r="J511">
        <v>-500788502</v>
      </c>
      <c r="K511">
        <v>-69591834</v>
      </c>
      <c r="L511">
        <v>5087729</v>
      </c>
      <c r="M511">
        <v>-8895852</v>
      </c>
      <c r="N511">
        <v>37262693</v>
      </c>
      <c r="O511">
        <v>17419699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39655879</v>
      </c>
      <c r="G512">
        <v>8067806</v>
      </c>
      <c r="H512">
        <v>-20774063</v>
      </c>
      <c r="I512">
        <v>-21740954</v>
      </c>
      <c r="J512">
        <v>580778</v>
      </c>
      <c r="K512">
        <v>-17130968</v>
      </c>
      <c r="L512">
        <v>7852886</v>
      </c>
      <c r="M512">
        <v>-25841412</v>
      </c>
      <c r="N512">
        <v>-14327300</v>
      </c>
      <c r="O512">
        <v>1349980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255891714</v>
      </c>
      <c r="G513">
        <v>324924396</v>
      </c>
      <c r="H513">
        <v>692485974</v>
      </c>
      <c r="I513">
        <v>577613509</v>
      </c>
      <c r="J513">
        <v>568247403</v>
      </c>
      <c r="K513">
        <v>433990343</v>
      </c>
      <c r="L513">
        <v>413124073</v>
      </c>
      <c r="M513">
        <v>357477349</v>
      </c>
      <c r="N513">
        <v>350531622</v>
      </c>
      <c r="O513">
        <v>365407905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1498167360</v>
      </c>
      <c r="G514">
        <v>1232583654</v>
      </c>
      <c r="H514">
        <v>1165752385</v>
      </c>
      <c r="I514">
        <v>987801335</v>
      </c>
      <c r="J514">
        <v>896876961</v>
      </c>
      <c r="K514">
        <v>803276548</v>
      </c>
      <c r="L514">
        <v>800683419</v>
      </c>
      <c r="M514">
        <v>725437174</v>
      </c>
      <c r="N514">
        <v>632659256</v>
      </c>
      <c r="O514">
        <v>513305443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53024372</v>
      </c>
      <c r="G515">
        <v>-146963628</v>
      </c>
      <c r="H515">
        <v>82479017</v>
      </c>
      <c r="I515">
        <v>64719409</v>
      </c>
      <c r="J515">
        <v>80570636</v>
      </c>
      <c r="K515">
        <v>98033182</v>
      </c>
      <c r="L515">
        <v>146972942</v>
      </c>
      <c r="M515">
        <v>134894543</v>
      </c>
      <c r="N515">
        <v>58393169</v>
      </c>
      <c r="O515">
        <v>8910063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-69911630</v>
      </c>
      <c r="H516">
        <v>-107481955</v>
      </c>
      <c r="I516">
        <v>159813577</v>
      </c>
      <c r="J516">
        <v>257141519</v>
      </c>
      <c r="K516">
        <v>195650326</v>
      </c>
      <c r="L516">
        <v>70348426</v>
      </c>
      <c r="M516">
        <v>22425849</v>
      </c>
      <c r="N516">
        <v>30621374</v>
      </c>
      <c r="O516">
        <v>27962301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-1899108</v>
      </c>
      <c r="G517">
        <v>-3576271</v>
      </c>
      <c r="H517">
        <v>31542977</v>
      </c>
      <c r="I517">
        <v>16515296</v>
      </c>
      <c r="J517">
        <v>105071500</v>
      </c>
      <c r="K517">
        <v>8237916</v>
      </c>
      <c r="L517">
        <v>6072944</v>
      </c>
      <c r="M517">
        <v>10934019</v>
      </c>
      <c r="N517">
        <v>2845959</v>
      </c>
      <c r="O517">
        <v>614074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-23082046</v>
      </c>
      <c r="G518">
        <v>868674</v>
      </c>
      <c r="H518">
        <v>18709139</v>
      </c>
      <c r="I518">
        <v>26948106</v>
      </c>
      <c r="J518">
        <v>48606656</v>
      </c>
      <c r="K518">
        <v>55067095</v>
      </c>
      <c r="L518">
        <v>55226826</v>
      </c>
      <c r="M518">
        <v>66997283</v>
      </c>
      <c r="N518">
        <v>80045674</v>
      </c>
      <c r="O518">
        <v>71191210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-92649939</v>
      </c>
      <c r="G519">
        <v>-583817317</v>
      </c>
      <c r="H519">
        <v>13085945</v>
      </c>
      <c r="I519">
        <v>12517361</v>
      </c>
      <c r="J519">
        <v>6292268</v>
      </c>
      <c r="K519">
        <v>370443342</v>
      </c>
      <c r="L519">
        <v>362957765</v>
      </c>
      <c r="M519">
        <v>312767318</v>
      </c>
      <c r="N519">
        <v>-8282761</v>
      </c>
      <c r="O519">
        <v>2340076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1143523251</v>
      </c>
      <c r="G520">
        <v>338103652</v>
      </c>
      <c r="H520">
        <v>629107284</v>
      </c>
      <c r="I520">
        <v>671645215</v>
      </c>
      <c r="J520">
        <v>602068274</v>
      </c>
      <c r="K520">
        <v>-46321431</v>
      </c>
      <c r="L520">
        <v>-44671141</v>
      </c>
      <c r="M520">
        <v>-89890884</v>
      </c>
      <c r="N520">
        <v>-39767348</v>
      </c>
      <c r="O520">
        <v>97909356</v>
      </c>
      <c r="P520">
        <v>252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132677042</v>
      </c>
      <c r="G521">
        <v>72392003</v>
      </c>
      <c r="H521">
        <v>191493751</v>
      </c>
      <c r="I521">
        <v>200711767</v>
      </c>
      <c r="J521">
        <v>197785215</v>
      </c>
      <c r="K521">
        <v>54652894</v>
      </c>
      <c r="L521">
        <v>45147360</v>
      </c>
      <c r="M521">
        <v>67146731</v>
      </c>
      <c r="N521">
        <v>70050680</v>
      </c>
      <c r="O521">
        <v>106907943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169954878</v>
      </c>
      <c r="G522">
        <v>106760877</v>
      </c>
      <c r="H522">
        <v>82631868</v>
      </c>
      <c r="I522">
        <v>60629785</v>
      </c>
      <c r="J522">
        <v>63878904</v>
      </c>
      <c r="K522">
        <v>52118995</v>
      </c>
      <c r="L522">
        <v>66263091</v>
      </c>
      <c r="M522">
        <v>94133934</v>
      </c>
      <c r="N522">
        <v>131380411</v>
      </c>
      <c r="O522">
        <v>-1486844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487085296</v>
      </c>
      <c r="G523">
        <v>673827182</v>
      </c>
      <c r="H523">
        <v>85635070</v>
      </c>
      <c r="I523">
        <v>39016335</v>
      </c>
      <c r="J523">
        <v>112456155</v>
      </c>
      <c r="K523">
        <v>143178330</v>
      </c>
      <c r="L523">
        <v>185707948</v>
      </c>
      <c r="M523">
        <v>94416491</v>
      </c>
      <c r="N523">
        <v>182974944</v>
      </c>
      <c r="O523">
        <v>89860430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172783749</v>
      </c>
      <c r="G524">
        <v>297829178</v>
      </c>
      <c r="H524">
        <v>302847200</v>
      </c>
      <c r="I524">
        <v>434022048</v>
      </c>
      <c r="J524">
        <v>334751250</v>
      </c>
      <c r="K524">
        <v>172363263</v>
      </c>
      <c r="L524">
        <v>217775405</v>
      </c>
      <c r="M524">
        <v>288605733</v>
      </c>
      <c r="N524">
        <v>201332143</v>
      </c>
      <c r="O524">
        <v>193596468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2501419070</v>
      </c>
      <c r="G525">
        <v>49438606</v>
      </c>
      <c r="H525">
        <v>539866717</v>
      </c>
      <c r="I525">
        <v>1597202215</v>
      </c>
      <c r="J525">
        <v>384484418</v>
      </c>
      <c r="K525">
        <v>270107367</v>
      </c>
      <c r="L525">
        <v>419277414</v>
      </c>
      <c r="M525">
        <v>219577919</v>
      </c>
      <c r="N525">
        <v>230097249</v>
      </c>
      <c r="O525">
        <v>205984492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16796428</v>
      </c>
      <c r="G526">
        <v>24692998</v>
      </c>
      <c r="H526">
        <v>42431601</v>
      </c>
      <c r="I526">
        <v>33029253</v>
      </c>
      <c r="J526">
        <v>27707818</v>
      </c>
      <c r="K526">
        <v>38172747</v>
      </c>
      <c r="L526">
        <v>30482568</v>
      </c>
      <c r="M526">
        <v>26606400</v>
      </c>
      <c r="N526">
        <v>24101501</v>
      </c>
      <c r="O526">
        <v>20002557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-676708.71</v>
      </c>
      <c r="L527">
        <v>1564235.74</v>
      </c>
      <c r="M527">
        <v>9983543.5099999998</v>
      </c>
      <c r="N527">
        <v>-515692.27</v>
      </c>
      <c r="O527">
        <v>-390114.75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72896954</v>
      </c>
      <c r="G528">
        <v>-118722140</v>
      </c>
      <c r="H528">
        <v>368926371</v>
      </c>
      <c r="I528">
        <v>96575929</v>
      </c>
      <c r="J528">
        <v>120185019</v>
      </c>
      <c r="K528">
        <v>153022037</v>
      </c>
      <c r="L528">
        <v>87543972</v>
      </c>
      <c r="M528">
        <v>102933619</v>
      </c>
      <c r="N528">
        <v>126924254</v>
      </c>
      <c r="O528">
        <v>118031893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81120092</v>
      </c>
      <c r="G529">
        <v>18891690</v>
      </c>
      <c r="H529">
        <v>51259075</v>
      </c>
      <c r="I529">
        <v>241830326</v>
      </c>
      <c r="J529">
        <v>420145227</v>
      </c>
      <c r="K529">
        <v>41077255</v>
      </c>
      <c r="L529">
        <v>36283194</v>
      </c>
      <c r="M529">
        <v>161782457</v>
      </c>
      <c r="N529">
        <v>162039751</v>
      </c>
      <c r="O529">
        <v>158262878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266329203</v>
      </c>
      <c r="G530">
        <v>253864529</v>
      </c>
      <c r="H530">
        <v>224899597</v>
      </c>
      <c r="I530">
        <v>207982622</v>
      </c>
      <c r="J530">
        <v>143927818</v>
      </c>
      <c r="K530">
        <v>136074983</v>
      </c>
      <c r="L530">
        <v>78023160</v>
      </c>
      <c r="M530">
        <v>-10912301</v>
      </c>
      <c r="N530">
        <v>13351443</v>
      </c>
      <c r="O530">
        <v>3226562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21288908</v>
      </c>
      <c r="G531">
        <v>-120545906</v>
      </c>
      <c r="H531">
        <v>25265424</v>
      </c>
      <c r="I531">
        <v>53209576</v>
      </c>
      <c r="J531">
        <v>107282618</v>
      </c>
      <c r="K531">
        <v>70366596</v>
      </c>
      <c r="L531">
        <v>57808335</v>
      </c>
      <c r="M531">
        <v>50020537</v>
      </c>
      <c r="N531">
        <v>37188944</v>
      </c>
      <c r="O531">
        <v>37684847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909837104.60000002</v>
      </c>
      <c r="O532">
        <v>996648761.85000002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469857652</v>
      </c>
      <c r="G533">
        <v>430341719</v>
      </c>
      <c r="H533">
        <v>414092351</v>
      </c>
      <c r="I533">
        <v>399584570</v>
      </c>
      <c r="J533">
        <v>1551809789</v>
      </c>
      <c r="K533">
        <v>398234925</v>
      </c>
      <c r="L533">
        <v>397953073</v>
      </c>
      <c r="M533">
        <v>408566923</v>
      </c>
      <c r="N533">
        <v>322755175</v>
      </c>
      <c r="O533">
        <v>165944369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-1609261567</v>
      </c>
      <c r="H534">
        <v>-662378403</v>
      </c>
      <c r="I534">
        <v>-449526899</v>
      </c>
      <c r="J534">
        <v>67632667</v>
      </c>
      <c r="K534">
        <v>41666720</v>
      </c>
      <c r="L534">
        <v>93224848</v>
      </c>
      <c r="M534">
        <v>88827251</v>
      </c>
      <c r="N534">
        <v>-17172012</v>
      </c>
      <c r="O534">
        <v>1122575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221600942</v>
      </c>
      <c r="G535">
        <v>203886707</v>
      </c>
      <c r="H535">
        <v>326598066</v>
      </c>
      <c r="I535">
        <v>334682532</v>
      </c>
      <c r="J535">
        <v>355789709</v>
      </c>
      <c r="K535">
        <v>436751423</v>
      </c>
      <c r="L535">
        <v>400926512</v>
      </c>
      <c r="M535">
        <v>201730961</v>
      </c>
      <c r="N535">
        <v>195681170</v>
      </c>
      <c r="O535">
        <v>252176386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66647477</v>
      </c>
      <c r="G536">
        <v>84242350</v>
      </c>
      <c r="H536">
        <v>12327194</v>
      </c>
      <c r="I536">
        <v>543670220</v>
      </c>
      <c r="J536">
        <v>120647516</v>
      </c>
      <c r="K536">
        <v>-187230808</v>
      </c>
      <c r="L536">
        <v>-99971659</v>
      </c>
      <c r="M536">
        <v>19063512</v>
      </c>
      <c r="N536">
        <v>113228928</v>
      </c>
      <c r="O536">
        <v>92080403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1000863124</v>
      </c>
      <c r="G537">
        <v>1307273155</v>
      </c>
      <c r="H537">
        <v>1310591488</v>
      </c>
      <c r="I537">
        <v>1510962418</v>
      </c>
      <c r="J537">
        <v>1012575011</v>
      </c>
      <c r="K537">
        <v>1929350448</v>
      </c>
      <c r="L537">
        <v>2524879041</v>
      </c>
      <c r="M537">
        <v>554729240</v>
      </c>
      <c r="N537">
        <v>498170490</v>
      </c>
      <c r="O537">
        <v>392040332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77784230</v>
      </c>
      <c r="G538">
        <v>83660091</v>
      </c>
      <c r="H538">
        <v>37117751</v>
      </c>
      <c r="I538">
        <v>122948131</v>
      </c>
      <c r="J538">
        <v>655304345</v>
      </c>
      <c r="K538">
        <v>134502982</v>
      </c>
      <c r="L538">
        <v>197398166</v>
      </c>
      <c r="M538">
        <v>74025751</v>
      </c>
      <c r="N538">
        <v>128918434</v>
      </c>
      <c r="O538">
        <v>209544887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601279631</v>
      </c>
      <c r="G539">
        <v>686326006</v>
      </c>
      <c r="H539">
        <v>592626947</v>
      </c>
      <c r="I539">
        <v>568031196</v>
      </c>
      <c r="J539">
        <v>546512168</v>
      </c>
      <c r="K539">
        <v>472543477</v>
      </c>
      <c r="L539">
        <v>379122899</v>
      </c>
      <c r="M539">
        <v>319096794</v>
      </c>
      <c r="N539">
        <v>270118588</v>
      </c>
      <c r="O539">
        <v>247412704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-201249359</v>
      </c>
      <c r="G540">
        <v>-157934474</v>
      </c>
      <c r="H540">
        <v>88259188</v>
      </c>
      <c r="I540">
        <v>184745229</v>
      </c>
      <c r="J540">
        <v>208199145</v>
      </c>
      <c r="K540">
        <v>24839131</v>
      </c>
      <c r="L540">
        <v>49920361</v>
      </c>
      <c r="M540">
        <v>77175287</v>
      </c>
      <c r="N540">
        <v>72570083</v>
      </c>
      <c r="O540">
        <v>127528260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305866688</v>
      </c>
      <c r="G541">
        <v>222989176</v>
      </c>
      <c r="H541">
        <v>578654254</v>
      </c>
      <c r="I541">
        <v>920168536</v>
      </c>
      <c r="J541">
        <v>1596011725</v>
      </c>
      <c r="K541">
        <v>217176566</v>
      </c>
      <c r="L541">
        <v>188320952</v>
      </c>
      <c r="M541">
        <v>262264081</v>
      </c>
      <c r="N541">
        <v>140602958</v>
      </c>
      <c r="O541">
        <v>9555776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2403433464</v>
      </c>
      <c r="G542">
        <v>1951072668</v>
      </c>
      <c r="H542">
        <v>1675559654</v>
      </c>
      <c r="I542">
        <v>1251022302</v>
      </c>
      <c r="J542">
        <v>1469026730</v>
      </c>
      <c r="K542">
        <v>1822444899</v>
      </c>
      <c r="L542">
        <v>1983135064</v>
      </c>
      <c r="M542">
        <v>1422872269</v>
      </c>
      <c r="N542">
        <v>1908549642</v>
      </c>
      <c r="O542">
        <v>1094989346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1156246060</v>
      </c>
      <c r="G543">
        <v>1025377488</v>
      </c>
      <c r="H543">
        <v>1021315521</v>
      </c>
      <c r="I543">
        <v>816759869</v>
      </c>
      <c r="J543">
        <v>583009029</v>
      </c>
      <c r="K543">
        <v>462299430</v>
      </c>
      <c r="L543">
        <v>429212640</v>
      </c>
      <c r="M543">
        <v>366661568</v>
      </c>
      <c r="N543">
        <v>360282509</v>
      </c>
      <c r="O543">
        <v>177008532</v>
      </c>
      <c r="P543">
        <v>343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172355126</v>
      </c>
      <c r="G544">
        <v>174365431</v>
      </c>
      <c r="H544">
        <v>164519374</v>
      </c>
      <c r="I544">
        <v>136416060</v>
      </c>
      <c r="J544">
        <v>103413429</v>
      </c>
      <c r="K544">
        <v>246346463</v>
      </c>
      <c r="L544">
        <v>56790204</v>
      </c>
      <c r="M544">
        <v>46785156</v>
      </c>
      <c r="N544">
        <v>15931992</v>
      </c>
      <c r="O544">
        <v>25607348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190822690</v>
      </c>
      <c r="G545">
        <v>133102949</v>
      </c>
      <c r="H545">
        <v>93502355</v>
      </c>
      <c r="I545">
        <v>334556710</v>
      </c>
      <c r="J545">
        <v>3090969</v>
      </c>
      <c r="K545">
        <v>5525727</v>
      </c>
      <c r="L545">
        <v>83961308</v>
      </c>
      <c r="M545">
        <v>50778754</v>
      </c>
      <c r="N545">
        <v>1063979</v>
      </c>
      <c r="O545">
        <v>18440048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K546">
        <v>-93520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7708842</v>
      </c>
      <c r="G547">
        <v>3561005</v>
      </c>
      <c r="H547">
        <v>20263527</v>
      </c>
      <c r="I547">
        <v>-33042189</v>
      </c>
      <c r="J547">
        <v>11202079</v>
      </c>
      <c r="K547">
        <v>74662586</v>
      </c>
      <c r="L547">
        <v>65322460</v>
      </c>
      <c r="M547">
        <v>-19245930</v>
      </c>
      <c r="N547">
        <v>11706945</v>
      </c>
      <c r="O547">
        <v>16060519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561530513</v>
      </c>
      <c r="G548">
        <v>446930336</v>
      </c>
      <c r="H548">
        <v>740757913</v>
      </c>
      <c r="I548">
        <v>663700705</v>
      </c>
      <c r="J548">
        <v>348139025</v>
      </c>
      <c r="K548">
        <v>623114041</v>
      </c>
      <c r="L548">
        <v>407778944</v>
      </c>
      <c r="M548">
        <v>545381889</v>
      </c>
      <c r="N548">
        <v>509552422</v>
      </c>
      <c r="O548">
        <v>139431047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753470359</v>
      </c>
      <c r="G549">
        <v>291513571</v>
      </c>
      <c r="H549">
        <v>492009938</v>
      </c>
      <c r="I549">
        <v>876098910</v>
      </c>
      <c r="J549">
        <v>1018997293</v>
      </c>
      <c r="K549">
        <v>1905121125</v>
      </c>
      <c r="L549">
        <v>3127954587</v>
      </c>
      <c r="M549">
        <v>1049583543</v>
      </c>
      <c r="N549">
        <v>814401157</v>
      </c>
      <c r="O549">
        <v>1346805515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91570105</v>
      </c>
      <c r="G550">
        <v>66651466</v>
      </c>
      <c r="H550">
        <v>211858630</v>
      </c>
      <c r="I550">
        <v>210981293</v>
      </c>
      <c r="J550">
        <v>186788674</v>
      </c>
      <c r="K550">
        <v>178001189</v>
      </c>
      <c r="L550">
        <v>155989315</v>
      </c>
      <c r="M550">
        <v>168428045</v>
      </c>
      <c r="N550">
        <v>191730371</v>
      </c>
      <c r="O550">
        <v>137920997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-157477743</v>
      </c>
      <c r="G551">
        <v>687522324</v>
      </c>
      <c r="H551">
        <v>-657495227</v>
      </c>
      <c r="I551">
        <v>-827736046</v>
      </c>
      <c r="J551">
        <v>522029153</v>
      </c>
      <c r="K551">
        <v>109994271</v>
      </c>
      <c r="L551">
        <v>195850953</v>
      </c>
      <c r="M551">
        <v>26807742</v>
      </c>
      <c r="N551">
        <v>36817123</v>
      </c>
      <c r="O551">
        <v>74847392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-13971994</v>
      </c>
      <c r="G552">
        <v>-5211022</v>
      </c>
      <c r="H552">
        <v>-11277686</v>
      </c>
      <c r="I552">
        <v>4756504</v>
      </c>
      <c r="J552">
        <v>42583658</v>
      </c>
      <c r="K552">
        <v>28318592</v>
      </c>
      <c r="L552">
        <v>6588018</v>
      </c>
      <c r="M552">
        <v>-95241226</v>
      </c>
      <c r="N552">
        <v>4562215</v>
      </c>
      <c r="O552">
        <v>21462566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7842375</v>
      </c>
      <c r="G553">
        <v>-35031047</v>
      </c>
      <c r="H553">
        <v>-24083356</v>
      </c>
      <c r="I553">
        <v>-107168346</v>
      </c>
      <c r="J553">
        <v>-289910253</v>
      </c>
      <c r="K553">
        <v>-168741256</v>
      </c>
      <c r="L553">
        <v>2742850</v>
      </c>
      <c r="M553">
        <v>-166586913</v>
      </c>
      <c r="N553">
        <v>-56721440</v>
      </c>
      <c r="O553">
        <v>-79021802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-318259367</v>
      </c>
      <c r="G554">
        <v>-256904740</v>
      </c>
      <c r="H554">
        <v>-288184467</v>
      </c>
      <c r="I554">
        <v>-107896701</v>
      </c>
      <c r="J554">
        <v>-113078194</v>
      </c>
      <c r="K554">
        <v>275323330</v>
      </c>
      <c r="L554">
        <v>160318278</v>
      </c>
      <c r="M554">
        <v>44507712</v>
      </c>
      <c r="N554">
        <v>82180089</v>
      </c>
      <c r="O554">
        <v>65176365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1800393668</v>
      </c>
      <c r="G555">
        <v>1587850226</v>
      </c>
      <c r="H555">
        <v>1239018558</v>
      </c>
      <c r="I555">
        <v>1140039362</v>
      </c>
      <c r="J555">
        <v>476645211</v>
      </c>
      <c r="K555">
        <v>423212387</v>
      </c>
      <c r="L555">
        <v>527834792</v>
      </c>
      <c r="M555">
        <v>583742903</v>
      </c>
      <c r="N555">
        <v>696572306</v>
      </c>
      <c r="O555">
        <v>494665622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L556">
        <v>-18947460.620000001</v>
      </c>
      <c r="M556">
        <v>-4655303.54</v>
      </c>
      <c r="N556">
        <v>-2290511.63</v>
      </c>
      <c r="O556">
        <v>4024829.85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567190701</v>
      </c>
      <c r="G557">
        <v>1103125524</v>
      </c>
      <c r="H557">
        <v>613789582</v>
      </c>
      <c r="I557">
        <v>887248853</v>
      </c>
      <c r="J557">
        <v>304877029</v>
      </c>
      <c r="K557">
        <v>172251361</v>
      </c>
      <c r="L557">
        <v>167880633</v>
      </c>
      <c r="M557">
        <v>250868286</v>
      </c>
      <c r="N557">
        <v>195866832</v>
      </c>
      <c r="O557">
        <v>170855236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-250553488</v>
      </c>
      <c r="G558">
        <v>432333180</v>
      </c>
      <c r="H558">
        <v>138704850</v>
      </c>
      <c r="I558">
        <v>303786469</v>
      </c>
      <c r="J558">
        <v>199822446</v>
      </c>
      <c r="K558">
        <v>128293169</v>
      </c>
      <c r="L558">
        <v>172114537</v>
      </c>
      <c r="M558">
        <v>422538657</v>
      </c>
      <c r="N558">
        <v>491544154</v>
      </c>
      <c r="O558">
        <v>129715824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2595768110</v>
      </c>
      <c r="G559">
        <v>1722903942</v>
      </c>
      <c r="H559">
        <v>2346531432</v>
      </c>
      <c r="I559">
        <v>3262092870</v>
      </c>
      <c r="J559">
        <v>2143549923</v>
      </c>
      <c r="K559">
        <v>2175402903</v>
      </c>
      <c r="L559">
        <v>1848767879</v>
      </c>
      <c r="M559">
        <v>1576454399</v>
      </c>
      <c r="N559">
        <v>1336513819</v>
      </c>
      <c r="O559">
        <v>1157368088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157342898</v>
      </c>
      <c r="G560">
        <v>-71109007</v>
      </c>
      <c r="H560">
        <v>103032745</v>
      </c>
      <c r="I560">
        <v>96547737</v>
      </c>
      <c r="J560">
        <v>120303474</v>
      </c>
      <c r="K560">
        <v>130178600</v>
      </c>
      <c r="L560">
        <v>48085132</v>
      </c>
      <c r="M560">
        <v>43490965</v>
      </c>
      <c r="N560">
        <v>7625963</v>
      </c>
      <c r="O560">
        <v>-7533570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399596208</v>
      </c>
      <c r="G561">
        <v>44145316</v>
      </c>
      <c r="H561">
        <v>152908965</v>
      </c>
      <c r="I561">
        <v>40455407</v>
      </c>
      <c r="J561">
        <v>46311719</v>
      </c>
      <c r="K561">
        <v>131400888</v>
      </c>
      <c r="L561">
        <v>135955918</v>
      </c>
      <c r="M561">
        <v>132227461</v>
      </c>
      <c r="N561">
        <v>120099569</v>
      </c>
      <c r="O561">
        <v>120279313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2590733891</v>
      </c>
      <c r="G562">
        <v>2291876912</v>
      </c>
      <c r="H562">
        <v>2494772932</v>
      </c>
      <c r="I562">
        <v>2149223386</v>
      </c>
      <c r="J562">
        <v>1463482846</v>
      </c>
      <c r="K562">
        <v>1352217739</v>
      </c>
      <c r="L562">
        <v>1126876549</v>
      </c>
      <c r="M562">
        <v>986703250</v>
      </c>
      <c r="N562">
        <v>1082541634</v>
      </c>
      <c r="O562">
        <v>645737807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486512184</v>
      </c>
      <c r="G563">
        <v>-372663728</v>
      </c>
      <c r="H563">
        <v>4257068</v>
      </c>
      <c r="I563">
        <v>242912784</v>
      </c>
      <c r="J563">
        <v>263776569</v>
      </c>
      <c r="K563">
        <v>611108304</v>
      </c>
      <c r="L563">
        <v>402468749</v>
      </c>
      <c r="M563">
        <v>325608343</v>
      </c>
      <c r="N563">
        <v>263827314</v>
      </c>
      <c r="O563">
        <v>287743517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285950137</v>
      </c>
      <c r="G564">
        <v>132247557</v>
      </c>
      <c r="H564">
        <v>245599140</v>
      </c>
      <c r="I564">
        <v>352645932</v>
      </c>
      <c r="J564">
        <v>167114345</v>
      </c>
      <c r="K564">
        <v>-170320546</v>
      </c>
      <c r="L564">
        <v>-22461096</v>
      </c>
      <c r="M564">
        <v>111727851</v>
      </c>
      <c r="N564">
        <v>200580313</v>
      </c>
      <c r="O564">
        <v>185023241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-158332658</v>
      </c>
      <c r="G565">
        <v>-167002918</v>
      </c>
      <c r="H565">
        <v>-26065036</v>
      </c>
      <c r="I565">
        <v>-4537049</v>
      </c>
      <c r="J565">
        <v>77216973</v>
      </c>
      <c r="K565">
        <v>107102798</v>
      </c>
      <c r="L565">
        <v>205948811</v>
      </c>
      <c r="M565">
        <v>27809857</v>
      </c>
      <c r="N565">
        <v>42297924</v>
      </c>
      <c r="O565">
        <v>39293519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603503207</v>
      </c>
      <c r="G566">
        <v>519900939</v>
      </c>
      <c r="H566">
        <v>452615822</v>
      </c>
      <c r="I566">
        <v>367950096</v>
      </c>
      <c r="J566">
        <v>296934478</v>
      </c>
      <c r="K566">
        <v>40148702</v>
      </c>
      <c r="L566">
        <v>2275513</v>
      </c>
      <c r="M566">
        <v>5656551</v>
      </c>
      <c r="N566">
        <v>1647921</v>
      </c>
      <c r="O566">
        <v>36772109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424262305</v>
      </c>
      <c r="G567">
        <v>516230660</v>
      </c>
      <c r="H567">
        <v>614570915</v>
      </c>
      <c r="I567">
        <v>488183290</v>
      </c>
      <c r="J567">
        <v>291408643</v>
      </c>
      <c r="K567">
        <v>168959970</v>
      </c>
      <c r="L567">
        <v>135798781</v>
      </c>
      <c r="M567">
        <v>246432718</v>
      </c>
      <c r="N567">
        <v>141880405</v>
      </c>
      <c r="O567">
        <v>169615259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K568">
        <v>33470.25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-2042745.83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-15129707</v>
      </c>
      <c r="G570">
        <v>-4115714</v>
      </c>
      <c r="H570">
        <v>1676685</v>
      </c>
      <c r="I570">
        <v>7573685</v>
      </c>
      <c r="J570">
        <v>8538980</v>
      </c>
      <c r="K570">
        <v>-475340</v>
      </c>
      <c r="L570">
        <v>-12534823</v>
      </c>
      <c r="M570">
        <v>2197555</v>
      </c>
      <c r="N570">
        <v>-2847336</v>
      </c>
      <c r="O570">
        <v>-29944316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6463746.6299999999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310829491</v>
      </c>
      <c r="G572">
        <v>173351487</v>
      </c>
      <c r="H572">
        <v>796870265</v>
      </c>
      <c r="I572">
        <v>838108250</v>
      </c>
      <c r="J572">
        <v>324539274</v>
      </c>
      <c r="K572">
        <v>70657485</v>
      </c>
      <c r="L572">
        <v>94132588</v>
      </c>
      <c r="M572">
        <v>112053842</v>
      </c>
      <c r="N572">
        <v>108273968</v>
      </c>
      <c r="O572">
        <v>123170752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2779626205</v>
      </c>
      <c r="G573">
        <v>2708883809</v>
      </c>
      <c r="H573">
        <v>2630583778</v>
      </c>
      <c r="I573">
        <v>2771234561</v>
      </c>
      <c r="J573">
        <v>2857629494</v>
      </c>
      <c r="K573">
        <v>2801172236</v>
      </c>
      <c r="L573">
        <v>3205191129</v>
      </c>
      <c r="M573">
        <v>2878863025</v>
      </c>
      <c r="N573">
        <v>1310263582</v>
      </c>
      <c r="O573">
        <v>447304584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1028657186</v>
      </c>
      <c r="G574">
        <v>628605307</v>
      </c>
      <c r="H574">
        <v>1867171098</v>
      </c>
      <c r="I574">
        <v>813829298</v>
      </c>
      <c r="J574">
        <v>293126710</v>
      </c>
      <c r="K574">
        <v>299102211</v>
      </c>
      <c r="L574">
        <v>-1315612546</v>
      </c>
      <c r="M574">
        <v>153830838</v>
      </c>
      <c r="N574">
        <v>301296323</v>
      </c>
      <c r="O574">
        <v>350283136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11777258</v>
      </c>
      <c r="G575">
        <v>-160841867</v>
      </c>
      <c r="H575">
        <v>100824622</v>
      </c>
      <c r="I575">
        <v>210093836</v>
      </c>
      <c r="J575">
        <v>219125415</v>
      </c>
      <c r="K575">
        <v>208367278</v>
      </c>
      <c r="L575">
        <v>255048139</v>
      </c>
      <c r="M575">
        <v>238587116</v>
      </c>
      <c r="N575">
        <v>226887317</v>
      </c>
      <c r="O575">
        <v>214698147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-86790041</v>
      </c>
      <c r="H576">
        <v>-260508815</v>
      </c>
      <c r="I576">
        <v>123999118</v>
      </c>
      <c r="J576">
        <v>-56329688</v>
      </c>
      <c r="K576">
        <v>20028333</v>
      </c>
      <c r="L576">
        <v>-46763745</v>
      </c>
      <c r="M576">
        <v>-23298567</v>
      </c>
      <c r="N576">
        <v>44202883</v>
      </c>
      <c r="O576">
        <v>46626057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59195225</v>
      </c>
      <c r="G577">
        <v>36162903</v>
      </c>
      <c r="H577">
        <v>28913695</v>
      </c>
      <c r="I577">
        <v>31036777</v>
      </c>
      <c r="J577">
        <v>-577432</v>
      </c>
      <c r="K577">
        <v>-23275716</v>
      </c>
      <c r="L577">
        <v>-2316676</v>
      </c>
      <c r="M577">
        <v>-16142616</v>
      </c>
      <c r="N577">
        <v>-2192659</v>
      </c>
      <c r="O577">
        <v>27317595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89369037</v>
      </c>
      <c r="G578">
        <v>53573095</v>
      </c>
      <c r="H578">
        <v>23774182</v>
      </c>
      <c r="I578">
        <v>26687156</v>
      </c>
      <c r="J578">
        <v>64022609</v>
      </c>
      <c r="K578">
        <v>34359104</v>
      </c>
      <c r="L578">
        <v>-10981899</v>
      </c>
      <c r="M578">
        <v>-3178627</v>
      </c>
      <c r="N578">
        <v>-8236191</v>
      </c>
      <c r="O578">
        <v>-7829514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-106837348</v>
      </c>
      <c r="I579">
        <v>-111028597</v>
      </c>
      <c r="J579">
        <v>-177946386</v>
      </c>
      <c r="K579">
        <v>-38618658.880000003</v>
      </c>
      <c r="L579">
        <v>-28238638.649999999</v>
      </c>
      <c r="M579">
        <v>-3967673.25</v>
      </c>
      <c r="N579">
        <v>9202499.6799999997</v>
      </c>
      <c r="O579">
        <v>5309921.2800000003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437360437</v>
      </c>
      <c r="G580">
        <v>410840183</v>
      </c>
      <c r="H580">
        <v>657474183</v>
      </c>
      <c r="I580">
        <v>720234122</v>
      </c>
      <c r="J580">
        <v>378279188</v>
      </c>
      <c r="K580">
        <v>284768800</v>
      </c>
      <c r="L580">
        <v>-1939394</v>
      </c>
      <c r="M580">
        <v>291916</v>
      </c>
      <c r="N580">
        <v>-7843411</v>
      </c>
      <c r="O580">
        <v>1946310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884240741</v>
      </c>
      <c r="G581">
        <v>608127541</v>
      </c>
      <c r="H581">
        <v>1363171218</v>
      </c>
      <c r="I581">
        <v>-1216256217</v>
      </c>
      <c r="J581">
        <v>374782923</v>
      </c>
      <c r="K581">
        <v>-444682835</v>
      </c>
      <c r="L581">
        <v>-92767450</v>
      </c>
      <c r="M581">
        <v>98380910</v>
      </c>
      <c r="N581">
        <v>86110082</v>
      </c>
      <c r="O581">
        <v>141756040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83853031</v>
      </c>
      <c r="G582">
        <v>96488450</v>
      </c>
      <c r="H582">
        <v>-24717799</v>
      </c>
      <c r="I582">
        <v>80778583</v>
      </c>
      <c r="J582">
        <v>-1919363</v>
      </c>
      <c r="K582">
        <v>98320510</v>
      </c>
      <c r="L582">
        <v>-128819727</v>
      </c>
      <c r="M582">
        <v>-220227667</v>
      </c>
      <c r="N582">
        <v>-62948291</v>
      </c>
      <c r="O582">
        <v>-189577774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250742735</v>
      </c>
      <c r="G583">
        <v>-13133433</v>
      </c>
      <c r="H583">
        <v>46309553</v>
      </c>
      <c r="I583">
        <v>298480328</v>
      </c>
      <c r="J583">
        <v>328393007</v>
      </c>
      <c r="K583">
        <v>256750832</v>
      </c>
      <c r="L583">
        <v>176182501</v>
      </c>
      <c r="M583">
        <v>180743224</v>
      </c>
      <c r="N583">
        <v>336487495</v>
      </c>
      <c r="O583">
        <v>293088172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6099590</v>
      </c>
      <c r="G584">
        <v>3318340727</v>
      </c>
      <c r="H584">
        <v>-76594446</v>
      </c>
      <c r="I584">
        <v>-576791036</v>
      </c>
      <c r="J584">
        <v>-187055705</v>
      </c>
      <c r="K584">
        <v>6604410</v>
      </c>
      <c r="L584">
        <v>-947086293</v>
      </c>
      <c r="M584">
        <v>-614565336</v>
      </c>
      <c r="N584">
        <v>65752194</v>
      </c>
      <c r="O584">
        <v>43386341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-297967327</v>
      </c>
      <c r="G585">
        <v>-204408812</v>
      </c>
      <c r="H585">
        <v>78139756</v>
      </c>
      <c r="I585">
        <v>85947144</v>
      </c>
      <c r="J585">
        <v>229659525</v>
      </c>
      <c r="K585">
        <v>-101681857</v>
      </c>
      <c r="L585">
        <v>269153273</v>
      </c>
      <c r="M585">
        <v>135114061</v>
      </c>
      <c r="N585">
        <v>106209601</v>
      </c>
      <c r="O585">
        <v>142405444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-622811106</v>
      </c>
      <c r="H586">
        <v>-333808654</v>
      </c>
      <c r="I586">
        <v>46832075</v>
      </c>
      <c r="J586">
        <v>347868168</v>
      </c>
      <c r="K586">
        <v>332712863</v>
      </c>
      <c r="L586">
        <v>187436213</v>
      </c>
      <c r="M586">
        <v>86313009</v>
      </c>
      <c r="N586">
        <v>110509985</v>
      </c>
      <c r="O586">
        <v>18730026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1965050000</v>
      </c>
      <c r="G587">
        <v>-642219000</v>
      </c>
      <c r="H587">
        <v>1672132000</v>
      </c>
      <c r="I587">
        <v>4660414000</v>
      </c>
      <c r="J587">
        <v>4101491000</v>
      </c>
      <c r="K587">
        <v>4130061000</v>
      </c>
      <c r="L587">
        <v>2245704000</v>
      </c>
      <c r="M587">
        <v>-152106000</v>
      </c>
      <c r="N587">
        <v>1004210000</v>
      </c>
      <c r="O587">
        <v>-1609377000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9187794</v>
      </c>
      <c r="G588">
        <v>-9189549</v>
      </c>
      <c r="H588">
        <v>12437963</v>
      </c>
      <c r="I588">
        <v>2381080</v>
      </c>
      <c r="J588">
        <v>35416440</v>
      </c>
      <c r="K588">
        <v>-4648380</v>
      </c>
      <c r="L588">
        <v>-20103884</v>
      </c>
      <c r="M588">
        <v>73802988</v>
      </c>
      <c r="N588">
        <v>-8943061</v>
      </c>
      <c r="O588">
        <v>25280213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9934611508</v>
      </c>
      <c r="G589">
        <v>6300507504</v>
      </c>
      <c r="H589">
        <v>7772860903</v>
      </c>
      <c r="I589">
        <v>6126787121</v>
      </c>
      <c r="J589">
        <v>5682361718</v>
      </c>
      <c r="K589">
        <v>3823106783</v>
      </c>
      <c r="L589">
        <v>3431324068</v>
      </c>
      <c r="M589">
        <v>4216200627</v>
      </c>
      <c r="N589">
        <v>3457807569</v>
      </c>
      <c r="O589">
        <v>2761562190</v>
      </c>
      <c r="P589">
        <v>41082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439042519</v>
      </c>
      <c r="G590">
        <v>-702532004</v>
      </c>
      <c r="H590">
        <v>-170723323</v>
      </c>
      <c r="I590">
        <v>109364754</v>
      </c>
      <c r="J590">
        <v>88245307</v>
      </c>
      <c r="K590">
        <v>-753144796</v>
      </c>
      <c r="L590">
        <v>51234558</v>
      </c>
      <c r="M590">
        <v>-469796861</v>
      </c>
      <c r="N590">
        <v>158926981</v>
      </c>
      <c r="O590">
        <v>-47665429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14412405</v>
      </c>
      <c r="G591">
        <v>-7670999</v>
      </c>
      <c r="H591">
        <v>18105939</v>
      </c>
      <c r="I591">
        <v>34992065</v>
      </c>
      <c r="J591">
        <v>37876421</v>
      </c>
      <c r="K591">
        <v>31812124</v>
      </c>
      <c r="L591">
        <v>20496269</v>
      </c>
      <c r="M591">
        <v>20117570</v>
      </c>
      <c r="N591">
        <v>14883488</v>
      </c>
      <c r="O591">
        <v>9244935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75321886</v>
      </c>
      <c r="G592">
        <v>156219973</v>
      </c>
      <c r="H592">
        <v>240749546</v>
      </c>
      <c r="I592">
        <v>39849786</v>
      </c>
      <c r="J592">
        <v>138229343</v>
      </c>
      <c r="K592">
        <v>8102192</v>
      </c>
      <c r="L592">
        <v>42339806</v>
      </c>
      <c r="M592">
        <v>171325035</v>
      </c>
      <c r="N592">
        <v>51400576</v>
      </c>
      <c r="O592">
        <v>53828016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650163603</v>
      </c>
      <c r="G593">
        <v>441089225</v>
      </c>
      <c r="H593">
        <v>836582784</v>
      </c>
      <c r="I593">
        <v>785190251</v>
      </c>
      <c r="J593">
        <v>646523551</v>
      </c>
      <c r="K593">
        <v>648071904</v>
      </c>
      <c r="L593">
        <v>635715537</v>
      </c>
      <c r="M593">
        <v>1029563053</v>
      </c>
      <c r="N593">
        <v>927330422</v>
      </c>
      <c r="O593">
        <v>834455178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12746041</v>
      </c>
      <c r="G594">
        <v>63818397</v>
      </c>
      <c r="H594">
        <v>44550247</v>
      </c>
      <c r="I594">
        <v>4870208</v>
      </c>
      <c r="J594">
        <v>43747628</v>
      </c>
      <c r="K594">
        <v>3869185</v>
      </c>
      <c r="L594">
        <v>-3545330</v>
      </c>
      <c r="M594">
        <v>-28906457</v>
      </c>
      <c r="N594">
        <v>153527277</v>
      </c>
      <c r="O594">
        <v>-98817322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82550293</v>
      </c>
      <c r="G595">
        <v>6300629</v>
      </c>
      <c r="H595">
        <v>12911006</v>
      </c>
      <c r="I595">
        <v>21305674</v>
      </c>
      <c r="J595">
        <v>7886506</v>
      </c>
      <c r="K595">
        <v>-41517905</v>
      </c>
      <c r="L595">
        <v>-36412331</v>
      </c>
      <c r="M595">
        <v>-4611055</v>
      </c>
      <c r="N595">
        <v>21179314</v>
      </c>
      <c r="O595">
        <v>13786984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69285042</v>
      </c>
      <c r="G596">
        <v>69079150</v>
      </c>
      <c r="H596">
        <v>199381021</v>
      </c>
      <c r="I596">
        <v>198784036</v>
      </c>
      <c r="J596">
        <v>209194373</v>
      </c>
      <c r="K596">
        <v>208250957</v>
      </c>
      <c r="L596">
        <v>204727252</v>
      </c>
      <c r="M596">
        <v>185178183</v>
      </c>
      <c r="N596">
        <v>154987691</v>
      </c>
      <c r="O596">
        <v>129349734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158961</v>
      </c>
      <c r="G597">
        <v>3412442</v>
      </c>
      <c r="H597">
        <v>1163851</v>
      </c>
      <c r="I597">
        <v>-2310472</v>
      </c>
      <c r="J597">
        <v>-9363607</v>
      </c>
      <c r="K597">
        <v>7883760</v>
      </c>
      <c r="L597">
        <v>1701495</v>
      </c>
      <c r="M597">
        <v>21647666</v>
      </c>
      <c r="N597">
        <v>40165829</v>
      </c>
      <c r="O597">
        <v>37134399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18052301</v>
      </c>
      <c r="G598">
        <v>-282047691</v>
      </c>
      <c r="H598">
        <v>702303374</v>
      </c>
      <c r="I598">
        <v>1057673937</v>
      </c>
      <c r="J598">
        <v>886691222</v>
      </c>
      <c r="K598">
        <v>403439550</v>
      </c>
      <c r="L598">
        <v>270342571</v>
      </c>
      <c r="M598">
        <v>226148708</v>
      </c>
      <c r="N598">
        <v>188431819</v>
      </c>
      <c r="O598">
        <v>86409209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-45080133.670000002</v>
      </c>
      <c r="L599">
        <v>-44920511.57</v>
      </c>
      <c r="M599">
        <v>-44932943.280000001</v>
      </c>
      <c r="N599">
        <v>-45027875.409999996</v>
      </c>
      <c r="O599">
        <v>-45618214.100000001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-357286611</v>
      </c>
      <c r="H600">
        <v>-499556959</v>
      </c>
      <c r="I600">
        <v>-385826247</v>
      </c>
      <c r="J600">
        <v>219157988</v>
      </c>
      <c r="K600">
        <v>13371145</v>
      </c>
      <c r="L600">
        <v>-39546044</v>
      </c>
      <c r="M600">
        <v>-23771491</v>
      </c>
      <c r="N600">
        <v>4095751</v>
      </c>
      <c r="O600">
        <v>19956674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969655729</v>
      </c>
      <c r="G601">
        <v>310868952</v>
      </c>
      <c r="H601">
        <v>302898676</v>
      </c>
      <c r="I601">
        <v>273063584</v>
      </c>
      <c r="J601">
        <v>95474198</v>
      </c>
      <c r="K601">
        <v>54805694</v>
      </c>
      <c r="L601">
        <v>3951004</v>
      </c>
      <c r="M601">
        <v>6076179</v>
      </c>
      <c r="N601">
        <v>7487392</v>
      </c>
      <c r="O601">
        <v>254524270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1286050623</v>
      </c>
      <c r="G602">
        <v>938452175</v>
      </c>
      <c r="H602">
        <v>1152433239</v>
      </c>
      <c r="I602">
        <v>2593610676</v>
      </c>
      <c r="J602">
        <v>2377536202</v>
      </c>
      <c r="K602">
        <v>1495720962</v>
      </c>
      <c r="L602">
        <v>1446658410</v>
      </c>
      <c r="M602">
        <v>1049710264</v>
      </c>
      <c r="N602">
        <v>760550669</v>
      </c>
      <c r="O602">
        <v>666711274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3201022259</v>
      </c>
      <c r="G603">
        <v>2473119264</v>
      </c>
      <c r="H603">
        <v>2372521590</v>
      </c>
      <c r="I603">
        <v>1825949591</v>
      </c>
      <c r="J603">
        <v>1478884325</v>
      </c>
      <c r="K603">
        <v>1239858024</v>
      </c>
      <c r="L603">
        <v>1180685000</v>
      </c>
      <c r="M603">
        <v>323489930</v>
      </c>
      <c r="N603">
        <v>337997678</v>
      </c>
      <c r="O603">
        <v>326539367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2945807271</v>
      </c>
      <c r="G604">
        <v>2655641806</v>
      </c>
      <c r="H604">
        <v>2102204313</v>
      </c>
      <c r="I604">
        <v>2200344516</v>
      </c>
      <c r="J604">
        <v>1961715924</v>
      </c>
      <c r="K604">
        <v>1670087490</v>
      </c>
      <c r="L604">
        <v>1808081555</v>
      </c>
      <c r="M604">
        <v>1480389312</v>
      </c>
      <c r="N604">
        <v>692551794</v>
      </c>
      <c r="O604">
        <v>526631575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-24094817</v>
      </c>
      <c r="G605">
        <v>-34686002</v>
      </c>
      <c r="H605">
        <v>102534511</v>
      </c>
      <c r="I605">
        <v>113414518</v>
      </c>
      <c r="J605">
        <v>79638833</v>
      </c>
      <c r="K605">
        <v>66089350</v>
      </c>
      <c r="L605">
        <v>49747281</v>
      </c>
      <c r="M605">
        <v>45353082</v>
      </c>
      <c r="N605">
        <v>53131745</v>
      </c>
      <c r="O605">
        <v>63971893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3469483846</v>
      </c>
      <c r="G606">
        <v>-1672528344</v>
      </c>
      <c r="H606">
        <v>-700397369</v>
      </c>
      <c r="I606">
        <v>-266887299</v>
      </c>
      <c r="J606">
        <v>-51320184</v>
      </c>
      <c r="K606">
        <v>-92197521</v>
      </c>
      <c r="L606">
        <v>-230445946</v>
      </c>
      <c r="M606">
        <v>-113198657</v>
      </c>
      <c r="N606">
        <v>-96698654</v>
      </c>
      <c r="O606">
        <v>-113155913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56531012</v>
      </c>
      <c r="G607">
        <v>-78023053</v>
      </c>
      <c r="H607">
        <v>573340146</v>
      </c>
      <c r="I607">
        <v>1011919361</v>
      </c>
      <c r="J607">
        <v>599767066</v>
      </c>
      <c r="K607">
        <v>209554743</v>
      </c>
      <c r="L607">
        <v>184531724</v>
      </c>
      <c r="M607">
        <v>106441348</v>
      </c>
      <c r="N607">
        <v>82997051</v>
      </c>
      <c r="O607">
        <v>50826172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-10018640.76</v>
      </c>
      <c r="L608">
        <v>-3768957.95</v>
      </c>
      <c r="M608">
        <v>-2573816.2200000002</v>
      </c>
      <c r="N608">
        <v>-7496355.2199999997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653792948</v>
      </c>
      <c r="G609">
        <v>523946705</v>
      </c>
      <c r="H609">
        <v>409811155</v>
      </c>
      <c r="I609">
        <v>347969032</v>
      </c>
      <c r="J609">
        <v>273302003</v>
      </c>
      <c r="K609">
        <v>-105281848</v>
      </c>
      <c r="L609">
        <v>-337568058</v>
      </c>
      <c r="M609">
        <v>-87644645</v>
      </c>
      <c r="N609">
        <v>-133963206</v>
      </c>
      <c r="O609">
        <v>21021065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1493934153</v>
      </c>
      <c r="G610">
        <v>263290380</v>
      </c>
      <c r="H610">
        <v>176844681</v>
      </c>
      <c r="I610">
        <v>470605276</v>
      </c>
      <c r="J610">
        <v>378215059</v>
      </c>
      <c r="K610">
        <v>117057690</v>
      </c>
      <c r="L610">
        <v>83533348</v>
      </c>
      <c r="M610">
        <v>87335860</v>
      </c>
      <c r="N610">
        <v>53121976</v>
      </c>
      <c r="O610">
        <v>-10748969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-7594171</v>
      </c>
      <c r="G611">
        <v>-50679657</v>
      </c>
      <c r="H611">
        <v>6006632</v>
      </c>
      <c r="I611">
        <v>-37581089</v>
      </c>
      <c r="J611">
        <v>-12478265</v>
      </c>
      <c r="K611">
        <v>-15267156</v>
      </c>
      <c r="L611">
        <v>-7106613</v>
      </c>
      <c r="M611">
        <v>2120236</v>
      </c>
      <c r="N611">
        <v>8406755</v>
      </c>
      <c r="O611">
        <v>48623778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346327065</v>
      </c>
      <c r="G612">
        <v>282680400</v>
      </c>
      <c r="H612">
        <v>294344891</v>
      </c>
      <c r="I612">
        <v>197482369</v>
      </c>
      <c r="J612">
        <v>173630040</v>
      </c>
      <c r="K612">
        <v>128775788</v>
      </c>
      <c r="L612">
        <v>121515905</v>
      </c>
      <c r="M612">
        <v>51023159</v>
      </c>
      <c r="N612">
        <v>20579092</v>
      </c>
      <c r="O612">
        <v>1015459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51251785</v>
      </c>
      <c r="G613">
        <v>370329</v>
      </c>
      <c r="H613">
        <v>1322202</v>
      </c>
      <c r="I613">
        <v>15583054</v>
      </c>
      <c r="J613">
        <v>9009623</v>
      </c>
      <c r="K613">
        <v>97655853</v>
      </c>
      <c r="L613">
        <v>-17131706</v>
      </c>
      <c r="M613">
        <v>7540218</v>
      </c>
      <c r="N613">
        <v>15146930</v>
      </c>
      <c r="O613">
        <v>2914042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-274455473</v>
      </c>
      <c r="G614">
        <v>-788325053</v>
      </c>
      <c r="H614">
        <v>44776670</v>
      </c>
      <c r="I614">
        <v>25175531</v>
      </c>
      <c r="J614">
        <v>378025706</v>
      </c>
      <c r="K614">
        <v>365159984</v>
      </c>
      <c r="L614">
        <v>28989480</v>
      </c>
      <c r="M614">
        <v>-13599585</v>
      </c>
      <c r="N614">
        <v>-4480294</v>
      </c>
      <c r="O614">
        <v>10147650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86527077</v>
      </c>
      <c r="G615">
        <v>61331976</v>
      </c>
      <c r="H615">
        <v>39239426</v>
      </c>
      <c r="I615">
        <v>-32645541</v>
      </c>
      <c r="J615">
        <v>-94348727</v>
      </c>
      <c r="K615">
        <v>11805008</v>
      </c>
      <c r="L615">
        <v>-91747626</v>
      </c>
      <c r="M615">
        <v>46357324</v>
      </c>
      <c r="N615">
        <v>-35992798</v>
      </c>
      <c r="O615">
        <v>74213894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669535632</v>
      </c>
      <c r="G616">
        <v>625093814</v>
      </c>
      <c r="H616">
        <v>674126589</v>
      </c>
      <c r="I616">
        <v>647614554</v>
      </c>
      <c r="J616">
        <v>800424134</v>
      </c>
      <c r="K616">
        <v>1000730281</v>
      </c>
      <c r="L616">
        <v>992761667</v>
      </c>
      <c r="M616">
        <v>909020004</v>
      </c>
      <c r="N616">
        <v>839589057</v>
      </c>
      <c r="O616">
        <v>801187691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92336057</v>
      </c>
      <c r="G617">
        <v>70233086</v>
      </c>
      <c r="H617">
        <v>35954806</v>
      </c>
      <c r="I617">
        <v>124536866</v>
      </c>
      <c r="J617">
        <v>165306974</v>
      </c>
      <c r="K617">
        <v>2044497967</v>
      </c>
      <c r="L617">
        <v>162132315</v>
      </c>
      <c r="M617">
        <v>214280729</v>
      </c>
      <c r="N617">
        <v>282283273</v>
      </c>
      <c r="O617">
        <v>270862166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-41390918</v>
      </c>
      <c r="G618">
        <v>-31064553</v>
      </c>
      <c r="H618">
        <v>-22992802</v>
      </c>
      <c r="I618">
        <v>-33933039</v>
      </c>
      <c r="J618">
        <v>-25113914</v>
      </c>
      <c r="K618">
        <v>-18245864</v>
      </c>
      <c r="L618">
        <v>-16468440</v>
      </c>
      <c r="M618">
        <v>-27437600</v>
      </c>
      <c r="N618">
        <v>-48562386</v>
      </c>
      <c r="O618">
        <v>-50038039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953544848</v>
      </c>
      <c r="G619">
        <v>1447601360</v>
      </c>
      <c r="H619">
        <v>1041502437</v>
      </c>
      <c r="I619">
        <v>551121827</v>
      </c>
      <c r="J619">
        <v>579835378</v>
      </c>
      <c r="K619">
        <v>203794151</v>
      </c>
      <c r="L619">
        <v>63043502</v>
      </c>
      <c r="M619">
        <v>635213719</v>
      </c>
      <c r="N619">
        <v>365324359</v>
      </c>
      <c r="O619">
        <v>167206427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54895384</v>
      </c>
      <c r="G620">
        <v>-41881541</v>
      </c>
      <c r="H620">
        <v>49828694</v>
      </c>
      <c r="I620">
        <v>70080941</v>
      </c>
      <c r="J620">
        <v>69725070</v>
      </c>
      <c r="K620">
        <v>106304692</v>
      </c>
      <c r="L620">
        <v>-174604085</v>
      </c>
      <c r="M620">
        <v>-140169817</v>
      </c>
      <c r="N620">
        <v>-12743660</v>
      </c>
      <c r="O620">
        <v>558793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29895888</v>
      </c>
      <c r="G621">
        <v>9786009</v>
      </c>
      <c r="H621">
        <v>24605199</v>
      </c>
      <c r="I621">
        <v>39083983</v>
      </c>
      <c r="J621">
        <v>31744087</v>
      </c>
      <c r="K621">
        <v>15725804</v>
      </c>
      <c r="L621">
        <v>237363506</v>
      </c>
      <c r="M621">
        <v>-181434011</v>
      </c>
      <c r="N621">
        <v>-67429641</v>
      </c>
      <c r="O621">
        <v>-45920453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-83881699</v>
      </c>
      <c r="H622">
        <v>297673494</v>
      </c>
      <c r="I622">
        <v>272005939</v>
      </c>
      <c r="J622">
        <v>243871857</v>
      </c>
      <c r="K622">
        <v>207606567</v>
      </c>
      <c r="L622">
        <v>236703400</v>
      </c>
      <c r="M622">
        <v>209221132</v>
      </c>
      <c r="N622">
        <v>303611069</v>
      </c>
      <c r="O622">
        <v>325442319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230506181</v>
      </c>
      <c r="G623">
        <v>258445644</v>
      </c>
      <c r="H623">
        <v>389356047</v>
      </c>
      <c r="I623">
        <v>306119965</v>
      </c>
      <c r="J623">
        <v>128735891</v>
      </c>
      <c r="K623">
        <v>440027427</v>
      </c>
      <c r="L623">
        <v>-866716374</v>
      </c>
      <c r="M623">
        <v>655414493</v>
      </c>
      <c r="N623">
        <v>302134671</v>
      </c>
      <c r="O623">
        <v>356587375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14529379</v>
      </c>
      <c r="G624">
        <v>11924093</v>
      </c>
      <c r="H624">
        <v>11028940</v>
      </c>
      <c r="I624">
        <v>15654099</v>
      </c>
      <c r="J624">
        <v>5346604</v>
      </c>
      <c r="K624">
        <v>-993017889</v>
      </c>
      <c r="L624">
        <v>-660181320</v>
      </c>
      <c r="M624">
        <v>-567693716</v>
      </c>
      <c r="N624">
        <v>-21408880</v>
      </c>
      <c r="O624">
        <v>-529475170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-1468311141</v>
      </c>
      <c r="G625">
        <v>-657387699</v>
      </c>
      <c r="H625">
        <v>-212105531</v>
      </c>
      <c r="I625">
        <v>-523302924</v>
      </c>
      <c r="J625">
        <v>-397073979</v>
      </c>
      <c r="K625">
        <v>254442809</v>
      </c>
      <c r="L625">
        <v>156646906</v>
      </c>
      <c r="M625">
        <v>190916246</v>
      </c>
      <c r="N625">
        <v>-176183103</v>
      </c>
      <c r="O625">
        <v>-290412738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404080286</v>
      </c>
      <c r="G626">
        <v>192593215</v>
      </c>
      <c r="H626">
        <v>142774358</v>
      </c>
      <c r="I626">
        <v>85969598</v>
      </c>
      <c r="J626">
        <v>45795146</v>
      </c>
      <c r="K626">
        <v>18501024</v>
      </c>
      <c r="L626">
        <v>25836976</v>
      </c>
      <c r="M626">
        <v>8162867</v>
      </c>
      <c r="N626">
        <v>15019395</v>
      </c>
      <c r="O626">
        <v>29776605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212536963</v>
      </c>
      <c r="G627">
        <v>57798282</v>
      </c>
      <c r="H627">
        <v>589177138</v>
      </c>
      <c r="I627">
        <v>112620496</v>
      </c>
      <c r="J627">
        <v>53520312</v>
      </c>
      <c r="K627">
        <v>1075338</v>
      </c>
      <c r="L627">
        <v>-14064433</v>
      </c>
      <c r="M627">
        <v>11651175</v>
      </c>
      <c r="N627">
        <v>-27858789</v>
      </c>
      <c r="O627">
        <v>32057874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842001111</v>
      </c>
      <c r="G628">
        <v>958090979</v>
      </c>
      <c r="H628">
        <v>904691397</v>
      </c>
      <c r="I628">
        <v>768875008</v>
      </c>
      <c r="J628">
        <v>501702792</v>
      </c>
      <c r="K628">
        <v>395385922</v>
      </c>
      <c r="L628">
        <v>383543459</v>
      </c>
      <c r="M628">
        <v>485591916</v>
      </c>
      <c r="N628">
        <v>609550994</v>
      </c>
      <c r="O628">
        <v>539595828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12869210</v>
      </c>
      <c r="G629">
        <v>10689235</v>
      </c>
      <c r="H629">
        <v>-1790692</v>
      </c>
      <c r="I629">
        <v>3398629</v>
      </c>
      <c r="J629">
        <v>93037593</v>
      </c>
      <c r="K629">
        <v>637366660</v>
      </c>
      <c r="L629">
        <v>65164695</v>
      </c>
      <c r="M629">
        <v>152582334</v>
      </c>
      <c r="N629">
        <v>4020268</v>
      </c>
      <c r="O629">
        <v>-1520306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203370872</v>
      </c>
      <c r="G630">
        <v>204528101</v>
      </c>
      <c r="H630">
        <v>77876872</v>
      </c>
      <c r="I630">
        <v>11321096</v>
      </c>
      <c r="J630">
        <v>17179303</v>
      </c>
      <c r="K630">
        <v>5927231</v>
      </c>
      <c r="L630">
        <v>5813345</v>
      </c>
      <c r="M630">
        <v>3937323</v>
      </c>
      <c r="N630">
        <v>7455952</v>
      </c>
      <c r="O630">
        <v>5938524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-45825182</v>
      </c>
      <c r="G631">
        <v>374141482</v>
      </c>
      <c r="H631">
        <v>497973554</v>
      </c>
      <c r="I631">
        <v>-7669488</v>
      </c>
      <c r="J631">
        <v>66365584</v>
      </c>
      <c r="K631">
        <v>-36265225</v>
      </c>
      <c r="L631">
        <v>-27206816</v>
      </c>
      <c r="M631">
        <v>3357227</v>
      </c>
      <c r="N631">
        <v>-8616718</v>
      </c>
      <c r="O631">
        <v>-3416342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-2644148768</v>
      </c>
      <c r="G632">
        <v>-2884173159</v>
      </c>
      <c r="H632">
        <v>-269717052</v>
      </c>
      <c r="I632">
        <v>132508922</v>
      </c>
      <c r="J632">
        <v>368955</v>
      </c>
      <c r="K632">
        <v>-6243413</v>
      </c>
      <c r="L632">
        <v>-8778401</v>
      </c>
      <c r="M632">
        <v>8059963</v>
      </c>
      <c r="N632">
        <v>21588628</v>
      </c>
      <c r="O632">
        <v>-8061560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-236092476</v>
      </c>
      <c r="G633">
        <v>-359561733</v>
      </c>
      <c r="H633">
        <v>-278894068</v>
      </c>
      <c r="I633">
        <v>124466141</v>
      </c>
      <c r="J633">
        <v>83785224</v>
      </c>
      <c r="K633">
        <v>126174000</v>
      </c>
      <c r="L633">
        <v>-32268230</v>
      </c>
      <c r="M633">
        <v>-35688932</v>
      </c>
      <c r="N633">
        <v>-26734130</v>
      </c>
      <c r="O633">
        <v>-12317149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48929477</v>
      </c>
      <c r="G634">
        <v>34948038</v>
      </c>
      <c r="H634">
        <v>68998781</v>
      </c>
      <c r="I634">
        <v>58337447</v>
      </c>
      <c r="J634">
        <v>50905636</v>
      </c>
      <c r="K634">
        <v>43445528</v>
      </c>
      <c r="L634">
        <v>31002799</v>
      </c>
      <c r="M634">
        <v>36612231</v>
      </c>
      <c r="N634">
        <v>35094878</v>
      </c>
      <c r="O634">
        <v>6109820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301327883</v>
      </c>
      <c r="G635">
        <v>153753828</v>
      </c>
      <c r="H635">
        <v>286391282</v>
      </c>
      <c r="I635">
        <v>426684815</v>
      </c>
      <c r="J635">
        <v>312363568</v>
      </c>
      <c r="K635">
        <v>292235725</v>
      </c>
      <c r="L635">
        <v>66965270</v>
      </c>
      <c r="M635">
        <v>102763670</v>
      </c>
      <c r="N635">
        <v>130350894</v>
      </c>
      <c r="O635">
        <v>116048567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751325877</v>
      </c>
      <c r="G636">
        <v>757613200</v>
      </c>
      <c r="H636">
        <v>589279780</v>
      </c>
      <c r="I636">
        <v>798249713</v>
      </c>
      <c r="J636">
        <v>504536578</v>
      </c>
      <c r="K636">
        <v>332228346</v>
      </c>
      <c r="L636">
        <v>74153998</v>
      </c>
      <c r="M636">
        <v>40483902</v>
      </c>
      <c r="N636">
        <v>135897115</v>
      </c>
      <c r="O636">
        <v>-195469104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131979015</v>
      </c>
      <c r="G637">
        <v>79435270</v>
      </c>
      <c r="H637">
        <v>202869167</v>
      </c>
      <c r="I637">
        <v>1252115198</v>
      </c>
      <c r="J637">
        <v>109547883</v>
      </c>
      <c r="K637">
        <v>54569171</v>
      </c>
      <c r="L637">
        <v>76296915</v>
      </c>
      <c r="M637">
        <v>87239259</v>
      </c>
      <c r="N637">
        <v>88163191</v>
      </c>
      <c r="O637">
        <v>48183019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1872069372</v>
      </c>
      <c r="G638">
        <v>2526195745</v>
      </c>
      <c r="H638">
        <v>1047847991</v>
      </c>
      <c r="I638">
        <v>698601791</v>
      </c>
      <c r="J638">
        <v>1232849511</v>
      </c>
      <c r="K638">
        <v>831680829</v>
      </c>
      <c r="L638">
        <v>1470236780</v>
      </c>
      <c r="M638">
        <v>686749855</v>
      </c>
      <c r="N638">
        <v>647732629</v>
      </c>
      <c r="O638">
        <v>677222666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1846148566</v>
      </c>
      <c r="G639">
        <v>928169037</v>
      </c>
      <c r="H639">
        <v>899322495</v>
      </c>
      <c r="I639">
        <v>1287406033</v>
      </c>
      <c r="J639">
        <v>51984784</v>
      </c>
      <c r="K639">
        <v>-30869912</v>
      </c>
      <c r="L639">
        <v>-442869403</v>
      </c>
      <c r="M639">
        <v>20628513</v>
      </c>
      <c r="N639">
        <v>18996383</v>
      </c>
      <c r="O639">
        <v>24973301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4701674417</v>
      </c>
      <c r="G640">
        <v>3102151995</v>
      </c>
      <c r="H640">
        <v>4926772146</v>
      </c>
      <c r="I640">
        <v>6363981088</v>
      </c>
      <c r="J640">
        <v>4816418684</v>
      </c>
      <c r="K640">
        <v>4466911568</v>
      </c>
      <c r="L640">
        <v>3634079194</v>
      </c>
      <c r="M640">
        <v>3464615106</v>
      </c>
      <c r="N640">
        <v>2569951273</v>
      </c>
      <c r="O640">
        <v>2370451363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519296004</v>
      </c>
      <c r="G641">
        <v>407562059</v>
      </c>
      <c r="H641">
        <v>356353937</v>
      </c>
      <c r="I641">
        <v>387915565</v>
      </c>
      <c r="J641">
        <v>402271854</v>
      </c>
      <c r="K641">
        <v>341285723</v>
      </c>
      <c r="L641">
        <v>291674086</v>
      </c>
      <c r="M641">
        <v>398424812</v>
      </c>
      <c r="N641">
        <v>286234194</v>
      </c>
      <c r="O641">
        <v>294289929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16852300</v>
      </c>
      <c r="G642">
        <v>290010614</v>
      </c>
      <c r="H642">
        <v>298930913</v>
      </c>
      <c r="I642">
        <v>291774461</v>
      </c>
      <c r="J642">
        <v>473504816</v>
      </c>
      <c r="K642">
        <v>350338025</v>
      </c>
      <c r="L642">
        <v>301172109</v>
      </c>
      <c r="M642">
        <v>288791945</v>
      </c>
      <c r="N642">
        <v>312334517</v>
      </c>
      <c r="O642">
        <v>352294035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-887831096</v>
      </c>
      <c r="G643">
        <v>-6538010</v>
      </c>
      <c r="H643">
        <v>-90869493</v>
      </c>
      <c r="I643">
        <v>-1618554</v>
      </c>
      <c r="J643">
        <v>-587272821</v>
      </c>
      <c r="K643">
        <v>-4594446</v>
      </c>
      <c r="L643">
        <v>336306233</v>
      </c>
      <c r="M643">
        <v>-212467203</v>
      </c>
      <c r="N643">
        <v>-108360617</v>
      </c>
      <c r="O643">
        <v>-491747259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2041334749</v>
      </c>
      <c r="G644">
        <v>2259038080</v>
      </c>
      <c r="H644">
        <v>530498906</v>
      </c>
      <c r="I644">
        <v>-169388349</v>
      </c>
      <c r="J644">
        <v>281717884</v>
      </c>
      <c r="K644">
        <v>33394534</v>
      </c>
      <c r="L644">
        <v>-9518259</v>
      </c>
      <c r="M644">
        <v>11518259</v>
      </c>
      <c r="N644">
        <v>34757172</v>
      </c>
      <c r="O644">
        <v>74268666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2150658748</v>
      </c>
      <c r="G645">
        <v>53230905</v>
      </c>
      <c r="H645">
        <v>-7030373</v>
      </c>
      <c r="I645">
        <v>-1266300</v>
      </c>
      <c r="J645">
        <v>68217742</v>
      </c>
      <c r="K645">
        <v>23054990</v>
      </c>
      <c r="L645">
        <v>-21299157</v>
      </c>
      <c r="M645">
        <v>10249642</v>
      </c>
      <c r="N645">
        <v>16857202</v>
      </c>
      <c r="O645">
        <v>-36952675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-10689837</v>
      </c>
      <c r="I646">
        <v>-2295259</v>
      </c>
      <c r="J646">
        <v>47579707</v>
      </c>
      <c r="K646">
        <v>-53057611</v>
      </c>
      <c r="L646">
        <v>-52306418</v>
      </c>
      <c r="M646">
        <v>-61838744</v>
      </c>
      <c r="N646">
        <v>-36759348</v>
      </c>
      <c r="O646">
        <v>-90325228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376375382</v>
      </c>
      <c r="G647">
        <v>446904828</v>
      </c>
      <c r="H647">
        <v>433303027</v>
      </c>
      <c r="I647">
        <v>286459405</v>
      </c>
      <c r="J647">
        <v>353751636</v>
      </c>
      <c r="K647">
        <v>310373196</v>
      </c>
      <c r="L647">
        <v>202269483</v>
      </c>
      <c r="M647">
        <v>731088809</v>
      </c>
      <c r="N647">
        <v>400274593</v>
      </c>
      <c r="O647">
        <v>613056465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8931224</v>
      </c>
      <c r="G648">
        <v>-1079390</v>
      </c>
      <c r="H648">
        <v>24966517</v>
      </c>
      <c r="I648">
        <v>20886629</v>
      </c>
      <c r="J648">
        <v>-15644377</v>
      </c>
      <c r="K648">
        <v>-26207489</v>
      </c>
      <c r="L648">
        <v>-32711532</v>
      </c>
      <c r="M648">
        <v>1487361</v>
      </c>
      <c r="N648">
        <v>15196702</v>
      </c>
      <c r="O648">
        <v>15519898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451831117</v>
      </c>
      <c r="G649">
        <v>398040368</v>
      </c>
      <c r="H649">
        <v>381635135</v>
      </c>
      <c r="I649">
        <v>353617591</v>
      </c>
      <c r="J649">
        <v>320944929</v>
      </c>
      <c r="K649">
        <v>255499117</v>
      </c>
      <c r="L649">
        <v>221963949</v>
      </c>
      <c r="M649">
        <v>155225910</v>
      </c>
      <c r="N649">
        <v>139166954</v>
      </c>
      <c r="O649">
        <v>149341244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17570000</v>
      </c>
      <c r="G650">
        <v>458687000</v>
      </c>
      <c r="H650">
        <v>275844000</v>
      </c>
      <c r="I650">
        <v>43617000</v>
      </c>
      <c r="J650">
        <v>121194000</v>
      </c>
      <c r="K650">
        <v>214980907</v>
      </c>
      <c r="L650">
        <v>142575157</v>
      </c>
      <c r="M650">
        <v>3551045</v>
      </c>
      <c r="N650">
        <v>-55283633</v>
      </c>
      <c r="O650">
        <v>-20329359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L651">
        <v>-3481760.48</v>
      </c>
      <c r="M651">
        <v>-3530261.56</v>
      </c>
      <c r="N651">
        <v>-9471304.2799999993</v>
      </c>
      <c r="O651">
        <v>-5402545.4400000004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3957156</v>
      </c>
      <c r="G652">
        <v>9431964</v>
      </c>
      <c r="H652">
        <v>13861525</v>
      </c>
      <c r="I652">
        <v>5849190</v>
      </c>
      <c r="J652">
        <v>7141141</v>
      </c>
      <c r="K652">
        <v>-4467881</v>
      </c>
      <c r="L652">
        <v>44220537</v>
      </c>
      <c r="M652">
        <v>-1801744</v>
      </c>
      <c r="N652">
        <v>-975728</v>
      </c>
      <c r="O652">
        <v>489772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96769097</v>
      </c>
      <c r="G653">
        <v>300876130</v>
      </c>
      <c r="H653">
        <v>873234088</v>
      </c>
      <c r="I653">
        <v>871912215</v>
      </c>
      <c r="J653">
        <v>711720106</v>
      </c>
      <c r="K653">
        <v>505665590</v>
      </c>
      <c r="L653">
        <v>463842967</v>
      </c>
      <c r="M653">
        <v>339081006</v>
      </c>
      <c r="N653">
        <v>332396600</v>
      </c>
      <c r="O653">
        <v>328497037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2858283010</v>
      </c>
      <c r="G654">
        <v>1963118832</v>
      </c>
      <c r="H654">
        <v>1891342832</v>
      </c>
      <c r="I654">
        <v>1773391969</v>
      </c>
      <c r="J654">
        <v>1606528931</v>
      </c>
      <c r="K654">
        <v>783737403</v>
      </c>
      <c r="L654">
        <v>448252766</v>
      </c>
      <c r="M654">
        <v>719668511</v>
      </c>
      <c r="N654">
        <v>482809732</v>
      </c>
      <c r="O654">
        <v>226401079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-36494332</v>
      </c>
      <c r="G655">
        <v>-105643923</v>
      </c>
      <c r="H655">
        <v>-57411993</v>
      </c>
      <c r="I655">
        <v>100231931</v>
      </c>
      <c r="J655">
        <v>29630857</v>
      </c>
      <c r="K655">
        <v>41110157</v>
      </c>
      <c r="L655">
        <v>51191103</v>
      </c>
      <c r="M655">
        <v>21567701</v>
      </c>
      <c r="N655">
        <v>-44120834</v>
      </c>
      <c r="O655">
        <v>6468784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681815902</v>
      </c>
      <c r="G656">
        <v>669459545</v>
      </c>
      <c r="H656">
        <v>642050919</v>
      </c>
      <c r="I656">
        <v>634268663</v>
      </c>
      <c r="J656">
        <v>522399436</v>
      </c>
      <c r="K656">
        <v>407888357</v>
      </c>
      <c r="L656">
        <v>345205616</v>
      </c>
      <c r="M656">
        <v>253655939</v>
      </c>
      <c r="N656">
        <v>292438722</v>
      </c>
      <c r="O656">
        <v>236876308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7519747</v>
      </c>
      <c r="G657">
        <v>-429323005</v>
      </c>
      <c r="H657">
        <v>10441879</v>
      </c>
      <c r="I657">
        <v>3702930</v>
      </c>
      <c r="J657">
        <v>475974869</v>
      </c>
      <c r="K657">
        <v>-306916269</v>
      </c>
      <c r="L657">
        <v>3399638</v>
      </c>
      <c r="M657">
        <v>7474979</v>
      </c>
      <c r="N657">
        <v>7615239</v>
      </c>
      <c r="O657">
        <v>7551790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-180770294</v>
      </c>
      <c r="G658">
        <v>-184042468</v>
      </c>
      <c r="H658">
        <v>41432218</v>
      </c>
      <c r="I658">
        <v>118341449</v>
      </c>
      <c r="J658">
        <v>-40486602</v>
      </c>
      <c r="K658">
        <v>8776389</v>
      </c>
      <c r="L658">
        <v>4942132</v>
      </c>
      <c r="M658">
        <v>-10254473</v>
      </c>
      <c r="N658">
        <v>-20591753</v>
      </c>
      <c r="O658">
        <v>90341884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1454135522</v>
      </c>
      <c r="G659">
        <v>1161103841</v>
      </c>
      <c r="H659">
        <v>620294834</v>
      </c>
      <c r="I659">
        <v>312689970</v>
      </c>
      <c r="J659">
        <v>-39238255</v>
      </c>
      <c r="K659">
        <v>-17373327</v>
      </c>
      <c r="L659">
        <v>-114322711</v>
      </c>
      <c r="M659">
        <v>-86624986</v>
      </c>
      <c r="N659">
        <v>-59382363</v>
      </c>
      <c r="O659">
        <v>-76554909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510444203</v>
      </c>
      <c r="G660">
        <v>588452457</v>
      </c>
      <c r="H660">
        <v>484123402</v>
      </c>
      <c r="I660">
        <v>444750693</v>
      </c>
      <c r="J660">
        <v>344669269</v>
      </c>
      <c r="K660">
        <v>303234038</v>
      </c>
      <c r="L660">
        <v>291849920</v>
      </c>
      <c r="M660">
        <v>483875570</v>
      </c>
      <c r="N660">
        <v>388246863</v>
      </c>
      <c r="O660">
        <v>266970690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620091072</v>
      </c>
      <c r="G661">
        <v>395759683</v>
      </c>
      <c r="H661">
        <v>399668910</v>
      </c>
      <c r="I661">
        <v>275393145</v>
      </c>
      <c r="J661">
        <v>181978450</v>
      </c>
      <c r="K661">
        <v>123765038</v>
      </c>
      <c r="L661">
        <v>122445340</v>
      </c>
      <c r="M661">
        <v>90912083</v>
      </c>
      <c r="N661">
        <v>82726150</v>
      </c>
      <c r="O661">
        <v>75786965</v>
      </c>
      <c r="P661">
        <v>38182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449129127</v>
      </c>
      <c r="G662">
        <v>363283328</v>
      </c>
      <c r="H662">
        <v>22797690</v>
      </c>
      <c r="I662">
        <v>25155321</v>
      </c>
      <c r="J662">
        <v>35502095</v>
      </c>
      <c r="K662">
        <v>-1945106</v>
      </c>
      <c r="L662">
        <v>-290191</v>
      </c>
      <c r="M662">
        <v>4618231</v>
      </c>
      <c r="N662">
        <v>10192722</v>
      </c>
      <c r="O662">
        <v>9541097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608531583</v>
      </c>
      <c r="G663">
        <v>268409411</v>
      </c>
      <c r="H663">
        <v>203481460</v>
      </c>
      <c r="I663">
        <v>209031493</v>
      </c>
      <c r="J663">
        <v>162833410</v>
      </c>
      <c r="K663">
        <v>108706462</v>
      </c>
      <c r="L663">
        <v>121074862</v>
      </c>
      <c r="M663">
        <v>118669272</v>
      </c>
      <c r="N663">
        <v>114489099</v>
      </c>
      <c r="O663">
        <v>225066914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3917839</v>
      </c>
      <c r="G664">
        <v>-1734387</v>
      </c>
      <c r="H664">
        <v>494776</v>
      </c>
      <c r="I664">
        <v>640713</v>
      </c>
      <c r="J664">
        <v>2682967</v>
      </c>
      <c r="K664">
        <v>3631656</v>
      </c>
      <c r="L664">
        <v>24428755</v>
      </c>
      <c r="M664">
        <v>13056262</v>
      </c>
      <c r="N664">
        <v>-2666651</v>
      </c>
      <c r="O664">
        <v>41494619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1392577</v>
      </c>
      <c r="G665">
        <v>2713869</v>
      </c>
      <c r="H665">
        <v>-28039453</v>
      </c>
      <c r="I665">
        <v>-18357042</v>
      </c>
      <c r="J665">
        <v>4206602</v>
      </c>
      <c r="K665">
        <v>-44036734</v>
      </c>
      <c r="L665">
        <v>-30568240</v>
      </c>
      <c r="M665">
        <v>13507644</v>
      </c>
      <c r="N665">
        <v>-28394660</v>
      </c>
      <c r="O665">
        <v>-16449605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990540</v>
      </c>
      <c r="G666">
        <v>1980101</v>
      </c>
      <c r="H666">
        <v>113191784</v>
      </c>
      <c r="I666">
        <v>-7195378</v>
      </c>
      <c r="J666">
        <v>88317100</v>
      </c>
      <c r="K666">
        <v>-19150527</v>
      </c>
      <c r="L666">
        <v>-29458952</v>
      </c>
      <c r="M666">
        <v>-35873957</v>
      </c>
      <c r="N666">
        <v>-19901054</v>
      </c>
      <c r="O666">
        <v>-12114108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5696791</v>
      </c>
      <c r="G667">
        <v>3971486</v>
      </c>
      <c r="H667">
        <v>3256047</v>
      </c>
      <c r="I667">
        <v>3518095</v>
      </c>
      <c r="J667">
        <v>4538582</v>
      </c>
      <c r="K667">
        <v>2171444</v>
      </c>
      <c r="L667">
        <v>6567045</v>
      </c>
      <c r="M667">
        <v>757845</v>
      </c>
      <c r="N667">
        <v>-152295645</v>
      </c>
      <c r="O667">
        <v>-268274866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25122455</v>
      </c>
      <c r="G668">
        <v>220625682</v>
      </c>
      <c r="H668">
        <v>16146089</v>
      </c>
      <c r="I668">
        <v>85128899</v>
      </c>
      <c r="J668">
        <v>35694658</v>
      </c>
      <c r="K668">
        <v>40907234</v>
      </c>
      <c r="L668">
        <v>23703612</v>
      </c>
      <c r="M668">
        <v>19499288</v>
      </c>
      <c r="N668">
        <v>-131631918</v>
      </c>
      <c r="O668">
        <v>111079417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-110731696</v>
      </c>
      <c r="G669">
        <v>64842642</v>
      </c>
      <c r="H669">
        <v>173805818</v>
      </c>
      <c r="I669">
        <v>225978885</v>
      </c>
      <c r="J669">
        <v>103593685</v>
      </c>
      <c r="K669">
        <v>45070499</v>
      </c>
      <c r="L669">
        <v>1155182</v>
      </c>
      <c r="M669">
        <v>1871235</v>
      </c>
      <c r="N669">
        <v>1017493</v>
      </c>
      <c r="O669">
        <v>-69492412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85898081</v>
      </c>
      <c r="G670">
        <v>71200014</v>
      </c>
      <c r="H670">
        <v>71518750</v>
      </c>
      <c r="I670">
        <v>70457567</v>
      </c>
      <c r="J670">
        <v>53752846</v>
      </c>
      <c r="K670">
        <v>43790671</v>
      </c>
      <c r="L670">
        <v>35703175</v>
      </c>
      <c r="M670">
        <v>49452250</v>
      </c>
      <c r="N670">
        <v>69388850</v>
      </c>
      <c r="O670">
        <v>89120952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58099456</v>
      </c>
      <c r="G671">
        <v>-70101133</v>
      </c>
      <c r="H671">
        <v>27426982</v>
      </c>
      <c r="I671">
        <v>11026337</v>
      </c>
      <c r="J671">
        <v>7708339</v>
      </c>
      <c r="K671">
        <v>6874625</v>
      </c>
      <c r="L671">
        <v>6661778</v>
      </c>
      <c r="M671">
        <v>1957485</v>
      </c>
      <c r="N671">
        <v>1734239</v>
      </c>
      <c r="O671">
        <v>1368051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3334794</v>
      </c>
      <c r="G672">
        <v>23504780</v>
      </c>
      <c r="H672">
        <v>47333693</v>
      </c>
      <c r="I672">
        <v>81228282</v>
      </c>
      <c r="J672">
        <v>51190675</v>
      </c>
      <c r="K672">
        <v>79115047</v>
      </c>
      <c r="L672">
        <v>112903618</v>
      </c>
      <c r="M672">
        <v>93916282</v>
      </c>
      <c r="N672">
        <v>131034589</v>
      </c>
      <c r="O672">
        <v>66605911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61072153</v>
      </c>
      <c r="G673">
        <v>47014154</v>
      </c>
      <c r="H673">
        <v>53797177</v>
      </c>
      <c r="I673">
        <v>76701678</v>
      </c>
      <c r="J673">
        <v>69014378</v>
      </c>
      <c r="K673">
        <v>67339351</v>
      </c>
      <c r="L673">
        <v>98017891</v>
      </c>
      <c r="M673">
        <v>97872477</v>
      </c>
      <c r="N673">
        <v>97954654</v>
      </c>
      <c r="O673">
        <v>93789923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502485769</v>
      </c>
      <c r="G674">
        <v>91882390</v>
      </c>
      <c r="H674">
        <v>1000598480</v>
      </c>
      <c r="I674">
        <v>650833961</v>
      </c>
      <c r="J674">
        <v>117276587</v>
      </c>
      <c r="K674">
        <v>-71201868</v>
      </c>
      <c r="L674">
        <v>-70256511</v>
      </c>
      <c r="M674">
        <v>-30701610</v>
      </c>
      <c r="N674">
        <v>42644923</v>
      </c>
      <c r="O674">
        <v>-58336167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6102915</v>
      </c>
      <c r="G675">
        <v>-148976714</v>
      </c>
      <c r="H675">
        <v>130843542</v>
      </c>
      <c r="I675">
        <v>80600120</v>
      </c>
      <c r="J675">
        <v>-262832535</v>
      </c>
      <c r="K675">
        <v>-167190659</v>
      </c>
      <c r="L675">
        <v>47704806</v>
      </c>
      <c r="M675">
        <v>80323363</v>
      </c>
      <c r="N675">
        <v>327326564</v>
      </c>
      <c r="O675">
        <v>144948505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1000396389</v>
      </c>
      <c r="G676">
        <v>501818992</v>
      </c>
      <c r="H676">
        <v>639197076</v>
      </c>
      <c r="I676">
        <v>462759995</v>
      </c>
      <c r="J676">
        <v>243362027</v>
      </c>
      <c r="K676">
        <v>149097945</v>
      </c>
      <c r="L676">
        <v>70797598</v>
      </c>
      <c r="M676">
        <v>-139910171</v>
      </c>
      <c r="N676">
        <v>34599807</v>
      </c>
      <c r="O676">
        <v>317397557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8567679</v>
      </c>
      <c r="G677">
        <v>166590116</v>
      </c>
      <c r="H677">
        <v>234704955</v>
      </c>
      <c r="I677">
        <v>163742776</v>
      </c>
      <c r="J677">
        <v>16851324</v>
      </c>
      <c r="K677">
        <v>110896603</v>
      </c>
      <c r="L677">
        <v>278727576</v>
      </c>
      <c r="M677">
        <v>424323614</v>
      </c>
      <c r="N677">
        <v>306147158</v>
      </c>
      <c r="O677">
        <v>286532061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-532019066</v>
      </c>
      <c r="G678">
        <v>91018475</v>
      </c>
      <c r="H678">
        <v>539850363</v>
      </c>
      <c r="I678">
        <v>730980526</v>
      </c>
      <c r="J678">
        <v>13273724</v>
      </c>
      <c r="K678">
        <v>20380633</v>
      </c>
      <c r="L678">
        <v>23167989</v>
      </c>
      <c r="M678">
        <v>16437208</v>
      </c>
      <c r="N678">
        <v>12105164</v>
      </c>
      <c r="O678">
        <v>7053347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3430047538</v>
      </c>
      <c r="G679">
        <v>1886912100</v>
      </c>
      <c r="H679">
        <v>2646818274</v>
      </c>
      <c r="I679">
        <v>3948284735</v>
      </c>
      <c r="J679">
        <v>1375237322</v>
      </c>
      <c r="K679">
        <v>275952167</v>
      </c>
      <c r="L679">
        <v>-244870049</v>
      </c>
      <c r="M679">
        <v>135595009</v>
      </c>
      <c r="N679">
        <v>-174657446</v>
      </c>
      <c r="O679">
        <v>-770376054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206624035</v>
      </c>
      <c r="G680">
        <v>454433975</v>
      </c>
      <c r="H680">
        <v>69279107</v>
      </c>
      <c r="I680">
        <v>216894824</v>
      </c>
      <c r="J680">
        <v>246023936</v>
      </c>
      <c r="K680">
        <v>332050988</v>
      </c>
      <c r="L680">
        <v>229593921</v>
      </c>
      <c r="M680">
        <v>319042744</v>
      </c>
      <c r="N680">
        <v>221881894</v>
      </c>
      <c r="O680">
        <v>157748586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137448128</v>
      </c>
      <c r="G681">
        <v>152284351</v>
      </c>
      <c r="H681">
        <v>21615795</v>
      </c>
      <c r="I681">
        <v>65028354</v>
      </c>
      <c r="J681">
        <v>6019774</v>
      </c>
      <c r="K681">
        <v>64256435</v>
      </c>
      <c r="L681">
        <v>5860123</v>
      </c>
      <c r="M681">
        <v>29038487</v>
      </c>
      <c r="N681">
        <v>47432614</v>
      </c>
      <c r="O681">
        <v>59492051</v>
      </c>
      <c r="P681">
        <v>74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25092418</v>
      </c>
      <c r="G682">
        <v>33994064</v>
      </c>
      <c r="H682">
        <v>170557395</v>
      </c>
      <c r="I682">
        <v>164307413</v>
      </c>
      <c r="J682">
        <v>122440035</v>
      </c>
      <c r="K682">
        <v>49038427</v>
      </c>
      <c r="L682">
        <v>134643555</v>
      </c>
      <c r="M682">
        <v>236193125</v>
      </c>
      <c r="N682">
        <v>190315175</v>
      </c>
      <c r="O682">
        <v>212879579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647468650</v>
      </c>
      <c r="G683">
        <v>271558997</v>
      </c>
      <c r="H683">
        <v>263765564</v>
      </c>
      <c r="I683">
        <v>73644043</v>
      </c>
      <c r="J683">
        <v>1208942635</v>
      </c>
      <c r="K683">
        <v>430430925</v>
      </c>
      <c r="L683">
        <v>406138919</v>
      </c>
      <c r="M683">
        <v>441130730</v>
      </c>
      <c r="N683">
        <v>296406115</v>
      </c>
      <c r="O683">
        <v>272766558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83676272</v>
      </c>
      <c r="G684">
        <v>230209742</v>
      </c>
      <c r="H684">
        <v>101644485</v>
      </c>
      <c r="I684">
        <v>144023177</v>
      </c>
      <c r="J684">
        <v>43569306</v>
      </c>
      <c r="K684">
        <v>21597861</v>
      </c>
      <c r="L684">
        <v>748478</v>
      </c>
      <c r="M684">
        <v>-78729565</v>
      </c>
      <c r="N684">
        <v>-51207254</v>
      </c>
      <c r="O684">
        <v>-96679809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263465364</v>
      </c>
      <c r="G685">
        <v>287986370</v>
      </c>
      <c r="H685">
        <v>255543701</v>
      </c>
      <c r="I685">
        <v>306312166</v>
      </c>
      <c r="J685">
        <v>308758782</v>
      </c>
      <c r="K685">
        <v>276961646</v>
      </c>
      <c r="L685">
        <v>227211716</v>
      </c>
      <c r="M685">
        <v>250268451</v>
      </c>
      <c r="N685">
        <v>322361309</v>
      </c>
      <c r="O685">
        <v>158449434</v>
      </c>
      <c r="P685">
        <v>183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-27183167</v>
      </c>
      <c r="G686">
        <v>-66643975</v>
      </c>
      <c r="H686">
        <v>25073548</v>
      </c>
      <c r="I686">
        <v>110724761</v>
      </c>
      <c r="J686">
        <v>61935591</v>
      </c>
      <c r="K686">
        <v>27412525</v>
      </c>
      <c r="L686">
        <v>50792935</v>
      </c>
      <c r="M686">
        <v>68089379</v>
      </c>
      <c r="N686">
        <v>59906860</v>
      </c>
      <c r="O686">
        <v>74601044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125494207</v>
      </c>
      <c r="G687">
        <v>12229143</v>
      </c>
      <c r="H687">
        <v>212049267</v>
      </c>
      <c r="I687">
        <v>84679339</v>
      </c>
      <c r="J687">
        <v>-98743534</v>
      </c>
      <c r="K687">
        <v>-25231997</v>
      </c>
      <c r="L687">
        <v>-328729774</v>
      </c>
      <c r="M687">
        <v>5354310</v>
      </c>
      <c r="N687">
        <v>45799914</v>
      </c>
      <c r="O687">
        <v>-59348351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24956854</v>
      </c>
      <c r="G688">
        <v>-106988344</v>
      </c>
      <c r="H688">
        <v>8913400</v>
      </c>
      <c r="I688">
        <v>210174342</v>
      </c>
      <c r="J688">
        <v>100648431</v>
      </c>
      <c r="K688">
        <v>-46625873</v>
      </c>
      <c r="L688">
        <v>-12275233</v>
      </c>
      <c r="M688">
        <v>-7033283</v>
      </c>
      <c r="N688">
        <v>953833</v>
      </c>
      <c r="O688">
        <v>922430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94331831</v>
      </c>
      <c r="G689">
        <v>191696494</v>
      </c>
      <c r="H689">
        <v>180036004</v>
      </c>
      <c r="I689">
        <v>29149173</v>
      </c>
      <c r="J689">
        <v>-79099772</v>
      </c>
      <c r="K689">
        <v>36314759</v>
      </c>
      <c r="L689">
        <v>74027061</v>
      </c>
      <c r="M689">
        <v>122630779</v>
      </c>
      <c r="N689">
        <v>132421208</v>
      </c>
      <c r="O689">
        <v>113978878</v>
      </c>
      <c r="P689">
        <v>99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1865173300</v>
      </c>
      <c r="G690">
        <v>2226568484</v>
      </c>
      <c r="H690">
        <v>3084283275</v>
      </c>
      <c r="I690">
        <v>2632487914</v>
      </c>
      <c r="J690">
        <v>2431223516</v>
      </c>
      <c r="K690">
        <v>4841099577</v>
      </c>
      <c r="L690">
        <v>5039027133</v>
      </c>
      <c r="M690">
        <v>5116423322</v>
      </c>
      <c r="N690">
        <v>4934674742</v>
      </c>
      <c r="O690">
        <v>2347545509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7155775</v>
      </c>
      <c r="G691">
        <v>-8678375</v>
      </c>
      <c r="H691">
        <v>-10603705</v>
      </c>
      <c r="I691">
        <v>-18722253</v>
      </c>
      <c r="J691">
        <v>40924262</v>
      </c>
      <c r="K691">
        <v>37659288</v>
      </c>
      <c r="L691">
        <v>14980967</v>
      </c>
      <c r="M691">
        <v>27389834</v>
      </c>
      <c r="N691">
        <v>23993128</v>
      </c>
      <c r="O691">
        <v>26135485</v>
      </c>
      <c r="P691">
        <v>73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56364948</v>
      </c>
      <c r="G692">
        <v>171177974</v>
      </c>
      <c r="H692">
        <v>147605125</v>
      </c>
      <c r="I692">
        <v>158422772</v>
      </c>
      <c r="J692">
        <v>207502832</v>
      </c>
      <c r="K692">
        <v>159761896</v>
      </c>
      <c r="L692">
        <v>4952546</v>
      </c>
      <c r="M692">
        <v>-12621627</v>
      </c>
      <c r="N692">
        <v>24299632</v>
      </c>
      <c r="O692">
        <v>16120753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179225058</v>
      </c>
      <c r="G693">
        <v>140302114</v>
      </c>
      <c r="H693">
        <v>181922542</v>
      </c>
      <c r="I693">
        <v>117224205</v>
      </c>
      <c r="J693">
        <v>101420602</v>
      </c>
      <c r="K693">
        <v>54672466</v>
      </c>
      <c r="L693">
        <v>10829623</v>
      </c>
      <c r="M693">
        <v>-7543293</v>
      </c>
      <c r="N693">
        <v>-14340734</v>
      </c>
      <c r="O693">
        <v>-90173428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117497463</v>
      </c>
      <c r="G694">
        <v>37509202</v>
      </c>
      <c r="H694">
        <v>-52063565</v>
      </c>
      <c r="I694">
        <v>-42855812</v>
      </c>
      <c r="J694">
        <v>-46426388</v>
      </c>
      <c r="K694">
        <v>-41075214</v>
      </c>
      <c r="L694">
        <v>-10580792</v>
      </c>
      <c r="M694">
        <v>-35106651</v>
      </c>
      <c r="N694">
        <v>3458051</v>
      </c>
      <c r="O694">
        <v>-20948445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3563345363</v>
      </c>
      <c r="G695">
        <v>4024415213</v>
      </c>
      <c r="H695">
        <v>4843892644</v>
      </c>
      <c r="I695">
        <v>3411384548</v>
      </c>
      <c r="J695">
        <v>1049728320</v>
      </c>
      <c r="K695">
        <v>160807376</v>
      </c>
      <c r="L695">
        <v>124535164</v>
      </c>
      <c r="M695">
        <v>814955793</v>
      </c>
      <c r="N695">
        <v>558132114</v>
      </c>
      <c r="O695">
        <v>241835719</v>
      </c>
      <c r="P695">
        <v>1595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237940265</v>
      </c>
      <c r="G696">
        <v>218286908</v>
      </c>
      <c r="H696">
        <v>257745102</v>
      </c>
      <c r="I696">
        <v>321838113</v>
      </c>
      <c r="J696">
        <v>-80219179</v>
      </c>
      <c r="K696">
        <v>-73371971</v>
      </c>
      <c r="L696">
        <v>-203931346</v>
      </c>
      <c r="M696">
        <v>-14150110</v>
      </c>
      <c r="N696">
        <v>-116768056</v>
      </c>
      <c r="O696">
        <v>-180664034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3210600000</v>
      </c>
      <c r="G697">
        <v>1251923123</v>
      </c>
      <c r="H697">
        <v>1075802706</v>
      </c>
      <c r="I697">
        <v>1034847785</v>
      </c>
      <c r="J697">
        <v>384227642</v>
      </c>
      <c r="K697">
        <v>192849051</v>
      </c>
      <c r="L697">
        <v>502563933</v>
      </c>
      <c r="M697">
        <v>539544408</v>
      </c>
      <c r="N697">
        <v>574430763</v>
      </c>
      <c r="O697">
        <v>49637237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1066966865</v>
      </c>
      <c r="G698">
        <v>1714448602</v>
      </c>
      <c r="H698">
        <v>46336333</v>
      </c>
      <c r="I698">
        <v>341646107</v>
      </c>
      <c r="J698">
        <v>605925911</v>
      </c>
      <c r="K698">
        <v>606772389</v>
      </c>
      <c r="L698">
        <v>597204762</v>
      </c>
      <c r="M698">
        <v>422064663</v>
      </c>
      <c r="N698">
        <v>321137064</v>
      </c>
      <c r="O698">
        <v>165439922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-516809098</v>
      </c>
      <c r="G699">
        <v>-384028635</v>
      </c>
      <c r="H699">
        <v>93090607</v>
      </c>
      <c r="I699">
        <v>148698868</v>
      </c>
      <c r="J699">
        <v>-277282195</v>
      </c>
      <c r="K699">
        <v>88818303</v>
      </c>
      <c r="L699">
        <v>146240728</v>
      </c>
      <c r="M699">
        <v>750839219</v>
      </c>
      <c r="N699">
        <v>993216928</v>
      </c>
      <c r="O699">
        <v>742960432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-201146289</v>
      </c>
      <c r="K700">
        <v>-163049394.27000001</v>
      </c>
      <c r="L700">
        <v>-44188955.93</v>
      </c>
      <c r="M700">
        <v>-44688673.009999998</v>
      </c>
      <c r="N700">
        <v>-67980211.090000004</v>
      </c>
      <c r="O700">
        <v>7424432.5300000003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-165192319</v>
      </c>
      <c r="G701">
        <v>-55072689</v>
      </c>
      <c r="H701">
        <v>12978181</v>
      </c>
      <c r="I701">
        <v>-999836051</v>
      </c>
      <c r="J701">
        <v>94150330</v>
      </c>
      <c r="K701">
        <v>87094561</v>
      </c>
      <c r="L701">
        <v>84700621</v>
      </c>
      <c r="M701">
        <v>28441796</v>
      </c>
      <c r="N701">
        <v>9880621</v>
      </c>
      <c r="O701">
        <v>11843569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6526869226</v>
      </c>
      <c r="G702">
        <v>1557252024</v>
      </c>
      <c r="H702">
        <v>1464511185</v>
      </c>
      <c r="I702">
        <v>5583446438</v>
      </c>
      <c r="J702">
        <v>2739863801</v>
      </c>
      <c r="K702">
        <v>759428563</v>
      </c>
      <c r="L702">
        <v>-2575382047</v>
      </c>
      <c r="M702">
        <v>-326318338</v>
      </c>
      <c r="N702">
        <v>-329374190</v>
      </c>
      <c r="O702">
        <v>-3137548514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4878762630</v>
      </c>
      <c r="G703">
        <v>2461217523</v>
      </c>
      <c r="H703">
        <v>1695905100</v>
      </c>
      <c r="I703">
        <v>1263800216</v>
      </c>
      <c r="J703">
        <v>805530770</v>
      </c>
      <c r="K703">
        <v>451174626</v>
      </c>
      <c r="L703">
        <v>365266179</v>
      </c>
      <c r="M703">
        <v>398583498</v>
      </c>
      <c r="N703">
        <v>1186048068</v>
      </c>
      <c r="O703">
        <v>1243379512</v>
      </c>
      <c r="P703">
        <v>3742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1618479787</v>
      </c>
      <c r="G704">
        <v>134500301</v>
      </c>
      <c r="H704">
        <v>383613602</v>
      </c>
      <c r="I704">
        <v>564734815</v>
      </c>
      <c r="J704">
        <v>69850503</v>
      </c>
      <c r="K704">
        <v>74515346</v>
      </c>
      <c r="L704">
        <v>8529277</v>
      </c>
      <c r="M704">
        <v>65293255</v>
      </c>
      <c r="N704">
        <v>-5299922</v>
      </c>
      <c r="O704">
        <v>-176944526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267340582</v>
      </c>
      <c r="G705">
        <v>477906817</v>
      </c>
      <c r="H705">
        <v>474046038</v>
      </c>
      <c r="I705">
        <v>773549206</v>
      </c>
      <c r="J705">
        <v>490026485</v>
      </c>
      <c r="K705">
        <v>507035671</v>
      </c>
      <c r="L705">
        <v>474161021</v>
      </c>
      <c r="M705">
        <v>1127887138</v>
      </c>
      <c r="N705">
        <v>827340217</v>
      </c>
      <c r="O705">
        <v>629838534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17777880</v>
      </c>
      <c r="G706">
        <v>128088676</v>
      </c>
      <c r="H706">
        <v>91529448</v>
      </c>
      <c r="I706">
        <v>76931222</v>
      </c>
      <c r="J706">
        <v>21712114</v>
      </c>
      <c r="K706">
        <v>64755556</v>
      </c>
      <c r="L706">
        <v>31645409</v>
      </c>
      <c r="M706">
        <v>22509081</v>
      </c>
      <c r="N706">
        <v>12668951</v>
      </c>
      <c r="O706">
        <v>-71796091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K707">
        <v>-2471842.9</v>
      </c>
      <c r="L707">
        <v>-100813250.56999999</v>
      </c>
      <c r="M707">
        <v>-71044310.579999998</v>
      </c>
      <c r="N707">
        <v>-72989135.769999996</v>
      </c>
      <c r="O707">
        <v>-96193192.370000005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270963223</v>
      </c>
      <c r="G708">
        <v>194122290</v>
      </c>
      <c r="H708">
        <v>141329073</v>
      </c>
      <c r="I708">
        <v>131580120</v>
      </c>
      <c r="J708">
        <v>128519542</v>
      </c>
      <c r="K708">
        <v>135680302</v>
      </c>
      <c r="L708">
        <v>170352173</v>
      </c>
      <c r="M708">
        <v>183124385</v>
      </c>
      <c r="N708">
        <v>52347166</v>
      </c>
      <c r="O708">
        <v>66174912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-10390053</v>
      </c>
      <c r="G709">
        <v>33326558</v>
      </c>
      <c r="H709">
        <v>-543018494</v>
      </c>
      <c r="I709">
        <v>-106137208</v>
      </c>
      <c r="J709">
        <v>108950369</v>
      </c>
      <c r="K709">
        <v>-524995209</v>
      </c>
      <c r="L709">
        <v>-289523256</v>
      </c>
      <c r="M709">
        <v>-104539866</v>
      </c>
      <c r="N709">
        <v>-126163385</v>
      </c>
      <c r="O709">
        <v>348904972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F710">
        <v>-1818908754</v>
      </c>
      <c r="G710">
        <v>-3815048155</v>
      </c>
      <c r="H710">
        <v>-345314377</v>
      </c>
      <c r="I710">
        <v>24087324</v>
      </c>
      <c r="J710">
        <v>2825288324</v>
      </c>
      <c r="K710">
        <v>2310682002</v>
      </c>
      <c r="L710">
        <v>1213557962</v>
      </c>
      <c r="M710">
        <v>820897634</v>
      </c>
      <c r="N710">
        <v>142287759</v>
      </c>
      <c r="O710">
        <v>129548599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335061353</v>
      </c>
      <c r="G711">
        <v>-4952026</v>
      </c>
      <c r="H711">
        <v>110815</v>
      </c>
      <c r="I711">
        <v>-748435</v>
      </c>
      <c r="J711">
        <v>-1098506</v>
      </c>
      <c r="K711">
        <v>-892710</v>
      </c>
      <c r="L711">
        <v>-1131573</v>
      </c>
      <c r="M711">
        <v>297511</v>
      </c>
      <c r="N711">
        <v>446264</v>
      </c>
      <c r="O711">
        <v>-1528894</v>
      </c>
      <c r="P711">
        <v>102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23210358</v>
      </c>
      <c r="G712">
        <v>22091971</v>
      </c>
      <c r="H712">
        <v>-24079673</v>
      </c>
      <c r="I712">
        <v>13898376</v>
      </c>
      <c r="J712">
        <v>32773623</v>
      </c>
      <c r="K712">
        <v>79447254</v>
      </c>
      <c r="L712">
        <v>42533334</v>
      </c>
      <c r="M712">
        <v>7135067</v>
      </c>
      <c r="N712">
        <v>9721062</v>
      </c>
      <c r="O712">
        <v>7431989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165824169</v>
      </c>
      <c r="G713">
        <v>111915503</v>
      </c>
      <c r="H713">
        <v>136241292</v>
      </c>
      <c r="I713">
        <v>89921295</v>
      </c>
      <c r="J713">
        <v>28471306</v>
      </c>
      <c r="K713">
        <v>41771230</v>
      </c>
      <c r="L713">
        <v>-89389132</v>
      </c>
      <c r="M713">
        <v>35604454</v>
      </c>
      <c r="N713">
        <v>91726184</v>
      </c>
      <c r="O713">
        <v>-3729178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1356191421</v>
      </c>
      <c r="G714">
        <v>1262300125</v>
      </c>
      <c r="H714">
        <v>1388990982</v>
      </c>
      <c r="I714">
        <v>1279627636</v>
      </c>
      <c r="J714">
        <v>1159422179</v>
      </c>
      <c r="K714">
        <v>1049041260</v>
      </c>
      <c r="L714">
        <v>934442788</v>
      </c>
      <c r="M714">
        <v>935769789</v>
      </c>
      <c r="N714">
        <v>896763075</v>
      </c>
      <c r="O714">
        <v>771613777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332574097</v>
      </c>
      <c r="G715">
        <v>28015938</v>
      </c>
      <c r="H715">
        <v>-135942424</v>
      </c>
      <c r="I715">
        <v>-108107494</v>
      </c>
      <c r="J715">
        <v>-129108609</v>
      </c>
      <c r="K715">
        <v>3005143</v>
      </c>
      <c r="L715">
        <v>4560365</v>
      </c>
      <c r="M715">
        <v>7874059</v>
      </c>
      <c r="N715">
        <v>7798812</v>
      </c>
      <c r="O715">
        <v>4759747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147167871</v>
      </c>
      <c r="G716">
        <v>40385122</v>
      </c>
      <c r="H716">
        <v>48312147</v>
      </c>
      <c r="I716">
        <v>40776437</v>
      </c>
      <c r="J716">
        <v>23122436</v>
      </c>
      <c r="K716">
        <v>16591764</v>
      </c>
      <c r="L716">
        <v>-617650366</v>
      </c>
      <c r="M716">
        <v>435808</v>
      </c>
      <c r="N716">
        <v>-19072440</v>
      </c>
      <c r="O716">
        <v>-92358407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1190119833</v>
      </c>
      <c r="G717">
        <v>1081350003</v>
      </c>
      <c r="H717">
        <v>1545612377</v>
      </c>
      <c r="I717">
        <v>1476052417</v>
      </c>
      <c r="J717">
        <v>1395681148</v>
      </c>
      <c r="K717">
        <v>1412676215</v>
      </c>
      <c r="L717">
        <v>942911566</v>
      </c>
      <c r="M717">
        <v>770488646</v>
      </c>
      <c r="N717">
        <v>767179617</v>
      </c>
      <c r="O717">
        <v>629004572</v>
      </c>
      <c r="P717">
        <v>1056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95719268</v>
      </c>
      <c r="G718">
        <v>31204714</v>
      </c>
      <c r="H718">
        <v>99571959</v>
      </c>
      <c r="I718">
        <v>121458206</v>
      </c>
      <c r="J718">
        <v>144512440</v>
      </c>
      <c r="K718">
        <v>136623277</v>
      </c>
      <c r="L718">
        <v>172735502</v>
      </c>
      <c r="M718">
        <v>156967803</v>
      </c>
      <c r="N718">
        <v>147953905</v>
      </c>
      <c r="O718">
        <v>145807087</v>
      </c>
      <c r="P718">
        <v>80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23019227</v>
      </c>
      <c r="G719">
        <v>15695577</v>
      </c>
      <c r="H719">
        <v>23205970</v>
      </c>
      <c r="I719">
        <v>26744693</v>
      </c>
      <c r="J719">
        <v>34060829</v>
      </c>
      <c r="K719">
        <v>36519764</v>
      </c>
      <c r="L719">
        <v>35603129</v>
      </c>
      <c r="M719">
        <v>18366504</v>
      </c>
      <c r="N719">
        <v>83404476</v>
      </c>
      <c r="O719">
        <v>78257396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77880702</v>
      </c>
      <c r="G720">
        <v>57197548</v>
      </c>
      <c r="H720">
        <v>162909230</v>
      </c>
      <c r="I720">
        <v>237789330</v>
      </c>
      <c r="J720">
        <v>99427014</v>
      </c>
      <c r="K720">
        <v>838248463</v>
      </c>
      <c r="L720">
        <v>495426200</v>
      </c>
      <c r="M720">
        <v>51174590</v>
      </c>
      <c r="N720">
        <v>43934412</v>
      </c>
      <c r="O720">
        <v>43941619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579502915</v>
      </c>
      <c r="G721">
        <v>436131535</v>
      </c>
      <c r="H721">
        <v>717001583</v>
      </c>
      <c r="I721">
        <v>700488363</v>
      </c>
      <c r="J721">
        <v>679791588</v>
      </c>
      <c r="K721">
        <v>746338845</v>
      </c>
      <c r="L721">
        <v>1175907856</v>
      </c>
      <c r="M721">
        <v>879350032</v>
      </c>
      <c r="N721">
        <v>909837105</v>
      </c>
      <c r="O721">
        <v>996648762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361320870</v>
      </c>
      <c r="G722">
        <v>325847799</v>
      </c>
      <c r="H722">
        <v>870453233</v>
      </c>
      <c r="I722">
        <v>740708234</v>
      </c>
      <c r="J722">
        <v>556680119</v>
      </c>
      <c r="K722">
        <v>458060388</v>
      </c>
      <c r="L722">
        <v>78572671</v>
      </c>
      <c r="M722">
        <v>176534746</v>
      </c>
      <c r="N722">
        <v>192011152</v>
      </c>
      <c r="O722">
        <v>104149643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234405058</v>
      </c>
      <c r="G723">
        <v>140735479</v>
      </c>
      <c r="H723">
        <v>209399308</v>
      </c>
      <c r="I723">
        <v>202048231</v>
      </c>
      <c r="J723">
        <v>208158766</v>
      </c>
      <c r="K723">
        <v>194059979</v>
      </c>
      <c r="L723">
        <v>137433748</v>
      </c>
      <c r="M723">
        <v>67685284</v>
      </c>
      <c r="N723">
        <v>-66388607</v>
      </c>
      <c r="O723">
        <v>229554040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37009186</v>
      </c>
      <c r="G724">
        <v>3824131</v>
      </c>
      <c r="H724">
        <v>21441867</v>
      </c>
      <c r="I724">
        <v>29647959</v>
      </c>
      <c r="J724">
        <v>52795129</v>
      </c>
      <c r="K724">
        <v>80597161</v>
      </c>
      <c r="L724">
        <v>69661304</v>
      </c>
      <c r="M724">
        <v>67644274</v>
      </c>
      <c r="N724">
        <v>151775267</v>
      </c>
      <c r="O724">
        <v>83889143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54513251</v>
      </c>
      <c r="G725">
        <v>44616711</v>
      </c>
      <c r="H725">
        <v>87141082</v>
      </c>
      <c r="I725">
        <v>118609651</v>
      </c>
      <c r="J725">
        <v>123376409</v>
      </c>
      <c r="K725">
        <v>122894822</v>
      </c>
      <c r="L725">
        <v>100223999</v>
      </c>
      <c r="M725">
        <v>89565039</v>
      </c>
      <c r="N725">
        <v>125457988</v>
      </c>
      <c r="O725">
        <v>118382926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964192842.36000001</v>
      </c>
      <c r="N726">
        <v>380573959.56</v>
      </c>
      <c r="O726">
        <v>367872276.42000002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35965835</v>
      </c>
      <c r="G727">
        <v>57677849</v>
      </c>
      <c r="H727">
        <v>38183323</v>
      </c>
      <c r="I727">
        <v>29206821</v>
      </c>
      <c r="J727">
        <v>36926722</v>
      </c>
      <c r="K727">
        <v>41583967</v>
      </c>
      <c r="L727">
        <v>32473785</v>
      </c>
      <c r="M727">
        <v>29121953</v>
      </c>
      <c r="N727">
        <v>27303974</v>
      </c>
      <c r="O727">
        <v>26569620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57426183</v>
      </c>
      <c r="G728">
        <v>64995008</v>
      </c>
      <c r="H728">
        <v>51496222</v>
      </c>
      <c r="I728">
        <v>25195438</v>
      </c>
      <c r="J728">
        <v>64322635</v>
      </c>
      <c r="K728">
        <v>61316523</v>
      </c>
      <c r="L728">
        <v>47358070</v>
      </c>
      <c r="M728">
        <v>83239191</v>
      </c>
      <c r="N728">
        <v>91300318</v>
      </c>
      <c r="O728">
        <v>93602512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935468857</v>
      </c>
      <c r="G729">
        <v>919090894</v>
      </c>
      <c r="H729">
        <v>861246196</v>
      </c>
      <c r="I729">
        <v>1032456467</v>
      </c>
      <c r="J729">
        <v>1045060819</v>
      </c>
      <c r="K729">
        <v>1142857875</v>
      </c>
      <c r="L729">
        <v>1619025727</v>
      </c>
      <c r="M729">
        <v>741582104</v>
      </c>
      <c r="N729">
        <v>622286203</v>
      </c>
      <c r="O729">
        <v>590196573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128127360</v>
      </c>
      <c r="G730">
        <v>226343174</v>
      </c>
      <c r="H730">
        <v>-52681136</v>
      </c>
      <c r="I730">
        <v>4671988</v>
      </c>
      <c r="J730">
        <v>-9458263</v>
      </c>
      <c r="K730">
        <v>1032121</v>
      </c>
      <c r="L730">
        <v>3992026</v>
      </c>
      <c r="M730">
        <v>4635781</v>
      </c>
      <c r="N730">
        <v>2062399</v>
      </c>
      <c r="O730">
        <v>1080718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F731">
        <v>11826274977</v>
      </c>
      <c r="G731">
        <v>8502150897</v>
      </c>
      <c r="H731">
        <v>7385648377</v>
      </c>
      <c r="I731">
        <v>3587702799</v>
      </c>
      <c r="J731">
        <v>6145264097</v>
      </c>
      <c r="K731">
        <v>6364406655</v>
      </c>
      <c r="L731">
        <v>11064922103</v>
      </c>
      <c r="M731">
        <v>4949056982</v>
      </c>
      <c r="N731">
        <v>3691085102</v>
      </c>
      <c r="O731">
        <v>2440324656</v>
      </c>
      <c r="P731">
        <v>4976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84177284</v>
      </c>
      <c r="G732">
        <v>40603718</v>
      </c>
      <c r="H732">
        <v>72574764</v>
      </c>
      <c r="I732">
        <v>71615443</v>
      </c>
      <c r="J732">
        <v>72534676</v>
      </c>
      <c r="K732">
        <v>161462670</v>
      </c>
      <c r="L732">
        <v>73180059</v>
      </c>
      <c r="M732">
        <v>21663126</v>
      </c>
      <c r="N732">
        <v>23647859</v>
      </c>
      <c r="O732">
        <v>16570740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169365155</v>
      </c>
      <c r="G733">
        <v>-130814763</v>
      </c>
      <c r="H733">
        <v>38493839</v>
      </c>
      <c r="I733">
        <v>205083782</v>
      </c>
      <c r="J733">
        <v>167110461</v>
      </c>
      <c r="K733">
        <v>521769385</v>
      </c>
      <c r="L733">
        <v>-495165205</v>
      </c>
      <c r="M733">
        <v>-314372777</v>
      </c>
      <c r="N733">
        <v>310394508</v>
      </c>
      <c r="O733">
        <v>200179708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473727858</v>
      </c>
      <c r="G734">
        <v>138711837</v>
      </c>
      <c r="H734">
        <v>91681187</v>
      </c>
      <c r="I734">
        <v>114931658</v>
      </c>
      <c r="J734">
        <v>96095878</v>
      </c>
      <c r="K734">
        <v>67629702</v>
      </c>
      <c r="L734">
        <v>68272919</v>
      </c>
      <c r="M734">
        <v>122117308</v>
      </c>
      <c r="N734">
        <v>142351728</v>
      </c>
      <c r="O734">
        <v>140169528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87275362</v>
      </c>
      <c r="G735">
        <v>40697574</v>
      </c>
      <c r="H735">
        <v>81155311</v>
      </c>
      <c r="I735">
        <v>135016264</v>
      </c>
      <c r="J735">
        <v>189490881</v>
      </c>
      <c r="K735">
        <v>157289759</v>
      </c>
      <c r="L735">
        <v>154077232</v>
      </c>
      <c r="M735">
        <v>61776540</v>
      </c>
      <c r="N735">
        <v>43563768</v>
      </c>
      <c r="O735">
        <v>37166580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-51012924</v>
      </c>
      <c r="G736">
        <v>-226530568</v>
      </c>
      <c r="H736">
        <v>-224715771</v>
      </c>
      <c r="I736">
        <v>2909833</v>
      </c>
      <c r="J736">
        <v>73745353</v>
      </c>
      <c r="K736">
        <v>-105646721</v>
      </c>
      <c r="L736">
        <v>-793963</v>
      </c>
      <c r="M736">
        <v>6523671</v>
      </c>
      <c r="N736">
        <v>-157736077</v>
      </c>
      <c r="O736">
        <v>122733642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1415428071</v>
      </c>
      <c r="G737">
        <v>968247216</v>
      </c>
      <c r="H737">
        <v>607591399</v>
      </c>
      <c r="I737">
        <v>518447472</v>
      </c>
      <c r="J737">
        <v>323667955</v>
      </c>
      <c r="K737">
        <v>256371659</v>
      </c>
      <c r="L737">
        <v>227065465</v>
      </c>
      <c r="M737">
        <v>205785882</v>
      </c>
      <c r="N737">
        <v>192889564</v>
      </c>
      <c r="O737">
        <v>193961264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402065551</v>
      </c>
      <c r="G738">
        <v>406740572</v>
      </c>
      <c r="H738">
        <v>322516506</v>
      </c>
      <c r="I738">
        <v>146939702</v>
      </c>
      <c r="J738">
        <v>100863755</v>
      </c>
      <c r="K738">
        <v>87858759</v>
      </c>
      <c r="L738">
        <v>69791582</v>
      </c>
      <c r="M738">
        <v>78725689</v>
      </c>
      <c r="N738">
        <v>70783394</v>
      </c>
      <c r="O738">
        <v>58862398</v>
      </c>
      <c r="P738">
        <v>357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-4781215</v>
      </c>
      <c r="G739">
        <v>1482444</v>
      </c>
      <c r="H739">
        <v>576922</v>
      </c>
      <c r="I739">
        <v>-3797660</v>
      </c>
      <c r="J739">
        <v>2965079</v>
      </c>
      <c r="K739">
        <v>-1440405</v>
      </c>
      <c r="L739">
        <v>9973366</v>
      </c>
      <c r="M739">
        <v>6148463</v>
      </c>
      <c r="N739">
        <v>-2107434</v>
      </c>
      <c r="O739">
        <v>4213544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1349706315</v>
      </c>
      <c r="G740">
        <v>1216153960</v>
      </c>
      <c r="H740">
        <v>1203280915</v>
      </c>
      <c r="I740">
        <v>338435602</v>
      </c>
      <c r="J740">
        <v>293255780</v>
      </c>
      <c r="K740">
        <v>155431474</v>
      </c>
      <c r="L740">
        <v>112644483</v>
      </c>
      <c r="M740">
        <v>-4518108</v>
      </c>
      <c r="N740">
        <v>5531757</v>
      </c>
      <c r="O740">
        <v>5445822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K741">
        <v>2457168751.2199998</v>
      </c>
      <c r="L741">
        <v>2178822695.48</v>
      </c>
      <c r="M741">
        <v>1912585778.79</v>
      </c>
      <c r="N741">
        <v>1677676653.8399999</v>
      </c>
      <c r="O741">
        <v>1546836506.8499999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260926725</v>
      </c>
      <c r="G742">
        <v>246586827</v>
      </c>
      <c r="H742">
        <v>260799321</v>
      </c>
      <c r="I742">
        <v>251704190</v>
      </c>
      <c r="J742">
        <v>224525867</v>
      </c>
      <c r="K742">
        <v>209334024</v>
      </c>
      <c r="L742">
        <v>179244051</v>
      </c>
      <c r="M742">
        <v>167832742</v>
      </c>
      <c r="N742">
        <v>111116565</v>
      </c>
      <c r="O742">
        <v>114702214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149416611</v>
      </c>
      <c r="G743">
        <v>120844447</v>
      </c>
      <c r="H743">
        <v>95937158</v>
      </c>
      <c r="I743">
        <v>103786005</v>
      </c>
      <c r="J743">
        <v>95750842</v>
      </c>
      <c r="K743">
        <v>159585075</v>
      </c>
      <c r="L743">
        <v>127630369</v>
      </c>
      <c r="M743">
        <v>122859541</v>
      </c>
      <c r="N743">
        <v>57168638</v>
      </c>
      <c r="O743">
        <v>21322242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"600853"</f>
        <v>600853</v>
      </c>
      <c r="C744" t="s">
        <v>1720</v>
      </c>
      <c r="D744" t="s">
        <v>101</v>
      </c>
      <c r="F744">
        <v>145921810</v>
      </c>
      <c r="G744">
        <v>133927210</v>
      </c>
      <c r="H744">
        <v>103685148</v>
      </c>
      <c r="I744">
        <v>87447604</v>
      </c>
      <c r="J744">
        <v>37811245</v>
      </c>
      <c r="K744">
        <v>15138098</v>
      </c>
      <c r="L744">
        <v>12035009</v>
      </c>
      <c r="M744">
        <v>13503937</v>
      </c>
      <c r="N744">
        <v>17142416</v>
      </c>
      <c r="O744">
        <v>21266498</v>
      </c>
      <c r="P744">
        <v>94</v>
      </c>
      <c r="Q744" t="s">
        <v>1721</v>
      </c>
    </row>
    <row r="745" spans="1:17" x14ac:dyDescent="0.3">
      <c r="A745" t="s">
        <v>17</v>
      </c>
      <c r="B745" t="str">
        <f>"600854"</f>
        <v>600854</v>
      </c>
      <c r="C745" t="s">
        <v>1722</v>
      </c>
      <c r="D745" t="s">
        <v>1723</v>
      </c>
      <c r="F745">
        <v>97712833</v>
      </c>
      <c r="G745">
        <v>54128718</v>
      </c>
      <c r="H745">
        <v>43152921</v>
      </c>
      <c r="I745">
        <v>103637006</v>
      </c>
      <c r="J745">
        <v>53707886</v>
      </c>
      <c r="K745">
        <v>36581680</v>
      </c>
      <c r="L745">
        <v>-8464406</v>
      </c>
      <c r="M745">
        <v>12296265</v>
      </c>
      <c r="N745">
        <v>33896015</v>
      </c>
      <c r="O745">
        <v>3027445</v>
      </c>
      <c r="P745">
        <v>146</v>
      </c>
      <c r="Q745" t="s">
        <v>1724</v>
      </c>
    </row>
    <row r="746" spans="1:17" x14ac:dyDescent="0.3">
      <c r="A746" t="s">
        <v>17</v>
      </c>
      <c r="B746" t="str">
        <f>"600855"</f>
        <v>600855</v>
      </c>
      <c r="C746" t="s">
        <v>1725</v>
      </c>
      <c r="D746" t="s">
        <v>236</v>
      </c>
      <c r="F746">
        <v>87887639</v>
      </c>
      <c r="G746">
        <v>98866103</v>
      </c>
      <c r="H746">
        <v>-10524173</v>
      </c>
      <c r="I746">
        <v>9969559</v>
      </c>
      <c r="J746">
        <v>351364</v>
      </c>
      <c r="K746">
        <v>8491882</v>
      </c>
      <c r="L746">
        <v>5043430</v>
      </c>
      <c r="M746">
        <v>6118940</v>
      </c>
      <c r="N746">
        <v>22859817</v>
      </c>
      <c r="O746">
        <v>18778937</v>
      </c>
      <c r="P746">
        <v>139</v>
      </c>
      <c r="Q746" t="s">
        <v>1726</v>
      </c>
    </row>
    <row r="747" spans="1:17" x14ac:dyDescent="0.3">
      <c r="A747" t="s">
        <v>17</v>
      </c>
      <c r="B747" t="str">
        <f>"600856"</f>
        <v>600856</v>
      </c>
      <c r="C747" t="s">
        <v>1727</v>
      </c>
      <c r="D747" t="s">
        <v>1541</v>
      </c>
      <c r="F747">
        <v>-310504278</v>
      </c>
      <c r="G747">
        <v>-447806734</v>
      </c>
      <c r="H747">
        <v>-301471223</v>
      </c>
      <c r="I747">
        <v>183112350</v>
      </c>
      <c r="J747">
        <v>413738915</v>
      </c>
      <c r="K747">
        <v>330577812</v>
      </c>
      <c r="L747">
        <v>131257691</v>
      </c>
      <c r="M747">
        <v>1762601</v>
      </c>
      <c r="N747">
        <v>13814534</v>
      </c>
      <c r="O747">
        <v>6533980</v>
      </c>
      <c r="P747">
        <v>129</v>
      </c>
      <c r="Q747" t="s">
        <v>1728</v>
      </c>
    </row>
    <row r="748" spans="1:17" x14ac:dyDescent="0.3">
      <c r="A748" t="s">
        <v>17</v>
      </c>
      <c r="B748" t="str">
        <f>"600857"</f>
        <v>600857</v>
      </c>
      <c r="C748" t="s">
        <v>1729</v>
      </c>
      <c r="D748" t="s">
        <v>633</v>
      </c>
      <c r="F748">
        <v>30881815</v>
      </c>
      <c r="G748">
        <v>17369328</v>
      </c>
      <c r="H748">
        <v>41743703</v>
      </c>
      <c r="I748">
        <v>31038522</v>
      </c>
      <c r="J748">
        <v>28184326</v>
      </c>
      <c r="K748">
        <v>32869034</v>
      </c>
      <c r="L748">
        <v>37390113</v>
      </c>
      <c r="M748">
        <v>35430200</v>
      </c>
      <c r="N748">
        <v>29116147</v>
      </c>
      <c r="O748">
        <v>28465182</v>
      </c>
      <c r="P748">
        <v>74</v>
      </c>
      <c r="Q748" t="s">
        <v>1730</v>
      </c>
    </row>
    <row r="749" spans="1:17" x14ac:dyDescent="0.3">
      <c r="A749" t="s">
        <v>17</v>
      </c>
      <c r="B749" t="str">
        <f>"600858"</f>
        <v>600858</v>
      </c>
      <c r="C749" t="s">
        <v>1731</v>
      </c>
      <c r="D749" t="s">
        <v>1404</v>
      </c>
      <c r="F749">
        <v>56857729</v>
      </c>
      <c r="G749">
        <v>-199118920</v>
      </c>
      <c r="H749">
        <v>48078506</v>
      </c>
      <c r="I749">
        <v>36100994</v>
      </c>
      <c r="J749">
        <v>32082885</v>
      </c>
      <c r="K749">
        <v>36051220</v>
      </c>
      <c r="L749">
        <v>113251348</v>
      </c>
      <c r="M749">
        <v>198283827</v>
      </c>
      <c r="N749">
        <v>195418899</v>
      </c>
      <c r="O749">
        <v>193769279</v>
      </c>
      <c r="P749">
        <v>91</v>
      </c>
      <c r="Q749" t="s">
        <v>1732</v>
      </c>
    </row>
    <row r="750" spans="1:17" x14ac:dyDescent="0.3">
      <c r="A750" t="s">
        <v>17</v>
      </c>
      <c r="B750" t="str">
        <f>"600859"</f>
        <v>600859</v>
      </c>
      <c r="C750" t="s">
        <v>1733</v>
      </c>
      <c r="D750" t="s">
        <v>633</v>
      </c>
      <c r="F750">
        <v>589097844</v>
      </c>
      <c r="G750">
        <v>212137017</v>
      </c>
      <c r="H750">
        <v>847182698</v>
      </c>
      <c r="I750">
        <v>988838153</v>
      </c>
      <c r="J750">
        <v>733081941</v>
      </c>
      <c r="K750">
        <v>438661790</v>
      </c>
      <c r="L750">
        <v>603182112</v>
      </c>
      <c r="M750">
        <v>486885974</v>
      </c>
      <c r="N750">
        <v>523063260</v>
      </c>
      <c r="O750">
        <v>548372313</v>
      </c>
      <c r="P750">
        <v>553</v>
      </c>
      <c r="Q750" t="s">
        <v>1734</v>
      </c>
    </row>
    <row r="751" spans="1:17" x14ac:dyDescent="0.3">
      <c r="A751" t="s">
        <v>17</v>
      </c>
      <c r="B751" t="str">
        <f>"600860"</f>
        <v>600860</v>
      </c>
      <c r="C751" t="s">
        <v>1735</v>
      </c>
      <c r="D751" t="s">
        <v>274</v>
      </c>
      <c r="F751">
        <v>-7011342</v>
      </c>
      <c r="G751">
        <v>-35365483</v>
      </c>
      <c r="H751">
        <v>-63858837</v>
      </c>
      <c r="I751">
        <v>-44148604</v>
      </c>
      <c r="J751">
        <v>-68959329</v>
      </c>
      <c r="K751">
        <v>-91707896</v>
      </c>
      <c r="L751">
        <v>-82464282</v>
      </c>
      <c r="M751">
        <v>90546442</v>
      </c>
      <c r="N751">
        <v>-36897250</v>
      </c>
      <c r="O751">
        <v>-56506795</v>
      </c>
      <c r="P751">
        <v>108</v>
      </c>
      <c r="Q751" t="s">
        <v>1736</v>
      </c>
    </row>
    <row r="752" spans="1:17" x14ac:dyDescent="0.3">
      <c r="A752" t="s">
        <v>17</v>
      </c>
      <c r="B752" t="str">
        <f>"600861"</f>
        <v>600861</v>
      </c>
      <c r="C752" t="s">
        <v>1737</v>
      </c>
      <c r="D752" t="s">
        <v>1404</v>
      </c>
      <c r="F752">
        <v>-32112565</v>
      </c>
      <c r="G752">
        <v>-105562465</v>
      </c>
      <c r="H752">
        <v>10476443</v>
      </c>
      <c r="I752">
        <v>30465667</v>
      </c>
      <c r="J752">
        <v>56887208</v>
      </c>
      <c r="K752">
        <v>79048944</v>
      </c>
      <c r="L752">
        <v>75927210</v>
      </c>
      <c r="M752">
        <v>63779795</v>
      </c>
      <c r="N752">
        <v>64875200</v>
      </c>
      <c r="O752">
        <v>62833392</v>
      </c>
      <c r="P752">
        <v>72</v>
      </c>
      <c r="Q752" t="s">
        <v>1738</v>
      </c>
    </row>
    <row r="753" spans="1:17" x14ac:dyDescent="0.3">
      <c r="A753" t="s">
        <v>17</v>
      </c>
      <c r="B753" t="str">
        <f>"600862"</f>
        <v>600862</v>
      </c>
      <c r="C753" t="s">
        <v>1739</v>
      </c>
      <c r="D753" t="s">
        <v>98</v>
      </c>
      <c r="F753">
        <v>568399225</v>
      </c>
      <c r="G753">
        <v>400706189</v>
      </c>
      <c r="H753">
        <v>338261792</v>
      </c>
      <c r="I753">
        <v>232231162</v>
      </c>
      <c r="J753">
        <v>265179863</v>
      </c>
      <c r="K753">
        <v>77032530</v>
      </c>
      <c r="L753">
        <v>-86900425</v>
      </c>
      <c r="M753">
        <v>-148209186</v>
      </c>
      <c r="N753">
        <v>316918</v>
      </c>
      <c r="O753">
        <v>3572421</v>
      </c>
      <c r="P753">
        <v>457</v>
      </c>
      <c r="Q753" t="s">
        <v>1740</v>
      </c>
    </row>
    <row r="754" spans="1:17" x14ac:dyDescent="0.3">
      <c r="A754" t="s">
        <v>17</v>
      </c>
      <c r="B754" t="str">
        <f>"600863"</f>
        <v>600863</v>
      </c>
      <c r="C754" t="s">
        <v>1741</v>
      </c>
      <c r="D754" t="s">
        <v>41</v>
      </c>
      <c r="F754">
        <v>204832205</v>
      </c>
      <c r="G754">
        <v>991631032</v>
      </c>
      <c r="H754">
        <v>1010616228</v>
      </c>
      <c r="I754">
        <v>537880336</v>
      </c>
      <c r="J754">
        <v>485196373</v>
      </c>
      <c r="K754">
        <v>545280181</v>
      </c>
      <c r="L754">
        <v>929432565</v>
      </c>
      <c r="M754">
        <v>1305936360</v>
      </c>
      <c r="N754">
        <v>1282284795</v>
      </c>
      <c r="O754">
        <v>841982642</v>
      </c>
      <c r="P754">
        <v>310</v>
      </c>
      <c r="Q754" t="s">
        <v>1742</v>
      </c>
    </row>
    <row r="755" spans="1:17" x14ac:dyDescent="0.3">
      <c r="A755" t="s">
        <v>17</v>
      </c>
      <c r="B755" t="str">
        <f>"600864"</f>
        <v>600864</v>
      </c>
      <c r="C755" t="s">
        <v>1743</v>
      </c>
      <c r="D755" t="s">
        <v>80</v>
      </c>
      <c r="F755">
        <v>203534946</v>
      </c>
      <c r="G755">
        <v>215626386</v>
      </c>
      <c r="H755">
        <v>593707244</v>
      </c>
      <c r="I755">
        <v>-240885899</v>
      </c>
      <c r="J755">
        <v>321869463</v>
      </c>
      <c r="K755">
        <v>268043699</v>
      </c>
      <c r="L755">
        <v>72903842</v>
      </c>
      <c r="M755">
        <v>32570419</v>
      </c>
      <c r="N755">
        <v>301657368</v>
      </c>
      <c r="O755">
        <v>80468693</v>
      </c>
      <c r="P755">
        <v>412</v>
      </c>
      <c r="Q755" t="s">
        <v>1744</v>
      </c>
    </row>
    <row r="756" spans="1:17" x14ac:dyDescent="0.3">
      <c r="A756" t="s">
        <v>17</v>
      </c>
      <c r="B756" t="str">
        <f>"600865"</f>
        <v>600865</v>
      </c>
      <c r="C756" t="s">
        <v>1745</v>
      </c>
      <c r="D756" t="s">
        <v>633</v>
      </c>
      <c r="F756">
        <v>143217001</v>
      </c>
      <c r="G756">
        <v>178385937</v>
      </c>
      <c r="H756">
        <v>125618135</v>
      </c>
      <c r="I756">
        <v>99351356</v>
      </c>
      <c r="J756">
        <v>58135928</v>
      </c>
      <c r="K756">
        <v>92912592</v>
      </c>
      <c r="L756">
        <v>103854803</v>
      </c>
      <c r="M756">
        <v>127277061</v>
      </c>
      <c r="N756">
        <v>60978944</v>
      </c>
      <c r="O756">
        <v>61828859</v>
      </c>
      <c r="P756">
        <v>123</v>
      </c>
      <c r="Q756" t="s">
        <v>1746</v>
      </c>
    </row>
    <row r="757" spans="1:17" x14ac:dyDescent="0.3">
      <c r="A757" t="s">
        <v>17</v>
      </c>
      <c r="B757" t="str">
        <f>"600866"</f>
        <v>600866</v>
      </c>
      <c r="C757" t="s">
        <v>1747</v>
      </c>
      <c r="D757" t="s">
        <v>677</v>
      </c>
      <c r="F757">
        <v>79597783</v>
      </c>
      <c r="G757">
        <v>109827909</v>
      </c>
      <c r="H757">
        <v>121904059</v>
      </c>
      <c r="I757">
        <v>31965840</v>
      </c>
      <c r="J757">
        <v>-44370915</v>
      </c>
      <c r="K757">
        <v>15238728</v>
      </c>
      <c r="L757">
        <v>-175168239</v>
      </c>
      <c r="M757">
        <v>-224083621</v>
      </c>
      <c r="N757">
        <v>-40717883</v>
      </c>
      <c r="O757">
        <v>-99558802</v>
      </c>
      <c r="P757">
        <v>143</v>
      </c>
      <c r="Q757" t="s">
        <v>1748</v>
      </c>
    </row>
    <row r="758" spans="1:17" x14ac:dyDescent="0.3">
      <c r="A758" t="s">
        <v>17</v>
      </c>
      <c r="B758" t="str">
        <f>"600867"</f>
        <v>600867</v>
      </c>
      <c r="C758" t="s">
        <v>1749</v>
      </c>
      <c r="D758" t="s">
        <v>1379</v>
      </c>
      <c r="F758">
        <v>1067607809</v>
      </c>
      <c r="G758">
        <v>755691072</v>
      </c>
      <c r="H758">
        <v>688124696</v>
      </c>
      <c r="I758">
        <v>687607885</v>
      </c>
      <c r="J758">
        <v>648588688</v>
      </c>
      <c r="K758">
        <v>500469547</v>
      </c>
      <c r="L758">
        <v>389089271</v>
      </c>
      <c r="M758">
        <v>219328706</v>
      </c>
      <c r="N758">
        <v>188307256</v>
      </c>
      <c r="O758">
        <v>132149911</v>
      </c>
      <c r="P758">
        <v>2947</v>
      </c>
      <c r="Q758" t="s">
        <v>1750</v>
      </c>
    </row>
    <row r="759" spans="1:17" x14ac:dyDescent="0.3">
      <c r="A759" t="s">
        <v>17</v>
      </c>
      <c r="B759" t="str">
        <f>"600868"</f>
        <v>600868</v>
      </c>
      <c r="C759" t="s">
        <v>1751</v>
      </c>
      <c r="D759" t="s">
        <v>66</v>
      </c>
      <c r="F759">
        <v>3875130</v>
      </c>
      <c r="G759">
        <v>30761207</v>
      </c>
      <c r="H759">
        <v>53363765</v>
      </c>
      <c r="I759">
        <v>18324575</v>
      </c>
      <c r="J759">
        <v>118953964</v>
      </c>
      <c r="K759">
        <v>75096114</v>
      </c>
      <c r="L759">
        <v>-4470187</v>
      </c>
      <c r="M759">
        <v>13459862</v>
      </c>
      <c r="N759">
        <v>31950125</v>
      </c>
      <c r="O759">
        <v>32688004</v>
      </c>
      <c r="P759">
        <v>125</v>
      </c>
      <c r="Q759" t="s">
        <v>1752</v>
      </c>
    </row>
    <row r="760" spans="1:17" x14ac:dyDescent="0.3">
      <c r="A760" t="s">
        <v>17</v>
      </c>
      <c r="B760" t="str">
        <f>"600869"</f>
        <v>600869</v>
      </c>
      <c r="C760" t="s">
        <v>1753</v>
      </c>
      <c r="D760" t="s">
        <v>1164</v>
      </c>
      <c r="F760">
        <v>422505626</v>
      </c>
      <c r="G760">
        <v>174316741</v>
      </c>
      <c r="H760">
        <v>321664997</v>
      </c>
      <c r="I760">
        <v>297932277</v>
      </c>
      <c r="J760">
        <v>146049336</v>
      </c>
      <c r="K760">
        <v>284062969</v>
      </c>
      <c r="L760">
        <v>249921126</v>
      </c>
      <c r="M760">
        <v>190360609</v>
      </c>
      <c r="N760">
        <v>162052394</v>
      </c>
      <c r="O760">
        <v>-74770274</v>
      </c>
      <c r="P760">
        <v>206</v>
      </c>
      <c r="Q760" t="s">
        <v>1754</v>
      </c>
    </row>
    <row r="761" spans="1:17" x14ac:dyDescent="0.3">
      <c r="A761" t="s">
        <v>17</v>
      </c>
      <c r="B761" t="str">
        <f>"600870"</f>
        <v>600870</v>
      </c>
      <c r="C761" t="s">
        <v>1755</v>
      </c>
      <c r="D761" t="s">
        <v>131</v>
      </c>
      <c r="F761">
        <v>-3200607</v>
      </c>
      <c r="G761">
        <v>-3389746</v>
      </c>
      <c r="H761">
        <v>-691568</v>
      </c>
      <c r="I761">
        <v>-8318836</v>
      </c>
      <c r="J761">
        <v>-5470887</v>
      </c>
      <c r="K761">
        <v>903411</v>
      </c>
      <c r="L761">
        <v>6649640</v>
      </c>
      <c r="M761">
        <v>-226995987</v>
      </c>
      <c r="N761">
        <v>-62088821</v>
      </c>
      <c r="O761">
        <v>5781417</v>
      </c>
      <c r="P761">
        <v>55</v>
      </c>
      <c r="Q761" t="s">
        <v>1756</v>
      </c>
    </row>
    <row r="762" spans="1:17" x14ac:dyDescent="0.3">
      <c r="A762" t="s">
        <v>17</v>
      </c>
      <c r="B762" t="str">
        <f>"600871"</f>
        <v>600871</v>
      </c>
      <c r="C762" t="s">
        <v>1757</v>
      </c>
      <c r="D762" t="s">
        <v>1758</v>
      </c>
      <c r="F762">
        <v>320341000</v>
      </c>
      <c r="G762">
        <v>231703000</v>
      </c>
      <c r="H762">
        <v>723193000</v>
      </c>
      <c r="I762">
        <v>439974000</v>
      </c>
      <c r="J762">
        <v>-3306005000</v>
      </c>
      <c r="K762">
        <v>-8857992000</v>
      </c>
      <c r="L762">
        <v>-2059887000</v>
      </c>
      <c r="M762">
        <v>-2012329000</v>
      </c>
      <c r="N762">
        <v>-691615000</v>
      </c>
      <c r="O762">
        <v>-290129000</v>
      </c>
      <c r="P762">
        <v>172</v>
      </c>
      <c r="Q762" t="s">
        <v>1759</v>
      </c>
    </row>
    <row r="763" spans="1:17" x14ac:dyDescent="0.3">
      <c r="A763" t="s">
        <v>17</v>
      </c>
      <c r="B763" t="str">
        <f>"600872"</f>
        <v>600872</v>
      </c>
      <c r="C763" t="s">
        <v>1760</v>
      </c>
      <c r="D763" t="s">
        <v>433</v>
      </c>
      <c r="F763">
        <v>366726934</v>
      </c>
      <c r="G763">
        <v>667808604</v>
      </c>
      <c r="H763">
        <v>545588145</v>
      </c>
      <c r="I763">
        <v>485746089</v>
      </c>
      <c r="J763">
        <v>354689080</v>
      </c>
      <c r="K763">
        <v>255996368</v>
      </c>
      <c r="L763">
        <v>168591685</v>
      </c>
      <c r="M763">
        <v>208720465</v>
      </c>
      <c r="N763">
        <v>134984090</v>
      </c>
      <c r="O763">
        <v>90884122</v>
      </c>
      <c r="P763">
        <v>2534</v>
      </c>
      <c r="Q763" t="s">
        <v>1761</v>
      </c>
    </row>
    <row r="764" spans="1:17" x14ac:dyDescent="0.3">
      <c r="A764" t="s">
        <v>17</v>
      </c>
      <c r="B764" t="str">
        <f>"600873"</f>
        <v>600873</v>
      </c>
      <c r="C764" t="s">
        <v>1762</v>
      </c>
      <c r="D764" t="s">
        <v>433</v>
      </c>
      <c r="F764">
        <v>1327033599</v>
      </c>
      <c r="G764">
        <v>819104975</v>
      </c>
      <c r="H764">
        <v>854930792</v>
      </c>
      <c r="I764">
        <v>729301002</v>
      </c>
      <c r="J764">
        <v>695327136</v>
      </c>
      <c r="K764">
        <v>664526924</v>
      </c>
      <c r="L764">
        <v>383528009</v>
      </c>
      <c r="M764">
        <v>271257798</v>
      </c>
      <c r="N764">
        <v>274834322</v>
      </c>
      <c r="O764">
        <v>395851027</v>
      </c>
      <c r="P764">
        <v>990</v>
      </c>
      <c r="Q764" t="s">
        <v>1763</v>
      </c>
    </row>
    <row r="765" spans="1:17" x14ac:dyDescent="0.3">
      <c r="A765" t="s">
        <v>17</v>
      </c>
      <c r="B765" t="str">
        <f>"600874"</f>
        <v>600874</v>
      </c>
      <c r="C765" t="s">
        <v>1764</v>
      </c>
      <c r="D765" t="s">
        <v>33</v>
      </c>
      <c r="F765">
        <v>544688000</v>
      </c>
      <c r="G765">
        <v>436674000</v>
      </c>
      <c r="H765">
        <v>387668000</v>
      </c>
      <c r="I765">
        <v>417153000</v>
      </c>
      <c r="J765">
        <v>410095000</v>
      </c>
      <c r="K765">
        <v>366755000</v>
      </c>
      <c r="L765">
        <v>326812000</v>
      </c>
      <c r="M765">
        <v>254424000</v>
      </c>
      <c r="N765">
        <v>211025000</v>
      </c>
      <c r="O765">
        <v>197223000</v>
      </c>
      <c r="P765">
        <v>201</v>
      </c>
      <c r="Q765" t="s">
        <v>1765</v>
      </c>
    </row>
    <row r="766" spans="1:17" x14ac:dyDescent="0.3">
      <c r="A766" t="s">
        <v>17</v>
      </c>
      <c r="B766" t="str">
        <f>"600875"</f>
        <v>600875</v>
      </c>
      <c r="C766" t="s">
        <v>1766</v>
      </c>
      <c r="D766" t="s">
        <v>973</v>
      </c>
      <c r="F766">
        <v>1866182815</v>
      </c>
      <c r="G766">
        <v>1342402767</v>
      </c>
      <c r="H766">
        <v>1035430086</v>
      </c>
      <c r="I766">
        <v>900447102</v>
      </c>
      <c r="J766">
        <v>431065950</v>
      </c>
      <c r="K766">
        <v>-1064939531</v>
      </c>
      <c r="L766">
        <v>246045532</v>
      </c>
      <c r="M766">
        <v>1089353709</v>
      </c>
      <c r="N766">
        <v>1888492079</v>
      </c>
      <c r="O766">
        <v>1825040903</v>
      </c>
      <c r="P766">
        <v>482</v>
      </c>
      <c r="Q766" t="s">
        <v>1767</v>
      </c>
    </row>
    <row r="767" spans="1:17" x14ac:dyDescent="0.3">
      <c r="A767" t="s">
        <v>17</v>
      </c>
      <c r="B767" t="str">
        <f>"600876"</f>
        <v>600876</v>
      </c>
      <c r="C767" t="s">
        <v>1768</v>
      </c>
      <c r="D767" t="s">
        <v>666</v>
      </c>
      <c r="F767">
        <v>326954085</v>
      </c>
      <c r="G767">
        <v>82011399</v>
      </c>
      <c r="H767">
        <v>46400132</v>
      </c>
      <c r="I767">
        <v>2445374</v>
      </c>
      <c r="J767">
        <v>569179</v>
      </c>
      <c r="K767">
        <v>-71044940</v>
      </c>
      <c r="L767">
        <v>-155016546</v>
      </c>
      <c r="M767">
        <v>7250484</v>
      </c>
      <c r="N767">
        <v>-61585937</v>
      </c>
      <c r="O767">
        <v>-41599645</v>
      </c>
      <c r="P767">
        <v>175</v>
      </c>
      <c r="Q767" t="s">
        <v>1769</v>
      </c>
    </row>
    <row r="768" spans="1:17" x14ac:dyDescent="0.3">
      <c r="A768" t="s">
        <v>17</v>
      </c>
      <c r="B768" t="str">
        <f>"600877"</f>
        <v>600877</v>
      </c>
      <c r="C768" t="s">
        <v>1770</v>
      </c>
      <c r="D768" t="s">
        <v>359</v>
      </c>
      <c r="F768">
        <v>49136517</v>
      </c>
      <c r="G768">
        <v>22316842</v>
      </c>
      <c r="H768">
        <v>-13517264</v>
      </c>
      <c r="I768">
        <v>-161252520</v>
      </c>
      <c r="J768">
        <v>31745622</v>
      </c>
      <c r="K768">
        <v>-123246417</v>
      </c>
      <c r="L768">
        <v>-147421170</v>
      </c>
      <c r="M768">
        <v>19472062</v>
      </c>
      <c r="N768">
        <v>-168785511</v>
      </c>
      <c r="O768">
        <v>-111803047</v>
      </c>
      <c r="P768">
        <v>119</v>
      </c>
      <c r="Q768" t="s">
        <v>1771</v>
      </c>
    </row>
    <row r="769" spans="1:17" x14ac:dyDescent="0.3">
      <c r="A769" t="s">
        <v>17</v>
      </c>
      <c r="B769" t="str">
        <f>"600878"</f>
        <v>600878</v>
      </c>
      <c r="C769" t="s">
        <v>1772</v>
      </c>
      <c r="K769">
        <v>-10803713.890000001</v>
      </c>
      <c r="P769">
        <v>2</v>
      </c>
      <c r="Q769" t="s">
        <v>1773</v>
      </c>
    </row>
    <row r="770" spans="1:17" x14ac:dyDescent="0.3">
      <c r="A770" t="s">
        <v>17</v>
      </c>
      <c r="B770" t="str">
        <f>"600879"</f>
        <v>600879</v>
      </c>
      <c r="C770" t="s">
        <v>1774</v>
      </c>
      <c r="D770" t="s">
        <v>284</v>
      </c>
      <c r="F770">
        <v>429819100</v>
      </c>
      <c r="G770">
        <v>342989343</v>
      </c>
      <c r="H770">
        <v>350811865</v>
      </c>
      <c r="I770">
        <v>342526092</v>
      </c>
      <c r="J770">
        <v>315054581</v>
      </c>
      <c r="K770">
        <v>285209558</v>
      </c>
      <c r="L770">
        <v>128182107</v>
      </c>
      <c r="M770">
        <v>114256312</v>
      </c>
      <c r="N770">
        <v>100079141</v>
      </c>
      <c r="O770">
        <v>95553421</v>
      </c>
      <c r="P770">
        <v>359</v>
      </c>
      <c r="Q770" t="s">
        <v>1775</v>
      </c>
    </row>
    <row r="771" spans="1:17" x14ac:dyDescent="0.3">
      <c r="A771" t="s">
        <v>17</v>
      </c>
      <c r="B771" t="str">
        <f>"600880"</f>
        <v>600880</v>
      </c>
      <c r="C771" t="s">
        <v>1776</v>
      </c>
      <c r="D771" t="s">
        <v>1777</v>
      </c>
      <c r="F771">
        <v>56803306</v>
      </c>
      <c r="G771">
        <v>55823616</v>
      </c>
      <c r="H771">
        <v>59552450</v>
      </c>
      <c r="I771">
        <v>23397500</v>
      </c>
      <c r="J771">
        <v>-42705011</v>
      </c>
      <c r="K771">
        <v>63039441</v>
      </c>
      <c r="L771">
        <v>105354868</v>
      </c>
      <c r="M771">
        <v>217634419</v>
      </c>
      <c r="N771">
        <v>255879593</v>
      </c>
      <c r="O771">
        <v>243778366</v>
      </c>
      <c r="P771">
        <v>314</v>
      </c>
      <c r="Q771" t="s">
        <v>1778</v>
      </c>
    </row>
    <row r="772" spans="1:17" x14ac:dyDescent="0.3">
      <c r="A772" t="s">
        <v>17</v>
      </c>
      <c r="B772" t="str">
        <f>"600881"</f>
        <v>600881</v>
      </c>
      <c r="C772" t="s">
        <v>1779</v>
      </c>
      <c r="D772" t="s">
        <v>110</v>
      </c>
      <c r="F772">
        <v>31756658</v>
      </c>
      <c r="G772">
        <v>153926355</v>
      </c>
      <c r="H772">
        <v>83169545</v>
      </c>
      <c r="I772">
        <v>105254411</v>
      </c>
      <c r="J772">
        <v>171016000</v>
      </c>
      <c r="K772">
        <v>117087076</v>
      </c>
      <c r="L772">
        <v>51094076</v>
      </c>
      <c r="M772">
        <v>160468715</v>
      </c>
      <c r="N772">
        <v>253818788</v>
      </c>
      <c r="O772">
        <v>394788161</v>
      </c>
      <c r="P772">
        <v>144</v>
      </c>
      <c r="Q772" t="s">
        <v>1780</v>
      </c>
    </row>
    <row r="773" spans="1:17" x14ac:dyDescent="0.3">
      <c r="A773" t="s">
        <v>17</v>
      </c>
      <c r="B773" t="str">
        <f>"600882"</f>
        <v>600882</v>
      </c>
      <c r="C773" t="s">
        <v>1781</v>
      </c>
      <c r="D773" t="s">
        <v>900</v>
      </c>
      <c r="F773">
        <v>143353997</v>
      </c>
      <c r="G773">
        <v>52844713</v>
      </c>
      <c r="H773">
        <v>14497033</v>
      </c>
      <c r="I773">
        <v>-4754665</v>
      </c>
      <c r="J773">
        <v>-3188121</v>
      </c>
      <c r="K773">
        <v>34340312</v>
      </c>
      <c r="L773">
        <v>-43690811</v>
      </c>
      <c r="M773">
        <v>142062297</v>
      </c>
      <c r="N773">
        <v>182853373</v>
      </c>
      <c r="O773">
        <v>183386654</v>
      </c>
      <c r="P773">
        <v>515</v>
      </c>
      <c r="Q773" t="s">
        <v>1782</v>
      </c>
    </row>
    <row r="774" spans="1:17" x14ac:dyDescent="0.3">
      <c r="A774" t="s">
        <v>17</v>
      </c>
      <c r="B774" t="str">
        <f>"600883"</f>
        <v>600883</v>
      </c>
      <c r="C774" t="s">
        <v>1783</v>
      </c>
      <c r="D774" t="s">
        <v>731</v>
      </c>
      <c r="F774">
        <v>34774950</v>
      </c>
      <c r="G774">
        <v>13519388</v>
      </c>
      <c r="H774">
        <v>7253059</v>
      </c>
      <c r="I774">
        <v>10754587</v>
      </c>
      <c r="J774">
        <v>43527623</v>
      </c>
      <c r="K774">
        <v>22325516</v>
      </c>
      <c r="L774">
        <v>118878741</v>
      </c>
      <c r="M774">
        <v>-4730935</v>
      </c>
      <c r="N774">
        <v>-2537146</v>
      </c>
      <c r="O774">
        <v>2529055</v>
      </c>
      <c r="P774">
        <v>78</v>
      </c>
      <c r="Q774" t="s">
        <v>1784</v>
      </c>
    </row>
    <row r="775" spans="1:17" x14ac:dyDescent="0.3">
      <c r="A775" t="s">
        <v>17</v>
      </c>
      <c r="B775" t="str">
        <f>"600884"</f>
        <v>600884</v>
      </c>
      <c r="C775" t="s">
        <v>1785</v>
      </c>
      <c r="D775" t="s">
        <v>1786</v>
      </c>
      <c r="F775">
        <v>2774023772</v>
      </c>
      <c r="G775">
        <v>277599425</v>
      </c>
      <c r="H775">
        <v>287739755</v>
      </c>
      <c r="I775">
        <v>1054187280</v>
      </c>
      <c r="J775">
        <v>467973875</v>
      </c>
      <c r="K775">
        <v>268007959</v>
      </c>
      <c r="L775">
        <v>666187438</v>
      </c>
      <c r="M775">
        <v>150968121</v>
      </c>
      <c r="N775">
        <v>117540843</v>
      </c>
      <c r="O775">
        <v>102186347</v>
      </c>
      <c r="P775">
        <v>758</v>
      </c>
      <c r="Q775" t="s">
        <v>1787</v>
      </c>
    </row>
    <row r="776" spans="1:17" x14ac:dyDescent="0.3">
      <c r="A776" t="s">
        <v>17</v>
      </c>
      <c r="B776" t="str">
        <f>"600885"</f>
        <v>600885</v>
      </c>
      <c r="C776" t="s">
        <v>1788</v>
      </c>
      <c r="D776" t="s">
        <v>610</v>
      </c>
      <c r="F776">
        <v>820833744</v>
      </c>
      <c r="G776">
        <v>597236132</v>
      </c>
      <c r="H776">
        <v>555822409</v>
      </c>
      <c r="I776">
        <v>588417534</v>
      </c>
      <c r="J776">
        <v>583369919</v>
      </c>
      <c r="K776">
        <v>478360592</v>
      </c>
      <c r="L776">
        <v>401396091</v>
      </c>
      <c r="M776">
        <v>349814125</v>
      </c>
      <c r="N776">
        <v>239262335</v>
      </c>
      <c r="O776">
        <v>46432962</v>
      </c>
      <c r="P776">
        <v>13104</v>
      </c>
      <c r="Q776" t="s">
        <v>1789</v>
      </c>
    </row>
    <row r="777" spans="1:17" x14ac:dyDescent="0.3">
      <c r="A777" t="s">
        <v>17</v>
      </c>
      <c r="B777" t="str">
        <f>"600886"</f>
        <v>600886</v>
      </c>
      <c r="C777" t="s">
        <v>1790</v>
      </c>
      <c r="D777" t="s">
        <v>66</v>
      </c>
      <c r="F777">
        <v>3461274196</v>
      </c>
      <c r="G777">
        <v>5210932944</v>
      </c>
      <c r="H777">
        <v>4332672877</v>
      </c>
      <c r="I777">
        <v>3595335878</v>
      </c>
      <c r="J777">
        <v>2952819231</v>
      </c>
      <c r="K777">
        <v>3409231825</v>
      </c>
      <c r="L777">
        <v>4536107584</v>
      </c>
      <c r="M777">
        <v>4641548484</v>
      </c>
      <c r="N777">
        <v>2459535917</v>
      </c>
      <c r="O777">
        <v>683757006</v>
      </c>
      <c r="P777">
        <v>2023</v>
      </c>
      <c r="Q777" t="s">
        <v>1791</v>
      </c>
    </row>
    <row r="778" spans="1:17" x14ac:dyDescent="0.3">
      <c r="A778" t="s">
        <v>17</v>
      </c>
      <c r="B778" t="str">
        <f>"600887"</f>
        <v>600887</v>
      </c>
      <c r="C778" t="s">
        <v>1792</v>
      </c>
      <c r="D778" t="s">
        <v>900</v>
      </c>
      <c r="F778">
        <v>7944245163</v>
      </c>
      <c r="G778">
        <v>6024373271</v>
      </c>
      <c r="H778">
        <v>5630691955</v>
      </c>
      <c r="I778">
        <v>5047818748</v>
      </c>
      <c r="J778">
        <v>4937267332</v>
      </c>
      <c r="K778">
        <v>4389943212</v>
      </c>
      <c r="L778">
        <v>3637308160</v>
      </c>
      <c r="M778">
        <v>3558062782</v>
      </c>
      <c r="N778">
        <v>2515585879</v>
      </c>
      <c r="O778">
        <v>1366273546</v>
      </c>
      <c r="P778">
        <v>72798</v>
      </c>
      <c r="Q778" t="s">
        <v>1793</v>
      </c>
    </row>
    <row r="779" spans="1:17" x14ac:dyDescent="0.3">
      <c r="A779" t="s">
        <v>17</v>
      </c>
      <c r="B779" t="str">
        <f>"600888"</f>
        <v>600888</v>
      </c>
      <c r="C779" t="s">
        <v>1794</v>
      </c>
      <c r="D779" t="s">
        <v>504</v>
      </c>
      <c r="F779">
        <v>590437556</v>
      </c>
      <c r="G779">
        <v>240484520</v>
      </c>
      <c r="H779">
        <v>129363336</v>
      </c>
      <c r="I779">
        <v>148722911</v>
      </c>
      <c r="J779">
        <v>105450438</v>
      </c>
      <c r="K779">
        <v>32922572</v>
      </c>
      <c r="L779">
        <v>33533908</v>
      </c>
      <c r="M779">
        <v>-54052824</v>
      </c>
      <c r="N779">
        <v>63345076</v>
      </c>
      <c r="O779">
        <v>120306305</v>
      </c>
      <c r="P779">
        <v>183</v>
      </c>
      <c r="Q779" t="s">
        <v>1795</v>
      </c>
    </row>
    <row r="780" spans="1:17" x14ac:dyDescent="0.3">
      <c r="A780" t="s">
        <v>17</v>
      </c>
      <c r="B780" t="str">
        <f>"600889"</f>
        <v>600889</v>
      </c>
      <c r="C780" t="s">
        <v>1796</v>
      </c>
      <c r="D780" t="s">
        <v>888</v>
      </c>
      <c r="F780">
        <v>121818569</v>
      </c>
      <c r="G780">
        <v>-22305007</v>
      </c>
      <c r="H780">
        <v>-24205372</v>
      </c>
      <c r="I780">
        <v>-84581774</v>
      </c>
      <c r="J780">
        <v>69490465</v>
      </c>
      <c r="K780">
        <v>56907945</v>
      </c>
      <c r="L780">
        <v>459198413</v>
      </c>
      <c r="M780">
        <v>-1523777</v>
      </c>
      <c r="N780">
        <v>314179</v>
      </c>
      <c r="O780">
        <v>-18832731</v>
      </c>
      <c r="P780">
        <v>77</v>
      </c>
      <c r="Q780" t="s">
        <v>1797</v>
      </c>
    </row>
    <row r="781" spans="1:17" x14ac:dyDescent="0.3">
      <c r="A781" t="s">
        <v>17</v>
      </c>
      <c r="B781" t="str">
        <f>"600890"</f>
        <v>600890</v>
      </c>
      <c r="C781" t="s">
        <v>1798</v>
      </c>
      <c r="D781" t="s">
        <v>30</v>
      </c>
      <c r="F781">
        <v>-18211522</v>
      </c>
      <c r="G781">
        <v>-21772482</v>
      </c>
      <c r="H781">
        <v>-21732836</v>
      </c>
      <c r="I781">
        <v>-33135248</v>
      </c>
      <c r="J781">
        <v>-25619613</v>
      </c>
      <c r="K781">
        <v>-19937841</v>
      </c>
      <c r="L781">
        <v>-14824558</v>
      </c>
      <c r="M781">
        <v>-7779930</v>
      </c>
      <c r="N781">
        <v>-12350323</v>
      </c>
      <c r="O781">
        <v>-9558828</v>
      </c>
      <c r="P781">
        <v>73</v>
      </c>
      <c r="Q781" t="s">
        <v>1799</v>
      </c>
    </row>
    <row r="782" spans="1:17" x14ac:dyDescent="0.3">
      <c r="A782" t="s">
        <v>17</v>
      </c>
      <c r="B782" t="str">
        <f>"600891"</f>
        <v>600891</v>
      </c>
      <c r="C782" t="s">
        <v>1800</v>
      </c>
      <c r="G782">
        <v>-119678005</v>
      </c>
      <c r="H782">
        <v>-140918915</v>
      </c>
      <c r="I782">
        <v>55534269</v>
      </c>
      <c r="J782">
        <v>105748380</v>
      </c>
      <c r="K782">
        <v>198565134</v>
      </c>
      <c r="L782">
        <v>51132145</v>
      </c>
      <c r="M782">
        <v>39877903</v>
      </c>
      <c r="N782">
        <v>33295101</v>
      </c>
      <c r="O782">
        <v>47708719</v>
      </c>
      <c r="P782">
        <v>45</v>
      </c>
      <c r="Q782" t="s">
        <v>1801</v>
      </c>
    </row>
    <row r="783" spans="1:17" x14ac:dyDescent="0.3">
      <c r="A783" t="s">
        <v>17</v>
      </c>
      <c r="B783" t="str">
        <f>"600892"</f>
        <v>600892</v>
      </c>
      <c r="C783" t="s">
        <v>1802</v>
      </c>
      <c r="D783" t="s">
        <v>517</v>
      </c>
      <c r="F783">
        <v>-5058823</v>
      </c>
      <c r="G783">
        <v>39104008</v>
      </c>
      <c r="H783">
        <v>5000595</v>
      </c>
      <c r="I783">
        <v>7744983</v>
      </c>
      <c r="J783">
        <v>93731615</v>
      </c>
      <c r="K783">
        <v>63746955</v>
      </c>
      <c r="L783">
        <v>-3302094</v>
      </c>
      <c r="M783">
        <v>168672</v>
      </c>
      <c r="N783">
        <v>2744169</v>
      </c>
      <c r="O783">
        <v>5381953</v>
      </c>
      <c r="P783">
        <v>85</v>
      </c>
      <c r="Q783" t="s">
        <v>1803</v>
      </c>
    </row>
    <row r="784" spans="1:17" x14ac:dyDescent="0.3">
      <c r="A784" t="s">
        <v>17</v>
      </c>
      <c r="B784" t="str">
        <f>"600893"</f>
        <v>600893</v>
      </c>
      <c r="C784" t="s">
        <v>1804</v>
      </c>
      <c r="D784" t="s">
        <v>98</v>
      </c>
      <c r="F784">
        <v>782932066</v>
      </c>
      <c r="G784">
        <v>633521764</v>
      </c>
      <c r="H784">
        <v>413267910</v>
      </c>
      <c r="I784">
        <v>650497978</v>
      </c>
      <c r="J784">
        <v>364930818</v>
      </c>
      <c r="K784">
        <v>300263697</v>
      </c>
      <c r="L784">
        <v>515735698</v>
      </c>
      <c r="M784">
        <v>465308888</v>
      </c>
      <c r="N784">
        <v>205857048</v>
      </c>
      <c r="O784">
        <v>191530657</v>
      </c>
      <c r="P784">
        <v>1086</v>
      </c>
      <c r="Q784" t="s">
        <v>1805</v>
      </c>
    </row>
    <row r="785" spans="1:17" x14ac:dyDescent="0.3">
      <c r="A785" t="s">
        <v>17</v>
      </c>
      <c r="B785" t="str">
        <f>"600894"</f>
        <v>600894</v>
      </c>
      <c r="C785" t="s">
        <v>1806</v>
      </c>
      <c r="D785" t="s">
        <v>1689</v>
      </c>
      <c r="F785">
        <v>536079675</v>
      </c>
      <c r="G785">
        <v>528212014</v>
      </c>
      <c r="H785">
        <v>361210053</v>
      </c>
      <c r="I785">
        <v>260138598</v>
      </c>
      <c r="J785">
        <v>366919542</v>
      </c>
      <c r="K785">
        <v>843079404</v>
      </c>
      <c r="L785">
        <v>2002808569</v>
      </c>
      <c r="M785">
        <v>505346120</v>
      </c>
      <c r="N785">
        <v>404207550</v>
      </c>
      <c r="O785">
        <v>248642891</v>
      </c>
      <c r="P785">
        <v>394</v>
      </c>
      <c r="Q785" t="s">
        <v>1807</v>
      </c>
    </row>
    <row r="786" spans="1:17" x14ac:dyDescent="0.3">
      <c r="A786" t="s">
        <v>17</v>
      </c>
      <c r="B786" t="str">
        <f>"600895"</f>
        <v>600895</v>
      </c>
      <c r="C786" t="s">
        <v>1808</v>
      </c>
      <c r="D786" t="s">
        <v>194</v>
      </c>
      <c r="F786">
        <v>862658443</v>
      </c>
      <c r="G786">
        <v>1007089939</v>
      </c>
      <c r="H786">
        <v>471355310</v>
      </c>
      <c r="I786">
        <v>457707337</v>
      </c>
      <c r="J786">
        <v>394549872</v>
      </c>
      <c r="K786">
        <v>387882616</v>
      </c>
      <c r="L786">
        <v>344193260</v>
      </c>
      <c r="M786">
        <v>144916887</v>
      </c>
      <c r="N786">
        <v>79210309</v>
      </c>
      <c r="O786">
        <v>150060367</v>
      </c>
      <c r="P786">
        <v>336</v>
      </c>
      <c r="Q786" t="s">
        <v>1809</v>
      </c>
    </row>
    <row r="787" spans="1:17" x14ac:dyDescent="0.3">
      <c r="A787" t="s">
        <v>17</v>
      </c>
      <c r="B787" t="str">
        <f>"600896"</f>
        <v>600896</v>
      </c>
      <c r="C787" t="s">
        <v>1810</v>
      </c>
      <c r="D787" t="s">
        <v>1147</v>
      </c>
      <c r="F787">
        <v>-79117459</v>
      </c>
      <c r="G787">
        <v>-122331228</v>
      </c>
      <c r="H787">
        <v>-143501838</v>
      </c>
      <c r="I787">
        <v>36312428</v>
      </c>
      <c r="J787">
        <v>-139082864</v>
      </c>
      <c r="K787">
        <v>-170395710</v>
      </c>
      <c r="L787">
        <v>85778793</v>
      </c>
      <c r="M787">
        <v>-140930767</v>
      </c>
      <c r="N787">
        <v>77653178</v>
      </c>
      <c r="O787">
        <v>-170989585</v>
      </c>
      <c r="P787">
        <v>93</v>
      </c>
      <c r="Q787" t="s">
        <v>1811</v>
      </c>
    </row>
    <row r="788" spans="1:17" x14ac:dyDescent="0.3">
      <c r="A788" t="s">
        <v>17</v>
      </c>
      <c r="B788" t="str">
        <f>"600897"</f>
        <v>600897</v>
      </c>
      <c r="C788" t="s">
        <v>1812</v>
      </c>
      <c r="D788" t="s">
        <v>22</v>
      </c>
      <c r="F788">
        <v>162973576</v>
      </c>
      <c r="G788">
        <v>96870305</v>
      </c>
      <c r="H788">
        <v>397682006</v>
      </c>
      <c r="I788">
        <v>379740226</v>
      </c>
      <c r="J788">
        <v>328242577</v>
      </c>
      <c r="K788">
        <v>324260499</v>
      </c>
      <c r="L788">
        <v>295132156</v>
      </c>
      <c r="M788">
        <v>361505929</v>
      </c>
      <c r="N788">
        <v>328190801</v>
      </c>
      <c r="O788">
        <v>278519002</v>
      </c>
      <c r="P788">
        <v>479</v>
      </c>
      <c r="Q788" t="s">
        <v>1813</v>
      </c>
    </row>
    <row r="789" spans="1:17" x14ac:dyDescent="0.3">
      <c r="A789" t="s">
        <v>17</v>
      </c>
      <c r="B789" t="str">
        <f>"600898"</f>
        <v>600898</v>
      </c>
      <c r="C789" t="s">
        <v>1814</v>
      </c>
      <c r="D789" t="s">
        <v>313</v>
      </c>
      <c r="F789">
        <v>-18851704</v>
      </c>
      <c r="G789">
        <v>-191770159</v>
      </c>
      <c r="H789">
        <v>-208077374</v>
      </c>
      <c r="I789">
        <v>-102546067</v>
      </c>
      <c r="J789">
        <v>-20934515</v>
      </c>
      <c r="K789">
        <v>9203448</v>
      </c>
      <c r="L789">
        <v>22112284</v>
      </c>
      <c r="M789">
        <v>19945004</v>
      </c>
      <c r="N789">
        <v>17349794</v>
      </c>
      <c r="O789">
        <v>14522792</v>
      </c>
      <c r="P789">
        <v>57</v>
      </c>
      <c r="Q789" t="s">
        <v>1815</v>
      </c>
    </row>
    <row r="790" spans="1:17" x14ac:dyDescent="0.3">
      <c r="A790" t="s">
        <v>17</v>
      </c>
      <c r="B790" t="str">
        <f>"600900"</f>
        <v>600900</v>
      </c>
      <c r="C790" t="s">
        <v>1816</v>
      </c>
      <c r="D790" t="s">
        <v>66</v>
      </c>
      <c r="F790">
        <v>19567240614</v>
      </c>
      <c r="G790">
        <v>20250873551</v>
      </c>
      <c r="H790">
        <v>17832682997</v>
      </c>
      <c r="I790">
        <v>17922424043</v>
      </c>
      <c r="J790">
        <v>17755646999</v>
      </c>
      <c r="K790">
        <v>16338604375</v>
      </c>
      <c r="L790">
        <v>9493227112</v>
      </c>
      <c r="M790">
        <v>9449549754</v>
      </c>
      <c r="N790">
        <v>7565073978</v>
      </c>
      <c r="O790">
        <v>8640436048</v>
      </c>
      <c r="P790">
        <v>5902</v>
      </c>
      <c r="Q790" t="s">
        <v>1817</v>
      </c>
    </row>
    <row r="791" spans="1:17" x14ac:dyDescent="0.3">
      <c r="A791" t="s">
        <v>17</v>
      </c>
      <c r="B791" t="str">
        <f>"600901"</f>
        <v>600901</v>
      </c>
      <c r="C791" t="s">
        <v>1818</v>
      </c>
      <c r="D791" t="s">
        <v>336</v>
      </c>
      <c r="F791">
        <v>1576849182</v>
      </c>
      <c r="G791">
        <v>1413704750</v>
      </c>
      <c r="H791">
        <v>1207000493</v>
      </c>
      <c r="I791">
        <v>955673133</v>
      </c>
      <c r="J791">
        <v>866609596</v>
      </c>
      <c r="P791">
        <v>475</v>
      </c>
      <c r="Q791" t="s">
        <v>1819</v>
      </c>
    </row>
    <row r="792" spans="1:17" x14ac:dyDescent="0.3">
      <c r="A792" t="s">
        <v>17</v>
      </c>
      <c r="B792" t="str">
        <f>"600903"</f>
        <v>600903</v>
      </c>
      <c r="C792" t="s">
        <v>1820</v>
      </c>
      <c r="D792" t="s">
        <v>749</v>
      </c>
      <c r="F792">
        <v>162054000</v>
      </c>
      <c r="G792">
        <v>170851351</v>
      </c>
      <c r="H792">
        <v>167612486</v>
      </c>
      <c r="I792">
        <v>116613221</v>
      </c>
      <c r="J792">
        <v>102358683</v>
      </c>
      <c r="K792">
        <v>53051062</v>
      </c>
      <c r="P792">
        <v>186</v>
      </c>
      <c r="Q792" t="s">
        <v>1821</v>
      </c>
    </row>
    <row r="793" spans="1:17" x14ac:dyDescent="0.3">
      <c r="A793" t="s">
        <v>17</v>
      </c>
      <c r="B793" t="str">
        <f>"600905"</f>
        <v>600905</v>
      </c>
      <c r="C793" t="s">
        <v>1822</v>
      </c>
      <c r="D793" t="s">
        <v>383</v>
      </c>
      <c r="F793">
        <v>3998136616</v>
      </c>
      <c r="G793">
        <v>2811297730</v>
      </c>
      <c r="P793">
        <v>657</v>
      </c>
      <c r="Q793" t="s">
        <v>1823</v>
      </c>
    </row>
    <row r="794" spans="1:17" x14ac:dyDescent="0.3">
      <c r="A794" t="s">
        <v>17</v>
      </c>
      <c r="B794" t="str">
        <f>"600906"</f>
        <v>600906</v>
      </c>
      <c r="C794" t="s">
        <v>1824</v>
      </c>
      <c r="D794" t="s">
        <v>80</v>
      </c>
      <c r="F794">
        <v>545943556</v>
      </c>
      <c r="P794">
        <v>131</v>
      </c>
      <c r="Q794" t="s">
        <v>1825</v>
      </c>
    </row>
    <row r="795" spans="1:17" x14ac:dyDescent="0.3">
      <c r="A795" t="s">
        <v>17</v>
      </c>
      <c r="B795" t="str">
        <f>"600908"</f>
        <v>600908</v>
      </c>
      <c r="C795" t="s">
        <v>1826</v>
      </c>
      <c r="D795" t="s">
        <v>1827</v>
      </c>
      <c r="F795">
        <v>1195264000</v>
      </c>
      <c r="G795">
        <v>1001726000</v>
      </c>
      <c r="H795">
        <v>959716000</v>
      </c>
      <c r="I795">
        <v>862354000</v>
      </c>
      <c r="J795">
        <v>771282000</v>
      </c>
      <c r="K795">
        <v>698195540</v>
      </c>
      <c r="L795">
        <v>639281460</v>
      </c>
      <c r="P795">
        <v>897</v>
      </c>
      <c r="Q795" t="s">
        <v>1828</v>
      </c>
    </row>
    <row r="796" spans="1:17" x14ac:dyDescent="0.3">
      <c r="A796" t="s">
        <v>17</v>
      </c>
      <c r="B796" t="str">
        <f>"600909"</f>
        <v>600909</v>
      </c>
      <c r="C796" t="s">
        <v>1829</v>
      </c>
      <c r="D796" t="s">
        <v>80</v>
      </c>
      <c r="F796">
        <v>967930725</v>
      </c>
      <c r="G796">
        <v>1001980798</v>
      </c>
      <c r="H796">
        <v>873400148</v>
      </c>
      <c r="I796">
        <v>357577417</v>
      </c>
      <c r="J796">
        <v>602795439</v>
      </c>
      <c r="K796">
        <v>513934100</v>
      </c>
      <c r="L796">
        <v>1466558843.22</v>
      </c>
      <c r="P796">
        <v>832</v>
      </c>
      <c r="Q796" t="s">
        <v>1830</v>
      </c>
    </row>
    <row r="797" spans="1:17" x14ac:dyDescent="0.3">
      <c r="A797" t="s">
        <v>17</v>
      </c>
      <c r="B797" t="str">
        <f>"600916"</f>
        <v>600916</v>
      </c>
      <c r="C797" t="s">
        <v>1831</v>
      </c>
      <c r="D797" t="s">
        <v>1238</v>
      </c>
      <c r="F797">
        <v>558432709</v>
      </c>
      <c r="G797">
        <v>329385751</v>
      </c>
      <c r="H797">
        <v>244767140</v>
      </c>
      <c r="P797">
        <v>97</v>
      </c>
      <c r="Q797" t="s">
        <v>1832</v>
      </c>
    </row>
    <row r="798" spans="1:17" x14ac:dyDescent="0.3">
      <c r="A798" t="s">
        <v>17</v>
      </c>
      <c r="B798" t="str">
        <f>"600917"</f>
        <v>600917</v>
      </c>
      <c r="C798" t="s">
        <v>1833</v>
      </c>
      <c r="D798" t="s">
        <v>749</v>
      </c>
      <c r="F798">
        <v>314597764</v>
      </c>
      <c r="G798">
        <v>292434100</v>
      </c>
      <c r="H798">
        <v>310900742</v>
      </c>
      <c r="I798">
        <v>283044353</v>
      </c>
      <c r="J798">
        <v>308541908</v>
      </c>
      <c r="K798">
        <v>283274209</v>
      </c>
      <c r="L798">
        <v>272229387</v>
      </c>
      <c r="M798">
        <v>266552921</v>
      </c>
      <c r="N798">
        <v>237030619</v>
      </c>
      <c r="P798">
        <v>176</v>
      </c>
      <c r="Q798" t="s">
        <v>1834</v>
      </c>
    </row>
    <row r="799" spans="1:17" x14ac:dyDescent="0.3">
      <c r="A799" t="s">
        <v>17</v>
      </c>
      <c r="B799" t="str">
        <f>"600918"</f>
        <v>600918</v>
      </c>
      <c r="C799" t="s">
        <v>1835</v>
      </c>
      <c r="D799" t="s">
        <v>80</v>
      </c>
      <c r="F799">
        <v>2544352547</v>
      </c>
      <c r="G799">
        <v>2294728979</v>
      </c>
      <c r="H799">
        <v>1776817251</v>
      </c>
      <c r="I799">
        <v>786367700</v>
      </c>
      <c r="J799">
        <v>1474961300</v>
      </c>
      <c r="L799">
        <v>4996420100</v>
      </c>
      <c r="N799">
        <v>690910000</v>
      </c>
      <c r="P799">
        <v>568</v>
      </c>
      <c r="Q799" t="s">
        <v>1836</v>
      </c>
    </row>
    <row r="800" spans="1:17" x14ac:dyDescent="0.3">
      <c r="A800" t="s">
        <v>17</v>
      </c>
      <c r="B800" t="str">
        <f>"600919"</f>
        <v>600919</v>
      </c>
      <c r="C800" t="s">
        <v>1837</v>
      </c>
      <c r="D800" t="s">
        <v>1838</v>
      </c>
      <c r="F800">
        <v>15603604000</v>
      </c>
      <c r="G800">
        <v>11956011000</v>
      </c>
      <c r="H800">
        <v>11880118000</v>
      </c>
      <c r="I800">
        <v>10257552000</v>
      </c>
      <c r="J800">
        <v>9185756000</v>
      </c>
      <c r="K800">
        <v>8279673000</v>
      </c>
      <c r="L800">
        <v>7350536000</v>
      </c>
      <c r="P800">
        <v>1465</v>
      </c>
      <c r="Q800" t="s">
        <v>1839</v>
      </c>
    </row>
    <row r="801" spans="1:17" x14ac:dyDescent="0.3">
      <c r="A801" t="s">
        <v>17</v>
      </c>
      <c r="B801" t="str">
        <f>"600926"</f>
        <v>600926</v>
      </c>
      <c r="C801" t="s">
        <v>1840</v>
      </c>
      <c r="D801" t="s">
        <v>1838</v>
      </c>
      <c r="F801">
        <v>7035918000</v>
      </c>
      <c r="G801">
        <v>5577129000</v>
      </c>
      <c r="H801">
        <v>5306072000</v>
      </c>
      <c r="I801">
        <v>4412421000</v>
      </c>
      <c r="J801">
        <v>3665739000</v>
      </c>
      <c r="K801">
        <v>3356808000</v>
      </c>
      <c r="L801">
        <v>3132874000</v>
      </c>
      <c r="P801">
        <v>1141</v>
      </c>
      <c r="Q801" t="s">
        <v>1841</v>
      </c>
    </row>
    <row r="802" spans="1:17" x14ac:dyDescent="0.3">
      <c r="A802" t="s">
        <v>17</v>
      </c>
      <c r="B802" t="str">
        <f>"600927"</f>
        <v>600927</v>
      </c>
      <c r="C802" t="s">
        <v>1842</v>
      </c>
      <c r="D802" t="s">
        <v>1843</v>
      </c>
      <c r="F802">
        <v>875435166</v>
      </c>
      <c r="G802">
        <v>766424088</v>
      </c>
      <c r="P802">
        <v>22</v>
      </c>
      <c r="Q802" t="s">
        <v>1844</v>
      </c>
    </row>
    <row r="803" spans="1:17" x14ac:dyDescent="0.3">
      <c r="A803" t="s">
        <v>17</v>
      </c>
      <c r="B803" t="str">
        <f>"600928"</f>
        <v>600928</v>
      </c>
      <c r="C803" t="s">
        <v>1845</v>
      </c>
      <c r="D803" t="s">
        <v>1838</v>
      </c>
      <c r="F803">
        <v>2030141000</v>
      </c>
      <c r="G803">
        <v>1990910000</v>
      </c>
      <c r="H803">
        <v>2010977000</v>
      </c>
      <c r="I803">
        <v>1800367055</v>
      </c>
      <c r="J803">
        <v>1803788000</v>
      </c>
      <c r="L803">
        <v>1375251141</v>
      </c>
      <c r="P803">
        <v>409</v>
      </c>
      <c r="Q803" t="s">
        <v>1846</v>
      </c>
    </row>
    <row r="804" spans="1:17" x14ac:dyDescent="0.3">
      <c r="A804" t="s">
        <v>17</v>
      </c>
      <c r="B804" t="str">
        <f>"600929"</f>
        <v>600929</v>
      </c>
      <c r="C804" t="s">
        <v>1847</v>
      </c>
      <c r="D804" t="s">
        <v>736</v>
      </c>
      <c r="F804">
        <v>81790954</v>
      </c>
      <c r="G804">
        <v>84185487</v>
      </c>
      <c r="H804">
        <v>104842746</v>
      </c>
      <c r="I804">
        <v>99339250</v>
      </c>
      <c r="J804">
        <v>92911634</v>
      </c>
      <c r="P804">
        <v>133</v>
      </c>
      <c r="Q804" t="s">
        <v>1848</v>
      </c>
    </row>
    <row r="805" spans="1:17" x14ac:dyDescent="0.3">
      <c r="A805" t="s">
        <v>17</v>
      </c>
      <c r="B805" t="str">
        <f>"600933"</f>
        <v>600933</v>
      </c>
      <c r="C805" t="s">
        <v>1849</v>
      </c>
      <c r="D805" t="s">
        <v>348</v>
      </c>
      <c r="F805">
        <v>278882932</v>
      </c>
      <c r="G805">
        <v>253015695</v>
      </c>
      <c r="H805">
        <v>293768780</v>
      </c>
      <c r="I805">
        <v>366352454</v>
      </c>
      <c r="J805">
        <v>350563075</v>
      </c>
      <c r="K805">
        <v>361193842</v>
      </c>
      <c r="P805">
        <v>176</v>
      </c>
      <c r="Q805" t="s">
        <v>1850</v>
      </c>
    </row>
    <row r="806" spans="1:17" x14ac:dyDescent="0.3">
      <c r="A806" t="s">
        <v>17</v>
      </c>
      <c r="B806" t="str">
        <f>"600935"</f>
        <v>600935</v>
      </c>
      <c r="C806" t="s">
        <v>1851</v>
      </c>
      <c r="D806" t="s">
        <v>175</v>
      </c>
      <c r="F806">
        <v>585095085</v>
      </c>
      <c r="G806">
        <v>371683424</v>
      </c>
      <c r="P806">
        <v>16</v>
      </c>
      <c r="Q806" t="s">
        <v>1852</v>
      </c>
    </row>
    <row r="807" spans="1:17" x14ac:dyDescent="0.3">
      <c r="A807" t="s">
        <v>17</v>
      </c>
      <c r="B807" t="str">
        <f>"600936"</f>
        <v>600936</v>
      </c>
      <c r="C807" t="s">
        <v>1853</v>
      </c>
      <c r="D807" t="s">
        <v>95</v>
      </c>
      <c r="F807">
        <v>-248481895</v>
      </c>
      <c r="G807">
        <v>-132867843</v>
      </c>
      <c r="H807">
        <v>5320275</v>
      </c>
      <c r="I807">
        <v>142851869</v>
      </c>
      <c r="J807">
        <v>176677030</v>
      </c>
      <c r="K807">
        <v>277809661</v>
      </c>
      <c r="L807">
        <v>341270375</v>
      </c>
      <c r="P807">
        <v>80</v>
      </c>
      <c r="Q807" t="s">
        <v>1854</v>
      </c>
    </row>
    <row r="808" spans="1:17" x14ac:dyDescent="0.3">
      <c r="A808" t="s">
        <v>17</v>
      </c>
      <c r="B808" t="str">
        <f>"600939"</f>
        <v>600939</v>
      </c>
      <c r="C808" t="s">
        <v>1855</v>
      </c>
      <c r="D808" t="s">
        <v>398</v>
      </c>
      <c r="F808">
        <v>356619885</v>
      </c>
      <c r="G808">
        <v>161546263</v>
      </c>
      <c r="H808">
        <v>387687920</v>
      </c>
      <c r="I808">
        <v>208519453</v>
      </c>
      <c r="J808">
        <v>185886526</v>
      </c>
      <c r="K808">
        <v>220057632</v>
      </c>
      <c r="L808">
        <v>679435621</v>
      </c>
      <c r="P808">
        <v>125</v>
      </c>
      <c r="Q808" t="s">
        <v>1856</v>
      </c>
    </row>
    <row r="809" spans="1:17" x14ac:dyDescent="0.3">
      <c r="A809" t="s">
        <v>17</v>
      </c>
      <c r="B809" t="str">
        <f>"600941"</f>
        <v>600941</v>
      </c>
      <c r="C809" t="s">
        <v>1857</v>
      </c>
      <c r="D809" t="s">
        <v>107</v>
      </c>
      <c r="F809">
        <v>86962000000</v>
      </c>
      <c r="G809">
        <v>81555000000</v>
      </c>
      <c r="P809">
        <v>114</v>
      </c>
      <c r="Q809" t="s">
        <v>1858</v>
      </c>
    </row>
    <row r="810" spans="1:17" x14ac:dyDescent="0.3">
      <c r="A810" t="s">
        <v>17</v>
      </c>
      <c r="B810" t="str">
        <f>"600955"</f>
        <v>600955</v>
      </c>
      <c r="C810" t="s">
        <v>1859</v>
      </c>
      <c r="D810" t="s">
        <v>1233</v>
      </c>
      <c r="F810">
        <v>1822851217</v>
      </c>
      <c r="P810">
        <v>46</v>
      </c>
      <c r="Q810" t="s">
        <v>1860</v>
      </c>
    </row>
    <row r="811" spans="1:17" x14ac:dyDescent="0.3">
      <c r="A811" t="s">
        <v>17</v>
      </c>
      <c r="B811" t="str">
        <f>"600956"</f>
        <v>600956</v>
      </c>
      <c r="C811" t="s">
        <v>1861</v>
      </c>
      <c r="D811" t="s">
        <v>383</v>
      </c>
      <c r="F811">
        <v>1531924919</v>
      </c>
      <c r="G811">
        <v>941757297</v>
      </c>
      <c r="H811">
        <v>1055224413</v>
      </c>
      <c r="P811">
        <v>204</v>
      </c>
      <c r="Q811" t="s">
        <v>1862</v>
      </c>
    </row>
    <row r="812" spans="1:17" x14ac:dyDescent="0.3">
      <c r="A812" t="s">
        <v>17</v>
      </c>
      <c r="B812" t="str">
        <f>"600958"</f>
        <v>600958</v>
      </c>
      <c r="C812" t="s">
        <v>1863</v>
      </c>
      <c r="D812" t="s">
        <v>80</v>
      </c>
      <c r="F812">
        <v>4320794537</v>
      </c>
      <c r="G812">
        <v>3050882854</v>
      </c>
      <c r="H812">
        <v>1741410722</v>
      </c>
      <c r="I812">
        <v>903852606</v>
      </c>
      <c r="J812">
        <v>2628915372</v>
      </c>
      <c r="K812">
        <v>1875819990</v>
      </c>
      <c r="L812">
        <v>5910867136</v>
      </c>
      <c r="M812">
        <v>1427545936.98</v>
      </c>
      <c r="P812">
        <v>1248</v>
      </c>
      <c r="Q812" t="s">
        <v>1864</v>
      </c>
    </row>
    <row r="813" spans="1:17" x14ac:dyDescent="0.3">
      <c r="A813" t="s">
        <v>17</v>
      </c>
      <c r="B813" t="str">
        <f>"600959"</f>
        <v>600959</v>
      </c>
      <c r="C813" t="s">
        <v>1865</v>
      </c>
      <c r="D813" t="s">
        <v>95</v>
      </c>
      <c r="F813">
        <v>241417449</v>
      </c>
      <c r="G813">
        <v>318216195</v>
      </c>
      <c r="H813">
        <v>414515703</v>
      </c>
      <c r="I813">
        <v>544397043</v>
      </c>
      <c r="J813">
        <v>695705972</v>
      </c>
      <c r="K813">
        <v>733455287</v>
      </c>
      <c r="L813">
        <v>671861997</v>
      </c>
      <c r="M813">
        <v>681208494</v>
      </c>
      <c r="P813">
        <v>150</v>
      </c>
      <c r="Q813" t="s">
        <v>1866</v>
      </c>
    </row>
    <row r="814" spans="1:17" x14ac:dyDescent="0.3">
      <c r="A814" t="s">
        <v>17</v>
      </c>
      <c r="B814" t="str">
        <f>"600960"</f>
        <v>600960</v>
      </c>
      <c r="C814" t="s">
        <v>1867</v>
      </c>
      <c r="D814" t="s">
        <v>348</v>
      </c>
      <c r="F814">
        <v>-28167769</v>
      </c>
      <c r="G814">
        <v>4554371</v>
      </c>
      <c r="H814">
        <v>7164653</v>
      </c>
      <c r="I814">
        <v>68413542</v>
      </c>
      <c r="J814">
        <v>162927319</v>
      </c>
      <c r="K814">
        <v>37457460</v>
      </c>
      <c r="L814">
        <v>25557036</v>
      </c>
      <c r="M814">
        <v>84736642</v>
      </c>
      <c r="N814">
        <v>41971542</v>
      </c>
      <c r="O814">
        <v>34217297</v>
      </c>
      <c r="P814">
        <v>91</v>
      </c>
      <c r="Q814" t="s">
        <v>1868</v>
      </c>
    </row>
    <row r="815" spans="1:17" x14ac:dyDescent="0.3">
      <c r="A815" t="s">
        <v>17</v>
      </c>
      <c r="B815" t="str">
        <f>"600961"</f>
        <v>600961</v>
      </c>
      <c r="C815" t="s">
        <v>1869</v>
      </c>
      <c r="D815" t="s">
        <v>744</v>
      </c>
      <c r="F815">
        <v>147861915</v>
      </c>
      <c r="G815">
        <v>166999194</v>
      </c>
      <c r="H815">
        <v>4587360</v>
      </c>
      <c r="I815">
        <v>-1571356325</v>
      </c>
      <c r="J815">
        <v>43056706</v>
      </c>
      <c r="K815">
        <v>31626534</v>
      </c>
      <c r="L815">
        <v>-471972558</v>
      </c>
      <c r="M815">
        <v>-46821611</v>
      </c>
      <c r="N815">
        <v>-85796296</v>
      </c>
      <c r="O815">
        <v>-479562069</v>
      </c>
      <c r="P815">
        <v>127</v>
      </c>
      <c r="Q815" t="s">
        <v>1870</v>
      </c>
    </row>
    <row r="816" spans="1:17" x14ac:dyDescent="0.3">
      <c r="A816" t="s">
        <v>17</v>
      </c>
      <c r="B816" t="str">
        <f>"600962"</f>
        <v>600962</v>
      </c>
      <c r="C816" t="s">
        <v>1871</v>
      </c>
      <c r="D816" t="s">
        <v>574</v>
      </c>
      <c r="F816">
        <v>2936935</v>
      </c>
      <c r="G816">
        <v>2023342</v>
      </c>
      <c r="H816">
        <v>7341634</v>
      </c>
      <c r="I816">
        <v>6574185</v>
      </c>
      <c r="J816">
        <v>263241</v>
      </c>
      <c r="K816">
        <v>3517111</v>
      </c>
      <c r="L816">
        <v>3095767</v>
      </c>
      <c r="M816">
        <v>-47639515</v>
      </c>
      <c r="N816">
        <v>-64669978</v>
      </c>
      <c r="O816">
        <v>43181066</v>
      </c>
      <c r="P816">
        <v>94</v>
      </c>
      <c r="Q816" t="s">
        <v>1872</v>
      </c>
    </row>
    <row r="817" spans="1:17" x14ac:dyDescent="0.3">
      <c r="A817" t="s">
        <v>17</v>
      </c>
      <c r="B817" t="str">
        <f>"600963"</f>
        <v>600963</v>
      </c>
      <c r="C817" t="s">
        <v>1873</v>
      </c>
      <c r="D817" t="s">
        <v>694</v>
      </c>
      <c r="F817">
        <v>357341646</v>
      </c>
      <c r="G817">
        <v>267889729</v>
      </c>
      <c r="H817">
        <v>115079083</v>
      </c>
      <c r="I817">
        <v>341028744</v>
      </c>
      <c r="J817">
        <v>199797868</v>
      </c>
      <c r="K817">
        <v>18536044</v>
      </c>
      <c r="L817">
        <v>-282309297</v>
      </c>
      <c r="M817">
        <v>-172138669</v>
      </c>
      <c r="N817">
        <v>-129883258</v>
      </c>
      <c r="O817">
        <v>2352224</v>
      </c>
      <c r="P817">
        <v>201</v>
      </c>
      <c r="Q817" t="s">
        <v>1874</v>
      </c>
    </row>
    <row r="818" spans="1:17" x14ac:dyDescent="0.3">
      <c r="A818" t="s">
        <v>17</v>
      </c>
      <c r="B818" t="str">
        <f>"600965"</f>
        <v>600965</v>
      </c>
      <c r="C818" t="s">
        <v>1875</v>
      </c>
      <c r="D818" t="s">
        <v>1876</v>
      </c>
      <c r="F818">
        <v>147798858</v>
      </c>
      <c r="G818">
        <v>87098288</v>
      </c>
      <c r="H818">
        <v>160041096</v>
      </c>
      <c r="I818">
        <v>144495859</v>
      </c>
      <c r="J818">
        <v>119352860</v>
      </c>
      <c r="K818">
        <v>147334666</v>
      </c>
      <c r="L818">
        <v>135712124</v>
      </c>
      <c r="M818">
        <v>44735866</v>
      </c>
      <c r="N818">
        <v>39326425</v>
      </c>
      <c r="O818">
        <v>15111706</v>
      </c>
      <c r="P818">
        <v>113</v>
      </c>
      <c r="Q818" t="s">
        <v>1877</v>
      </c>
    </row>
    <row r="819" spans="1:17" x14ac:dyDescent="0.3">
      <c r="A819" t="s">
        <v>17</v>
      </c>
      <c r="B819" t="str">
        <f>"600966"</f>
        <v>600966</v>
      </c>
      <c r="C819" t="s">
        <v>1878</v>
      </c>
      <c r="D819" t="s">
        <v>694</v>
      </c>
      <c r="F819">
        <v>1916741006</v>
      </c>
      <c r="G819">
        <v>527477124</v>
      </c>
      <c r="H819">
        <v>137107299</v>
      </c>
      <c r="I819">
        <v>509444303</v>
      </c>
      <c r="J819">
        <v>610217211</v>
      </c>
      <c r="K819">
        <v>107130931</v>
      </c>
      <c r="L819">
        <v>58404148</v>
      </c>
      <c r="M819">
        <v>57005388</v>
      </c>
      <c r="N819">
        <v>-90986098</v>
      </c>
      <c r="O819">
        <v>38343084</v>
      </c>
      <c r="P819">
        <v>396</v>
      </c>
      <c r="Q819" t="s">
        <v>1879</v>
      </c>
    </row>
    <row r="820" spans="1:17" x14ac:dyDescent="0.3">
      <c r="A820" t="s">
        <v>17</v>
      </c>
      <c r="B820" t="str">
        <f>"600967"</f>
        <v>600967</v>
      </c>
      <c r="C820" t="s">
        <v>1880</v>
      </c>
      <c r="D820" t="s">
        <v>428</v>
      </c>
      <c r="F820">
        <v>519483680</v>
      </c>
      <c r="G820">
        <v>468856112</v>
      </c>
      <c r="H820">
        <v>421013722</v>
      </c>
      <c r="I820">
        <v>349305080</v>
      </c>
      <c r="J820">
        <v>320282359</v>
      </c>
      <c r="K820">
        <v>-32420599</v>
      </c>
      <c r="L820">
        <v>-68246274</v>
      </c>
      <c r="M820">
        <v>208748414</v>
      </c>
      <c r="N820">
        <v>215757295</v>
      </c>
      <c r="O820">
        <v>135347646</v>
      </c>
      <c r="P820">
        <v>286</v>
      </c>
      <c r="Q820" t="s">
        <v>1881</v>
      </c>
    </row>
    <row r="821" spans="1:17" x14ac:dyDescent="0.3">
      <c r="A821" t="s">
        <v>17</v>
      </c>
      <c r="B821" t="str">
        <f>"600968"</f>
        <v>600968</v>
      </c>
      <c r="C821" t="s">
        <v>1882</v>
      </c>
      <c r="D821" t="s">
        <v>1758</v>
      </c>
      <c r="F821">
        <v>1342372619</v>
      </c>
      <c r="G821">
        <v>1076530392</v>
      </c>
      <c r="H821">
        <v>885888970</v>
      </c>
      <c r="I821">
        <v>643385511</v>
      </c>
      <c r="P821">
        <v>189</v>
      </c>
      <c r="Q821" t="s">
        <v>1883</v>
      </c>
    </row>
    <row r="822" spans="1:17" x14ac:dyDescent="0.3">
      <c r="A822" t="s">
        <v>17</v>
      </c>
      <c r="B822" t="str">
        <f>"600969"</f>
        <v>600969</v>
      </c>
      <c r="C822" t="s">
        <v>1884</v>
      </c>
      <c r="D822" t="s">
        <v>239</v>
      </c>
      <c r="F822">
        <v>38322660</v>
      </c>
      <c r="G822">
        <v>57097112</v>
      </c>
      <c r="H822">
        <v>79455492</v>
      </c>
      <c r="I822">
        <v>57952157</v>
      </c>
      <c r="J822">
        <v>72222240</v>
      </c>
      <c r="K822">
        <v>85968596</v>
      </c>
      <c r="L822">
        <v>94159178</v>
      </c>
      <c r="M822">
        <v>99965479</v>
      </c>
      <c r="N822">
        <v>80801820</v>
      </c>
      <c r="O822">
        <v>78584753</v>
      </c>
      <c r="P822">
        <v>77</v>
      </c>
      <c r="Q822" t="s">
        <v>1885</v>
      </c>
    </row>
    <row r="823" spans="1:17" x14ac:dyDescent="0.3">
      <c r="A823" t="s">
        <v>17</v>
      </c>
      <c r="B823" t="str">
        <f>"600970"</f>
        <v>600970</v>
      </c>
      <c r="C823" t="s">
        <v>1886</v>
      </c>
      <c r="D823" t="s">
        <v>1887</v>
      </c>
      <c r="F823">
        <v>1424432031</v>
      </c>
      <c r="G823">
        <v>1027161697</v>
      </c>
      <c r="H823">
        <v>1153003843</v>
      </c>
      <c r="I823">
        <v>1010806096</v>
      </c>
      <c r="J823">
        <v>717580841</v>
      </c>
      <c r="K823">
        <v>483530469</v>
      </c>
      <c r="L823">
        <v>394302251</v>
      </c>
      <c r="M823">
        <v>493754931</v>
      </c>
      <c r="N823">
        <v>625642177</v>
      </c>
      <c r="O823">
        <v>872145022</v>
      </c>
      <c r="P823">
        <v>853</v>
      </c>
      <c r="Q823" t="s">
        <v>1888</v>
      </c>
    </row>
    <row r="824" spans="1:17" x14ac:dyDescent="0.3">
      <c r="A824" t="s">
        <v>17</v>
      </c>
      <c r="B824" t="str">
        <f>"600971"</f>
        <v>600971</v>
      </c>
      <c r="C824" t="s">
        <v>1889</v>
      </c>
      <c r="D824" t="s">
        <v>292</v>
      </c>
      <c r="F824">
        <v>813010105</v>
      </c>
      <c r="G824">
        <v>409014467</v>
      </c>
      <c r="H824">
        <v>718625315</v>
      </c>
      <c r="I824">
        <v>688759613</v>
      </c>
      <c r="J824">
        <v>951764071</v>
      </c>
      <c r="K824">
        <v>116974381</v>
      </c>
      <c r="L824">
        <v>-898807616</v>
      </c>
      <c r="M824">
        <v>42016459</v>
      </c>
      <c r="N824">
        <v>170872654</v>
      </c>
      <c r="O824">
        <v>721115632</v>
      </c>
      <c r="P824">
        <v>1522</v>
      </c>
      <c r="Q824" t="s">
        <v>1890</v>
      </c>
    </row>
    <row r="825" spans="1:17" x14ac:dyDescent="0.3">
      <c r="A825" t="s">
        <v>17</v>
      </c>
      <c r="B825" t="str">
        <f>"600973"</f>
        <v>600973</v>
      </c>
      <c r="C825" t="s">
        <v>1891</v>
      </c>
      <c r="D825" t="s">
        <v>1164</v>
      </c>
      <c r="F825">
        <v>286245275</v>
      </c>
      <c r="G825">
        <v>207657268</v>
      </c>
      <c r="H825">
        <v>165202760</v>
      </c>
      <c r="I825">
        <v>114750919</v>
      </c>
      <c r="J825">
        <v>100425392</v>
      </c>
      <c r="K825">
        <v>178166120</v>
      </c>
      <c r="L825">
        <v>100135261</v>
      </c>
      <c r="M825">
        <v>79284658</v>
      </c>
      <c r="N825">
        <v>77823546</v>
      </c>
      <c r="O825">
        <v>66768637</v>
      </c>
      <c r="P825">
        <v>116</v>
      </c>
      <c r="Q825" t="s">
        <v>1892</v>
      </c>
    </row>
    <row r="826" spans="1:17" x14ac:dyDescent="0.3">
      <c r="A826" t="s">
        <v>17</v>
      </c>
      <c r="B826" t="str">
        <f>"600975"</f>
        <v>600975</v>
      </c>
      <c r="C826" t="s">
        <v>1893</v>
      </c>
      <c r="D826" t="s">
        <v>1894</v>
      </c>
      <c r="F826">
        <v>-100423484</v>
      </c>
      <c r="G826">
        <v>237221497</v>
      </c>
      <c r="H826">
        <v>-41737460</v>
      </c>
      <c r="I826">
        <v>-43453727</v>
      </c>
      <c r="J826">
        <v>52599767</v>
      </c>
      <c r="K826">
        <v>205591065</v>
      </c>
      <c r="L826">
        <v>8890680</v>
      </c>
      <c r="M826">
        <v>-39270640</v>
      </c>
      <c r="N826">
        <v>6586920</v>
      </c>
      <c r="O826">
        <v>19586350</v>
      </c>
      <c r="P826">
        <v>305</v>
      </c>
      <c r="Q826" t="s">
        <v>1895</v>
      </c>
    </row>
    <row r="827" spans="1:17" x14ac:dyDescent="0.3">
      <c r="A827" t="s">
        <v>17</v>
      </c>
      <c r="B827" t="str">
        <f>"600976"</f>
        <v>600976</v>
      </c>
      <c r="C827" t="s">
        <v>1896</v>
      </c>
      <c r="D827" t="s">
        <v>188</v>
      </c>
      <c r="F827">
        <v>257101117</v>
      </c>
      <c r="G827">
        <v>125808429</v>
      </c>
      <c r="H827">
        <v>73466331</v>
      </c>
      <c r="I827">
        <v>72868758</v>
      </c>
      <c r="J827">
        <v>72512643</v>
      </c>
      <c r="K827">
        <v>56239560</v>
      </c>
      <c r="L827">
        <v>72526639</v>
      </c>
      <c r="M827">
        <v>102409496</v>
      </c>
      <c r="N827">
        <v>80388371</v>
      </c>
      <c r="O827">
        <v>64126801</v>
      </c>
      <c r="P827">
        <v>249</v>
      </c>
      <c r="Q827" t="s">
        <v>1897</v>
      </c>
    </row>
    <row r="828" spans="1:17" x14ac:dyDescent="0.3">
      <c r="A828" t="s">
        <v>17</v>
      </c>
      <c r="B828" t="str">
        <f>"600977"</f>
        <v>600977</v>
      </c>
      <c r="C828" t="s">
        <v>1898</v>
      </c>
      <c r="D828" t="s">
        <v>113</v>
      </c>
      <c r="F828">
        <v>261616159</v>
      </c>
      <c r="G828">
        <v>-559367123</v>
      </c>
      <c r="H828">
        <v>874123039</v>
      </c>
      <c r="I828">
        <v>1298314870</v>
      </c>
      <c r="J828">
        <v>708018371</v>
      </c>
      <c r="K828">
        <v>690592478</v>
      </c>
      <c r="L828">
        <v>668466212</v>
      </c>
      <c r="P828">
        <v>554</v>
      </c>
      <c r="Q828" t="s">
        <v>1899</v>
      </c>
    </row>
    <row r="829" spans="1:17" x14ac:dyDescent="0.3">
      <c r="A829" t="s">
        <v>17</v>
      </c>
      <c r="B829" t="str">
        <f>"600978"</f>
        <v>600978</v>
      </c>
      <c r="C829" t="s">
        <v>1900</v>
      </c>
      <c r="G829">
        <v>-688801772</v>
      </c>
      <c r="H829">
        <v>135126459</v>
      </c>
      <c r="I829">
        <v>529125564</v>
      </c>
      <c r="J829">
        <v>702930686</v>
      </c>
      <c r="K829">
        <v>610042656</v>
      </c>
      <c r="L829">
        <v>527118934</v>
      </c>
      <c r="M829">
        <v>449388688</v>
      </c>
      <c r="N829">
        <v>349529415</v>
      </c>
      <c r="O829">
        <v>258956602</v>
      </c>
      <c r="P829">
        <v>167</v>
      </c>
      <c r="Q829" t="s">
        <v>1901</v>
      </c>
    </row>
    <row r="830" spans="1:17" x14ac:dyDescent="0.3">
      <c r="A830" t="s">
        <v>17</v>
      </c>
      <c r="B830" t="str">
        <f>"600979"</f>
        <v>600979</v>
      </c>
      <c r="C830" t="s">
        <v>1902</v>
      </c>
      <c r="D830" t="s">
        <v>239</v>
      </c>
      <c r="F830">
        <v>181637762</v>
      </c>
      <c r="G830">
        <v>167045600</v>
      </c>
      <c r="H830">
        <v>208503786</v>
      </c>
      <c r="I830">
        <v>202782832</v>
      </c>
      <c r="J830">
        <v>205508448</v>
      </c>
      <c r="K830">
        <v>168450403</v>
      </c>
      <c r="L830">
        <v>140316848</v>
      </c>
      <c r="M830">
        <v>82523396</v>
      </c>
      <c r="N830">
        <v>56273713</v>
      </c>
      <c r="O830">
        <v>53705049</v>
      </c>
      <c r="P830">
        <v>117</v>
      </c>
      <c r="Q830" t="s">
        <v>1903</v>
      </c>
    </row>
    <row r="831" spans="1:17" x14ac:dyDescent="0.3">
      <c r="A831" t="s">
        <v>17</v>
      </c>
      <c r="B831" t="str">
        <f>"600980"</f>
        <v>600980</v>
      </c>
      <c r="C831" t="s">
        <v>1904</v>
      </c>
      <c r="D831" t="s">
        <v>808</v>
      </c>
      <c r="F831">
        <v>55542891</v>
      </c>
      <c r="G831">
        <v>32813411</v>
      </c>
      <c r="H831">
        <v>31067140</v>
      </c>
      <c r="I831">
        <v>30801376</v>
      </c>
      <c r="J831">
        <v>30909107</v>
      </c>
      <c r="K831">
        <v>18099551</v>
      </c>
      <c r="L831">
        <v>1820457</v>
      </c>
      <c r="M831">
        <v>3160300</v>
      </c>
      <c r="N831">
        <v>16645659</v>
      </c>
      <c r="O831">
        <v>-18267936</v>
      </c>
      <c r="P831">
        <v>97</v>
      </c>
      <c r="Q831" t="s">
        <v>1905</v>
      </c>
    </row>
    <row r="832" spans="1:17" x14ac:dyDescent="0.3">
      <c r="A832" t="s">
        <v>17</v>
      </c>
      <c r="B832" t="str">
        <f>"600981"</f>
        <v>600981</v>
      </c>
      <c r="C832" t="s">
        <v>1906</v>
      </c>
      <c r="D832" t="s">
        <v>131</v>
      </c>
      <c r="F832">
        <v>155602813</v>
      </c>
      <c r="G832">
        <v>160332006</v>
      </c>
      <c r="H832">
        <v>192010195</v>
      </c>
      <c r="I832">
        <v>979465742</v>
      </c>
      <c r="J832">
        <v>350277976</v>
      </c>
      <c r="K832">
        <v>561676220</v>
      </c>
      <c r="L832">
        <v>734787661</v>
      </c>
      <c r="M832">
        <v>17621187</v>
      </c>
      <c r="N832">
        <v>17394622</v>
      </c>
      <c r="O832">
        <v>23718718</v>
      </c>
      <c r="P832">
        <v>99</v>
      </c>
      <c r="Q832" t="s">
        <v>1907</v>
      </c>
    </row>
    <row r="833" spans="1:17" x14ac:dyDescent="0.3">
      <c r="A833" t="s">
        <v>17</v>
      </c>
      <c r="B833" t="str">
        <f>"600982"</f>
        <v>600982</v>
      </c>
      <c r="C833" t="s">
        <v>1908</v>
      </c>
      <c r="D833" t="s">
        <v>351</v>
      </c>
      <c r="F833">
        <v>154703231</v>
      </c>
      <c r="G833">
        <v>149343995</v>
      </c>
      <c r="H833">
        <v>110261462</v>
      </c>
      <c r="I833">
        <v>129242923</v>
      </c>
      <c r="J833">
        <v>92750405</v>
      </c>
      <c r="K833">
        <v>51740349</v>
      </c>
      <c r="L833">
        <v>82229119</v>
      </c>
      <c r="M833">
        <v>119725260</v>
      </c>
      <c r="N833">
        <v>46974102</v>
      </c>
      <c r="O833">
        <v>43461749</v>
      </c>
      <c r="P833">
        <v>135</v>
      </c>
      <c r="Q833" t="s">
        <v>1909</v>
      </c>
    </row>
    <row r="834" spans="1:17" x14ac:dyDescent="0.3">
      <c r="A834" t="s">
        <v>17</v>
      </c>
      <c r="B834" t="str">
        <f>"600983"</f>
        <v>600983</v>
      </c>
      <c r="C834" t="s">
        <v>1910</v>
      </c>
      <c r="D834" t="s">
        <v>754</v>
      </c>
      <c r="F834">
        <v>-227014168</v>
      </c>
      <c r="G834">
        <v>-113892147</v>
      </c>
      <c r="H834">
        <v>-69208627</v>
      </c>
      <c r="I834">
        <v>354319433</v>
      </c>
      <c r="J834">
        <v>-56609380</v>
      </c>
      <c r="K834">
        <v>249339353</v>
      </c>
      <c r="L834">
        <v>349193587</v>
      </c>
      <c r="M834">
        <v>303363596</v>
      </c>
      <c r="N834">
        <v>322761236</v>
      </c>
      <c r="O834">
        <v>257456704</v>
      </c>
      <c r="P834">
        <v>128</v>
      </c>
      <c r="Q834" t="s">
        <v>1911</v>
      </c>
    </row>
    <row r="835" spans="1:17" x14ac:dyDescent="0.3">
      <c r="A835" t="s">
        <v>17</v>
      </c>
      <c r="B835" t="str">
        <f>"600984"</f>
        <v>600984</v>
      </c>
      <c r="C835" t="s">
        <v>1912</v>
      </c>
      <c r="D835" t="s">
        <v>83</v>
      </c>
      <c r="F835">
        <v>433001054</v>
      </c>
      <c r="G835">
        <v>375225819</v>
      </c>
      <c r="H835">
        <v>381949603</v>
      </c>
      <c r="I835">
        <v>116488080</v>
      </c>
      <c r="J835">
        <v>89173245</v>
      </c>
      <c r="K835">
        <v>70482262</v>
      </c>
      <c r="L835">
        <v>2643911</v>
      </c>
      <c r="M835">
        <v>-46062235</v>
      </c>
      <c r="N835">
        <v>-79064408</v>
      </c>
      <c r="O835">
        <v>-12157909</v>
      </c>
      <c r="P835">
        <v>279</v>
      </c>
      <c r="Q835" t="s">
        <v>1913</v>
      </c>
    </row>
    <row r="836" spans="1:17" x14ac:dyDescent="0.3">
      <c r="A836" t="s">
        <v>17</v>
      </c>
      <c r="B836" t="str">
        <f>"600985"</f>
        <v>600985</v>
      </c>
      <c r="C836" t="s">
        <v>1914</v>
      </c>
      <c r="D836" t="s">
        <v>298</v>
      </c>
      <c r="F836">
        <v>3642789413</v>
      </c>
      <c r="G836">
        <v>2773904610</v>
      </c>
      <c r="H836">
        <v>2833362123</v>
      </c>
      <c r="I836">
        <v>2463275204</v>
      </c>
      <c r="J836">
        <v>78202847</v>
      </c>
      <c r="K836">
        <v>87041396</v>
      </c>
      <c r="L836">
        <v>69502323</v>
      </c>
      <c r="M836">
        <v>91097786</v>
      </c>
      <c r="N836">
        <v>80292174</v>
      </c>
      <c r="O836">
        <v>30258000</v>
      </c>
      <c r="P836">
        <v>1007</v>
      </c>
      <c r="Q836" t="s">
        <v>1915</v>
      </c>
    </row>
    <row r="837" spans="1:17" x14ac:dyDescent="0.3">
      <c r="A837" t="s">
        <v>17</v>
      </c>
      <c r="B837" t="str">
        <f>"600986"</f>
        <v>600986</v>
      </c>
      <c r="C837" t="s">
        <v>1916</v>
      </c>
      <c r="D837" t="s">
        <v>207</v>
      </c>
      <c r="F837">
        <v>210418844</v>
      </c>
      <c r="G837">
        <v>102202374</v>
      </c>
      <c r="H837">
        <v>124709684</v>
      </c>
      <c r="I837">
        <v>448098358</v>
      </c>
      <c r="J837">
        <v>320395915</v>
      </c>
      <c r="K837">
        <v>302553090</v>
      </c>
      <c r="L837">
        <v>75292933</v>
      </c>
      <c r="M837">
        <v>48064209</v>
      </c>
      <c r="N837">
        <v>34286405</v>
      </c>
      <c r="O837">
        <v>29689722</v>
      </c>
      <c r="P837">
        <v>239</v>
      </c>
      <c r="Q837" t="s">
        <v>1917</v>
      </c>
    </row>
    <row r="838" spans="1:17" x14ac:dyDescent="0.3">
      <c r="A838" t="s">
        <v>17</v>
      </c>
      <c r="B838" t="str">
        <f>"600987"</f>
        <v>600987</v>
      </c>
      <c r="C838" t="s">
        <v>1918</v>
      </c>
      <c r="D838" t="s">
        <v>817</v>
      </c>
      <c r="F838">
        <v>420533822</v>
      </c>
      <c r="G838">
        <v>398936811</v>
      </c>
      <c r="H838">
        <v>497839838</v>
      </c>
      <c r="I838">
        <v>420156272</v>
      </c>
      <c r="J838">
        <v>376454243</v>
      </c>
      <c r="K838">
        <v>357117452</v>
      </c>
      <c r="L838">
        <v>338382987</v>
      </c>
      <c r="M838">
        <v>276075490</v>
      </c>
      <c r="N838">
        <v>226425085</v>
      </c>
      <c r="O838">
        <v>188318908</v>
      </c>
      <c r="P838">
        <v>4846</v>
      </c>
      <c r="Q838" t="s">
        <v>1919</v>
      </c>
    </row>
    <row r="839" spans="1:17" x14ac:dyDescent="0.3">
      <c r="A839" t="s">
        <v>17</v>
      </c>
      <c r="B839" t="str">
        <f>"600988"</f>
        <v>600988</v>
      </c>
      <c r="C839" t="s">
        <v>1920</v>
      </c>
      <c r="D839" t="s">
        <v>701</v>
      </c>
      <c r="F839">
        <v>550960830</v>
      </c>
      <c r="G839">
        <v>506702440</v>
      </c>
      <c r="H839">
        <v>135752335</v>
      </c>
      <c r="I839">
        <v>84705790</v>
      </c>
      <c r="J839">
        <v>152811496</v>
      </c>
      <c r="K839">
        <v>152420530</v>
      </c>
      <c r="L839">
        <v>96986716</v>
      </c>
      <c r="M839">
        <v>133026753</v>
      </c>
      <c r="N839">
        <v>98041858</v>
      </c>
      <c r="O839">
        <v>2969747</v>
      </c>
      <c r="P839">
        <v>487</v>
      </c>
      <c r="Q839" t="s">
        <v>1921</v>
      </c>
    </row>
    <row r="840" spans="1:17" x14ac:dyDescent="0.3">
      <c r="A840" t="s">
        <v>17</v>
      </c>
      <c r="B840" t="str">
        <f>"600989"</f>
        <v>600989</v>
      </c>
      <c r="C840" t="s">
        <v>1922</v>
      </c>
      <c r="D840" t="s">
        <v>914</v>
      </c>
      <c r="F840">
        <v>5318129129</v>
      </c>
      <c r="G840">
        <v>3151662684</v>
      </c>
      <c r="H840">
        <v>2832548159</v>
      </c>
      <c r="I840">
        <v>2387657791</v>
      </c>
      <c r="J840">
        <v>2157717083</v>
      </c>
      <c r="P840">
        <v>769</v>
      </c>
      <c r="Q840" t="s">
        <v>1923</v>
      </c>
    </row>
    <row r="841" spans="1:17" x14ac:dyDescent="0.3">
      <c r="A841" t="s">
        <v>17</v>
      </c>
      <c r="B841" t="str">
        <f>"600990"</f>
        <v>600990</v>
      </c>
      <c r="C841" t="s">
        <v>1924</v>
      </c>
      <c r="D841" t="s">
        <v>1136</v>
      </c>
      <c r="F841">
        <v>-33871258</v>
      </c>
      <c r="G841">
        <v>-75267747</v>
      </c>
      <c r="H841">
        <v>-72365567</v>
      </c>
      <c r="I841">
        <v>-4717841</v>
      </c>
      <c r="J841">
        <v>70685746</v>
      </c>
      <c r="K841">
        <v>29961034</v>
      </c>
      <c r="L841">
        <v>29735131</v>
      </c>
      <c r="M841">
        <v>27894768</v>
      </c>
      <c r="N841">
        <v>12567097</v>
      </c>
      <c r="O841">
        <v>12553839</v>
      </c>
      <c r="P841">
        <v>166</v>
      </c>
      <c r="Q841" t="s">
        <v>1925</v>
      </c>
    </row>
    <row r="842" spans="1:17" x14ac:dyDescent="0.3">
      <c r="A842" t="s">
        <v>17</v>
      </c>
      <c r="B842" t="str">
        <f>"600992"</f>
        <v>600992</v>
      </c>
      <c r="C842" t="s">
        <v>1926</v>
      </c>
      <c r="D842" t="s">
        <v>274</v>
      </c>
      <c r="F842">
        <v>21010287</v>
      </c>
      <c r="G842">
        <v>20420907</v>
      </c>
      <c r="H842">
        <v>19377287</v>
      </c>
      <c r="I842">
        <v>17033809</v>
      </c>
      <c r="J842">
        <v>13776308</v>
      </c>
      <c r="K842">
        <v>13146737</v>
      </c>
      <c r="L842">
        <v>12492908</v>
      </c>
      <c r="M842">
        <v>14851991</v>
      </c>
      <c r="N842">
        <v>14709810</v>
      </c>
      <c r="O842">
        <v>12012906</v>
      </c>
      <c r="P842">
        <v>57</v>
      </c>
      <c r="Q842" t="s">
        <v>1927</v>
      </c>
    </row>
    <row r="843" spans="1:17" x14ac:dyDescent="0.3">
      <c r="A843" t="s">
        <v>17</v>
      </c>
      <c r="B843" t="str">
        <f>"600993"</f>
        <v>600993</v>
      </c>
      <c r="C843" t="s">
        <v>1928</v>
      </c>
      <c r="D843" t="s">
        <v>188</v>
      </c>
      <c r="F843">
        <v>367748167</v>
      </c>
      <c r="G843">
        <v>329516389</v>
      </c>
      <c r="H843">
        <v>293265429</v>
      </c>
      <c r="I843">
        <v>120685978</v>
      </c>
      <c r="J843">
        <v>235680970</v>
      </c>
      <c r="K843">
        <v>206846499</v>
      </c>
      <c r="L843">
        <v>185367534</v>
      </c>
      <c r="M843">
        <v>179916436</v>
      </c>
      <c r="N843">
        <v>160865744</v>
      </c>
      <c r="O843">
        <v>145367913</v>
      </c>
      <c r="P843">
        <v>942</v>
      </c>
      <c r="Q843" t="s">
        <v>1929</v>
      </c>
    </row>
    <row r="844" spans="1:17" x14ac:dyDescent="0.3">
      <c r="A844" t="s">
        <v>17</v>
      </c>
      <c r="B844" t="str">
        <f>"600995"</f>
        <v>600995</v>
      </c>
      <c r="C844" t="s">
        <v>1930</v>
      </c>
      <c r="D844" t="s">
        <v>239</v>
      </c>
      <c r="F844">
        <v>152847106</v>
      </c>
      <c r="G844">
        <v>250810072</v>
      </c>
      <c r="H844">
        <v>382153568</v>
      </c>
      <c r="I844">
        <v>328558332</v>
      </c>
      <c r="J844">
        <v>222382761</v>
      </c>
      <c r="K844">
        <v>147495690</v>
      </c>
      <c r="L844">
        <v>120693194</v>
      </c>
      <c r="M844">
        <v>141896277</v>
      </c>
      <c r="N844">
        <v>137196676</v>
      </c>
      <c r="O844">
        <v>149700661</v>
      </c>
      <c r="P844">
        <v>267</v>
      </c>
      <c r="Q844" t="s">
        <v>1931</v>
      </c>
    </row>
    <row r="845" spans="1:17" x14ac:dyDescent="0.3">
      <c r="A845" t="s">
        <v>17</v>
      </c>
      <c r="B845" t="str">
        <f>"600996"</f>
        <v>600996</v>
      </c>
      <c r="C845" t="s">
        <v>1932</v>
      </c>
      <c r="D845" t="s">
        <v>95</v>
      </c>
      <c r="F845">
        <v>-575861546</v>
      </c>
      <c r="G845">
        <v>63326385</v>
      </c>
      <c r="H845">
        <v>170812350</v>
      </c>
      <c r="I845">
        <v>252387825</v>
      </c>
      <c r="J845">
        <v>345210709</v>
      </c>
      <c r="K845">
        <v>418454400</v>
      </c>
      <c r="L845">
        <v>350887200</v>
      </c>
      <c r="P845">
        <v>244</v>
      </c>
      <c r="Q845" t="s">
        <v>1933</v>
      </c>
    </row>
    <row r="846" spans="1:17" x14ac:dyDescent="0.3">
      <c r="A846" t="s">
        <v>17</v>
      </c>
      <c r="B846" t="str">
        <f>"600997"</f>
        <v>600997</v>
      </c>
      <c r="C846" t="s">
        <v>1934</v>
      </c>
      <c r="D846" t="s">
        <v>885</v>
      </c>
      <c r="F846">
        <v>1608346113</v>
      </c>
      <c r="G846">
        <v>805608542</v>
      </c>
      <c r="H846">
        <v>1011374410</v>
      </c>
      <c r="I846">
        <v>991108798</v>
      </c>
      <c r="J846">
        <v>327410222</v>
      </c>
      <c r="K846">
        <v>203826308</v>
      </c>
      <c r="L846">
        <v>-380187316</v>
      </c>
      <c r="M846">
        <v>130736994</v>
      </c>
      <c r="N846">
        <v>215306932</v>
      </c>
      <c r="O846">
        <v>480933151</v>
      </c>
      <c r="P846">
        <v>729</v>
      </c>
      <c r="Q846" t="s">
        <v>1935</v>
      </c>
    </row>
    <row r="847" spans="1:17" x14ac:dyDescent="0.3">
      <c r="A847" t="s">
        <v>17</v>
      </c>
      <c r="B847" t="str">
        <f>"600998"</f>
        <v>600998</v>
      </c>
      <c r="C847" t="s">
        <v>1936</v>
      </c>
      <c r="D847" t="s">
        <v>125</v>
      </c>
      <c r="F847">
        <v>2404832073</v>
      </c>
      <c r="G847">
        <v>2141280033</v>
      </c>
      <c r="H847">
        <v>1018557167</v>
      </c>
      <c r="I847">
        <v>771365970</v>
      </c>
      <c r="J847">
        <v>954919492</v>
      </c>
      <c r="K847">
        <v>457377074</v>
      </c>
      <c r="L847">
        <v>375319769</v>
      </c>
      <c r="M847">
        <v>295733496</v>
      </c>
      <c r="N847">
        <v>241014420</v>
      </c>
      <c r="O847">
        <v>189264299</v>
      </c>
      <c r="P847">
        <v>612</v>
      </c>
      <c r="Q847" t="s">
        <v>1937</v>
      </c>
    </row>
    <row r="848" spans="1:17" x14ac:dyDescent="0.3">
      <c r="A848" t="s">
        <v>17</v>
      </c>
      <c r="B848" t="str">
        <f>"600999"</f>
        <v>600999</v>
      </c>
      <c r="C848" t="s">
        <v>1938</v>
      </c>
      <c r="D848" t="s">
        <v>80</v>
      </c>
      <c r="F848">
        <v>8501247051</v>
      </c>
      <c r="G848">
        <v>7271161214</v>
      </c>
      <c r="H848">
        <v>4823594061</v>
      </c>
      <c r="I848">
        <v>3071722755</v>
      </c>
      <c r="J848">
        <v>4171268022</v>
      </c>
      <c r="K848">
        <v>3978473869</v>
      </c>
      <c r="L848">
        <v>8833440898</v>
      </c>
      <c r="M848">
        <v>2533466555</v>
      </c>
      <c r="N848">
        <v>1582651701</v>
      </c>
      <c r="O848">
        <v>1217150607</v>
      </c>
      <c r="P848">
        <v>2820</v>
      </c>
      <c r="Q848" t="s">
        <v>1939</v>
      </c>
    </row>
    <row r="849" spans="1:17" x14ac:dyDescent="0.3">
      <c r="A849" t="s">
        <v>17</v>
      </c>
      <c r="B849" t="str">
        <f>"601000"</f>
        <v>601000</v>
      </c>
      <c r="C849" t="s">
        <v>1940</v>
      </c>
      <c r="D849" t="s">
        <v>51</v>
      </c>
      <c r="F849">
        <v>1747550709</v>
      </c>
      <c r="G849">
        <v>1352147707</v>
      </c>
      <c r="H849">
        <v>1253119979</v>
      </c>
      <c r="I849">
        <v>1108463549</v>
      </c>
      <c r="J849">
        <v>1102061797</v>
      </c>
      <c r="K849">
        <v>960995498</v>
      </c>
      <c r="L849">
        <v>832300398</v>
      </c>
      <c r="M849">
        <v>754044271</v>
      </c>
      <c r="N849">
        <v>658528951</v>
      </c>
      <c r="O849">
        <v>476157168</v>
      </c>
      <c r="P849">
        <v>892</v>
      </c>
      <c r="Q849" t="s">
        <v>1941</v>
      </c>
    </row>
    <row r="850" spans="1:17" x14ac:dyDescent="0.3">
      <c r="A850" t="s">
        <v>17</v>
      </c>
      <c r="B850" t="str">
        <f>"601001"</f>
        <v>601001</v>
      </c>
      <c r="C850" t="s">
        <v>1942</v>
      </c>
      <c r="D850" t="s">
        <v>292</v>
      </c>
      <c r="F850">
        <v>2596125441</v>
      </c>
      <c r="G850">
        <v>762973521</v>
      </c>
      <c r="H850">
        <v>677144572</v>
      </c>
      <c r="I850">
        <v>657762577</v>
      </c>
      <c r="J850">
        <v>655488100</v>
      </c>
      <c r="K850">
        <v>257748173</v>
      </c>
      <c r="L850">
        <v>-1139299854</v>
      </c>
      <c r="M850">
        <v>564459577</v>
      </c>
      <c r="N850">
        <v>-888170340</v>
      </c>
      <c r="O850">
        <v>212363633</v>
      </c>
      <c r="P850">
        <v>289</v>
      </c>
      <c r="Q850" t="s">
        <v>1943</v>
      </c>
    </row>
    <row r="851" spans="1:17" x14ac:dyDescent="0.3">
      <c r="A851" t="s">
        <v>17</v>
      </c>
      <c r="B851" t="str">
        <f>"601002"</f>
        <v>601002</v>
      </c>
      <c r="C851" t="s">
        <v>1944</v>
      </c>
      <c r="D851" t="s">
        <v>274</v>
      </c>
      <c r="F851">
        <v>205219273</v>
      </c>
      <c r="G851">
        <v>106895488</v>
      </c>
      <c r="H851">
        <v>126408124</v>
      </c>
      <c r="I851">
        <v>119533852</v>
      </c>
      <c r="J851">
        <v>134429818</v>
      </c>
      <c r="K851">
        <v>44227458</v>
      </c>
      <c r="L851">
        <v>-10243519</v>
      </c>
      <c r="M851">
        <v>133041470</v>
      </c>
      <c r="N851">
        <v>45803189</v>
      </c>
      <c r="O851">
        <v>-60889009</v>
      </c>
      <c r="P851">
        <v>146</v>
      </c>
      <c r="Q851" t="s">
        <v>1945</v>
      </c>
    </row>
    <row r="852" spans="1:17" x14ac:dyDescent="0.3">
      <c r="A852" t="s">
        <v>17</v>
      </c>
      <c r="B852" t="str">
        <f>"601003"</f>
        <v>601003</v>
      </c>
      <c r="C852" t="s">
        <v>1946</v>
      </c>
      <c r="D852" t="s">
        <v>38</v>
      </c>
      <c r="F852">
        <v>2303453275</v>
      </c>
      <c r="G852">
        <v>1235627432</v>
      </c>
      <c r="H852">
        <v>1483719818</v>
      </c>
      <c r="I852">
        <v>3254418984</v>
      </c>
      <c r="J852">
        <v>1255211357</v>
      </c>
      <c r="K852">
        <v>123606568</v>
      </c>
      <c r="L852">
        <v>-985367446</v>
      </c>
      <c r="M852">
        <v>204056829</v>
      </c>
      <c r="N852">
        <v>-2572423</v>
      </c>
      <c r="O852">
        <v>-177349181</v>
      </c>
      <c r="P852">
        <v>1021</v>
      </c>
      <c r="Q852" t="s">
        <v>1947</v>
      </c>
    </row>
    <row r="853" spans="1:17" x14ac:dyDescent="0.3">
      <c r="A853" t="s">
        <v>17</v>
      </c>
      <c r="B853" t="str">
        <f>"601005"</f>
        <v>601005</v>
      </c>
      <c r="C853" t="s">
        <v>1948</v>
      </c>
      <c r="D853" t="s">
        <v>38</v>
      </c>
      <c r="F853">
        <v>2879721000</v>
      </c>
      <c r="G853">
        <v>370332000</v>
      </c>
      <c r="H853">
        <v>719901000</v>
      </c>
      <c r="I853">
        <v>1480017000</v>
      </c>
      <c r="J853">
        <v>-882075000</v>
      </c>
      <c r="K853">
        <v>-3091264000</v>
      </c>
      <c r="L853">
        <v>-3200094000</v>
      </c>
      <c r="M853">
        <v>-1582266000</v>
      </c>
      <c r="N853">
        <v>-1698956000</v>
      </c>
      <c r="O853">
        <v>-1169806000</v>
      </c>
      <c r="P853">
        <v>249</v>
      </c>
      <c r="Q853" t="s">
        <v>1949</v>
      </c>
    </row>
    <row r="854" spans="1:17" x14ac:dyDescent="0.3">
      <c r="A854" t="s">
        <v>17</v>
      </c>
      <c r="B854" t="str">
        <f>"601006"</f>
        <v>601006</v>
      </c>
      <c r="C854" t="s">
        <v>1950</v>
      </c>
      <c r="D854" t="s">
        <v>301</v>
      </c>
      <c r="F854">
        <v>10252925140</v>
      </c>
      <c r="G854">
        <v>8900425809</v>
      </c>
      <c r="H854">
        <v>12088472406</v>
      </c>
      <c r="I854">
        <v>12134126837</v>
      </c>
      <c r="J854">
        <v>11237250921</v>
      </c>
      <c r="K854">
        <v>5145949888</v>
      </c>
      <c r="L854">
        <v>11189380163</v>
      </c>
      <c r="M854">
        <v>11164993450</v>
      </c>
      <c r="N854">
        <v>9627979821</v>
      </c>
      <c r="O854">
        <v>8753000631</v>
      </c>
      <c r="P854">
        <v>4202</v>
      </c>
      <c r="Q854" t="s">
        <v>1951</v>
      </c>
    </row>
    <row r="855" spans="1:17" x14ac:dyDescent="0.3">
      <c r="A855" t="s">
        <v>17</v>
      </c>
      <c r="B855" t="str">
        <f>"601007"</f>
        <v>601007</v>
      </c>
      <c r="C855" t="s">
        <v>1952</v>
      </c>
      <c r="D855" t="s">
        <v>590</v>
      </c>
      <c r="F855">
        <v>12007862</v>
      </c>
      <c r="G855">
        <v>15066642</v>
      </c>
      <c r="H855">
        <v>59883528</v>
      </c>
      <c r="I855">
        <v>59953954</v>
      </c>
      <c r="J855">
        <v>72810900</v>
      </c>
      <c r="K855">
        <v>35703775</v>
      </c>
      <c r="L855">
        <v>20704901</v>
      </c>
      <c r="M855">
        <v>19667109</v>
      </c>
      <c r="N855">
        <v>43108102</v>
      </c>
      <c r="O855">
        <v>60672313</v>
      </c>
      <c r="P855">
        <v>111</v>
      </c>
      <c r="Q855" t="s">
        <v>1953</v>
      </c>
    </row>
    <row r="856" spans="1:17" x14ac:dyDescent="0.3">
      <c r="A856" t="s">
        <v>17</v>
      </c>
      <c r="B856" t="str">
        <f>"601008"</f>
        <v>601008</v>
      </c>
      <c r="C856" t="s">
        <v>1954</v>
      </c>
      <c r="D856" t="s">
        <v>51</v>
      </c>
      <c r="F856">
        <v>63499600</v>
      </c>
      <c r="G856">
        <v>11671043</v>
      </c>
      <c r="H856">
        <v>8439252</v>
      </c>
      <c r="I856">
        <v>8225585</v>
      </c>
      <c r="J856">
        <v>5233977</v>
      </c>
      <c r="K856">
        <v>7315916</v>
      </c>
      <c r="L856">
        <v>44417028</v>
      </c>
      <c r="M856">
        <v>81990683</v>
      </c>
      <c r="N856">
        <v>142924927</v>
      </c>
      <c r="O856">
        <v>136436401</v>
      </c>
      <c r="P856">
        <v>131</v>
      </c>
      <c r="Q856" t="s">
        <v>1955</v>
      </c>
    </row>
    <row r="857" spans="1:17" x14ac:dyDescent="0.3">
      <c r="A857" t="s">
        <v>17</v>
      </c>
      <c r="B857" t="str">
        <f>"601009"</f>
        <v>601009</v>
      </c>
      <c r="C857" t="s">
        <v>1956</v>
      </c>
      <c r="D857" t="s">
        <v>1838</v>
      </c>
      <c r="F857">
        <v>12343553000</v>
      </c>
      <c r="G857">
        <v>10087879000</v>
      </c>
      <c r="H857">
        <v>9888940000</v>
      </c>
      <c r="I857">
        <v>8574189000</v>
      </c>
      <c r="J857">
        <v>7433096000</v>
      </c>
      <c r="K857">
        <v>6352072000</v>
      </c>
      <c r="L857">
        <v>5178191000</v>
      </c>
      <c r="M857">
        <v>4159942482</v>
      </c>
      <c r="N857">
        <v>3418707278</v>
      </c>
      <c r="O857">
        <v>2965235554</v>
      </c>
      <c r="P857">
        <v>44247</v>
      </c>
      <c r="Q857" t="s">
        <v>1957</v>
      </c>
    </row>
    <row r="858" spans="1:17" x14ac:dyDescent="0.3">
      <c r="A858" t="s">
        <v>17</v>
      </c>
      <c r="B858" t="str">
        <f>"601010"</f>
        <v>601010</v>
      </c>
      <c r="C858" t="s">
        <v>1958</v>
      </c>
      <c r="D858" t="s">
        <v>1404</v>
      </c>
      <c r="F858">
        <v>196096488</v>
      </c>
      <c r="G858">
        <v>156041292</v>
      </c>
      <c r="H858">
        <v>244109172</v>
      </c>
      <c r="I858">
        <v>196287064</v>
      </c>
      <c r="J858">
        <v>214985862</v>
      </c>
      <c r="K858">
        <v>184790686</v>
      </c>
      <c r="L858">
        <v>274217673</v>
      </c>
      <c r="M858">
        <v>324979109</v>
      </c>
      <c r="N858">
        <v>264789551</v>
      </c>
      <c r="O858">
        <v>279818415</v>
      </c>
      <c r="P858">
        <v>94</v>
      </c>
      <c r="Q858" t="s">
        <v>1959</v>
      </c>
    </row>
    <row r="859" spans="1:17" x14ac:dyDescent="0.3">
      <c r="A859" t="s">
        <v>17</v>
      </c>
      <c r="B859" t="str">
        <f>"601011"</f>
        <v>601011</v>
      </c>
      <c r="C859" t="s">
        <v>1960</v>
      </c>
      <c r="D859" t="s">
        <v>885</v>
      </c>
      <c r="F859">
        <v>122773411</v>
      </c>
      <c r="G859">
        <v>13506336</v>
      </c>
      <c r="H859">
        <v>68320081</v>
      </c>
      <c r="I859">
        <v>276264831</v>
      </c>
      <c r="J859">
        <v>146978879</v>
      </c>
      <c r="K859">
        <v>24704839</v>
      </c>
      <c r="L859">
        <v>90630725</v>
      </c>
      <c r="M859">
        <v>54417209</v>
      </c>
      <c r="N859">
        <v>-44197723</v>
      </c>
      <c r="O859">
        <v>95046650</v>
      </c>
      <c r="P859">
        <v>134</v>
      </c>
      <c r="Q859" t="s">
        <v>1961</v>
      </c>
    </row>
    <row r="860" spans="1:17" x14ac:dyDescent="0.3">
      <c r="A860" t="s">
        <v>17</v>
      </c>
      <c r="B860" t="str">
        <f>"601012"</f>
        <v>601012</v>
      </c>
      <c r="C860" t="s">
        <v>1962</v>
      </c>
      <c r="D860" t="s">
        <v>929</v>
      </c>
      <c r="F860">
        <v>7556052534</v>
      </c>
      <c r="G860">
        <v>6356828043</v>
      </c>
      <c r="H860">
        <v>3484274637</v>
      </c>
      <c r="I860">
        <v>1691170527</v>
      </c>
      <c r="J860">
        <v>2240953774</v>
      </c>
      <c r="K860">
        <v>1098583660</v>
      </c>
      <c r="L860">
        <v>245807073</v>
      </c>
      <c r="M860">
        <v>188664728</v>
      </c>
      <c r="N860">
        <v>41320215</v>
      </c>
      <c r="O860">
        <v>14343622</v>
      </c>
      <c r="P860">
        <v>6941</v>
      </c>
      <c r="Q860" t="s">
        <v>1963</v>
      </c>
    </row>
    <row r="861" spans="1:17" x14ac:dyDescent="0.3">
      <c r="A861" t="s">
        <v>17</v>
      </c>
      <c r="B861" t="str">
        <f>"601015"</f>
        <v>601015</v>
      </c>
      <c r="C861" t="s">
        <v>1964</v>
      </c>
      <c r="D861" t="s">
        <v>885</v>
      </c>
      <c r="F861">
        <v>1223523162</v>
      </c>
      <c r="G861">
        <v>24579816</v>
      </c>
      <c r="H861">
        <v>13414415</v>
      </c>
      <c r="I861">
        <v>203280340</v>
      </c>
      <c r="J861">
        <v>168435231</v>
      </c>
      <c r="K861">
        <v>70931017</v>
      </c>
      <c r="L861">
        <v>33973833</v>
      </c>
      <c r="M861">
        <v>132696182</v>
      </c>
      <c r="N861">
        <v>125791164</v>
      </c>
      <c r="P861">
        <v>212</v>
      </c>
      <c r="Q861" t="s">
        <v>1965</v>
      </c>
    </row>
    <row r="862" spans="1:17" x14ac:dyDescent="0.3">
      <c r="A862" t="s">
        <v>17</v>
      </c>
      <c r="B862" t="str">
        <f>"601016"</f>
        <v>601016</v>
      </c>
      <c r="C862" t="s">
        <v>1966</v>
      </c>
      <c r="D862" t="s">
        <v>383</v>
      </c>
      <c r="F862">
        <v>741343102</v>
      </c>
      <c r="G862">
        <v>535800192</v>
      </c>
      <c r="H862">
        <v>424497423</v>
      </c>
      <c r="I862">
        <v>463523332</v>
      </c>
      <c r="J862">
        <v>284034231</v>
      </c>
      <c r="K862">
        <v>133921866</v>
      </c>
      <c r="L862">
        <v>145611379</v>
      </c>
      <c r="M862">
        <v>91888059</v>
      </c>
      <c r="N862">
        <v>119213328</v>
      </c>
      <c r="P862">
        <v>542</v>
      </c>
      <c r="Q862" t="s">
        <v>1967</v>
      </c>
    </row>
    <row r="863" spans="1:17" x14ac:dyDescent="0.3">
      <c r="A863" t="s">
        <v>17</v>
      </c>
      <c r="B863" t="str">
        <f>"601018"</f>
        <v>601018</v>
      </c>
      <c r="C863" t="s">
        <v>1968</v>
      </c>
      <c r="D863" t="s">
        <v>51</v>
      </c>
      <c r="F863">
        <v>3420322000</v>
      </c>
      <c r="G863">
        <v>2710955000</v>
      </c>
      <c r="H863">
        <v>2936604000</v>
      </c>
      <c r="I863">
        <v>2412179000</v>
      </c>
      <c r="J863">
        <v>2316247000</v>
      </c>
      <c r="K863">
        <v>1886719000</v>
      </c>
      <c r="L863">
        <v>2230127000</v>
      </c>
      <c r="M863">
        <v>2377266000</v>
      </c>
      <c r="N863">
        <v>2285977000</v>
      </c>
      <c r="O863">
        <v>2231902000</v>
      </c>
      <c r="P863">
        <v>335</v>
      </c>
      <c r="Q863" t="s">
        <v>1969</v>
      </c>
    </row>
    <row r="864" spans="1:17" x14ac:dyDescent="0.3">
      <c r="A864" t="s">
        <v>17</v>
      </c>
      <c r="B864" t="str">
        <f>"601019"</f>
        <v>601019</v>
      </c>
      <c r="C864" t="s">
        <v>1970</v>
      </c>
      <c r="D864" t="s">
        <v>1536</v>
      </c>
      <c r="F864">
        <v>1103725365</v>
      </c>
      <c r="G864">
        <v>744196420</v>
      </c>
      <c r="H864">
        <v>1090937360</v>
      </c>
      <c r="I864">
        <v>1121246192</v>
      </c>
      <c r="J864">
        <v>964396316</v>
      </c>
      <c r="K864">
        <v>840464714</v>
      </c>
      <c r="P864">
        <v>401</v>
      </c>
      <c r="Q864" t="s">
        <v>1971</v>
      </c>
    </row>
    <row r="865" spans="1:17" x14ac:dyDescent="0.3">
      <c r="A865" t="s">
        <v>17</v>
      </c>
      <c r="B865" t="str">
        <f>"601020"</f>
        <v>601020</v>
      </c>
      <c r="C865" t="s">
        <v>1972</v>
      </c>
      <c r="D865" t="s">
        <v>701</v>
      </c>
      <c r="F865">
        <v>152674082</v>
      </c>
      <c r="G865">
        <v>60367503</v>
      </c>
      <c r="H865">
        <v>74850897</v>
      </c>
      <c r="I865">
        <v>188202051</v>
      </c>
      <c r="J865">
        <v>206422297</v>
      </c>
      <c r="K865">
        <v>105828118</v>
      </c>
      <c r="L865">
        <v>137085532</v>
      </c>
      <c r="P865">
        <v>180</v>
      </c>
      <c r="Q865" t="s">
        <v>1973</v>
      </c>
    </row>
    <row r="866" spans="1:17" x14ac:dyDescent="0.3">
      <c r="A866" t="s">
        <v>17</v>
      </c>
      <c r="B866" t="str">
        <f>"601021"</f>
        <v>601021</v>
      </c>
      <c r="C866" t="s">
        <v>1974</v>
      </c>
      <c r="D866" t="s">
        <v>77</v>
      </c>
      <c r="F866">
        <v>158958957</v>
      </c>
      <c r="G866">
        <v>-149256632</v>
      </c>
      <c r="H866">
        <v>1718747518</v>
      </c>
      <c r="I866">
        <v>1412285997</v>
      </c>
      <c r="J866">
        <v>1187877563</v>
      </c>
      <c r="K866">
        <v>1169653048</v>
      </c>
      <c r="L866">
        <v>1202356015</v>
      </c>
      <c r="M866">
        <v>657473077</v>
      </c>
      <c r="N866">
        <v>631220005</v>
      </c>
      <c r="P866">
        <v>1019</v>
      </c>
      <c r="Q866" t="s">
        <v>1975</v>
      </c>
    </row>
    <row r="867" spans="1:17" x14ac:dyDescent="0.3">
      <c r="A867" t="s">
        <v>17</v>
      </c>
      <c r="B867" t="str">
        <f>"601028"</f>
        <v>601028</v>
      </c>
      <c r="C867" t="s">
        <v>1976</v>
      </c>
      <c r="D867" t="s">
        <v>131</v>
      </c>
      <c r="F867">
        <v>310146491</v>
      </c>
      <c r="G867">
        <v>95152692</v>
      </c>
      <c r="H867">
        <v>-12706997</v>
      </c>
      <c r="I867">
        <v>86829185</v>
      </c>
      <c r="J867">
        <v>73297283</v>
      </c>
      <c r="K867">
        <v>-296763444</v>
      </c>
      <c r="L867">
        <v>127881451</v>
      </c>
      <c r="M867">
        <v>86368439</v>
      </c>
      <c r="N867">
        <v>103264312</v>
      </c>
      <c r="O867">
        <v>85138147</v>
      </c>
      <c r="P867">
        <v>87</v>
      </c>
      <c r="Q867" t="s">
        <v>1977</v>
      </c>
    </row>
    <row r="868" spans="1:17" x14ac:dyDescent="0.3">
      <c r="A868" t="s">
        <v>17</v>
      </c>
      <c r="B868" t="str">
        <f>"601038"</f>
        <v>601038</v>
      </c>
      <c r="C868" t="s">
        <v>1978</v>
      </c>
      <c r="D868" t="s">
        <v>1979</v>
      </c>
      <c r="F868">
        <v>669177736</v>
      </c>
      <c r="G868">
        <v>477698750</v>
      </c>
      <c r="H868">
        <v>70176828</v>
      </c>
      <c r="I868">
        <v>-396965373</v>
      </c>
      <c r="J868">
        <v>73406185</v>
      </c>
      <c r="K868">
        <v>251825838</v>
      </c>
      <c r="L868">
        <v>213513144</v>
      </c>
      <c r="M868">
        <v>132258025</v>
      </c>
      <c r="N868">
        <v>261801324</v>
      </c>
      <c r="O868">
        <v>326166582</v>
      </c>
      <c r="P868">
        <v>179</v>
      </c>
      <c r="Q868" t="s">
        <v>1980</v>
      </c>
    </row>
    <row r="869" spans="1:17" x14ac:dyDescent="0.3">
      <c r="A869" t="s">
        <v>17</v>
      </c>
      <c r="B869" t="str">
        <f>"601058"</f>
        <v>601058</v>
      </c>
      <c r="C869" t="s">
        <v>1981</v>
      </c>
      <c r="D869" t="s">
        <v>422</v>
      </c>
      <c r="F869">
        <v>1002218003</v>
      </c>
      <c r="G869">
        <v>1173265612</v>
      </c>
      <c r="H869">
        <v>950794484</v>
      </c>
      <c r="I869">
        <v>517192314</v>
      </c>
      <c r="J869">
        <v>181285752</v>
      </c>
      <c r="K869">
        <v>305824699</v>
      </c>
      <c r="L869">
        <v>155126595</v>
      </c>
      <c r="M869">
        <v>296563452</v>
      </c>
      <c r="N869">
        <v>198425750</v>
      </c>
      <c r="O869">
        <v>120164698</v>
      </c>
      <c r="P869">
        <v>589</v>
      </c>
      <c r="Q869" t="s">
        <v>1982</v>
      </c>
    </row>
    <row r="870" spans="1:17" x14ac:dyDescent="0.3">
      <c r="A870" t="s">
        <v>17</v>
      </c>
      <c r="B870" t="str">
        <f>"601066"</f>
        <v>601066</v>
      </c>
      <c r="C870" t="s">
        <v>1983</v>
      </c>
      <c r="D870" t="s">
        <v>80</v>
      </c>
      <c r="F870">
        <v>7257854074</v>
      </c>
      <c r="G870">
        <v>7491035004</v>
      </c>
      <c r="H870">
        <v>3819770013</v>
      </c>
      <c r="I870">
        <v>2185474315</v>
      </c>
      <c r="J870">
        <v>3033298700</v>
      </c>
      <c r="K870">
        <v>4138612400</v>
      </c>
      <c r="P870">
        <v>1825</v>
      </c>
      <c r="Q870" t="s">
        <v>1984</v>
      </c>
    </row>
    <row r="871" spans="1:17" x14ac:dyDescent="0.3">
      <c r="A871" t="s">
        <v>17</v>
      </c>
      <c r="B871" t="str">
        <f>"601068"</f>
        <v>601068</v>
      </c>
      <c r="C871" t="s">
        <v>1985</v>
      </c>
      <c r="D871" t="s">
        <v>1986</v>
      </c>
      <c r="F871">
        <v>4284223</v>
      </c>
      <c r="G871">
        <v>-179038207</v>
      </c>
      <c r="H871">
        <v>22050226</v>
      </c>
      <c r="I871">
        <v>251059698</v>
      </c>
      <c r="J871">
        <v>248711894</v>
      </c>
      <c r="P871">
        <v>109</v>
      </c>
      <c r="Q871" t="s">
        <v>1987</v>
      </c>
    </row>
    <row r="872" spans="1:17" x14ac:dyDescent="0.3">
      <c r="A872" t="s">
        <v>17</v>
      </c>
      <c r="B872" t="str">
        <f>"601069"</f>
        <v>601069</v>
      </c>
      <c r="C872" t="s">
        <v>1988</v>
      </c>
      <c r="D872" t="s">
        <v>701</v>
      </c>
      <c r="F872">
        <v>-19289978</v>
      </c>
      <c r="G872">
        <v>32261969</v>
      </c>
      <c r="H872">
        <v>41821492</v>
      </c>
      <c r="I872">
        <v>-33203778</v>
      </c>
      <c r="J872">
        <v>-48628297</v>
      </c>
      <c r="K872">
        <v>107816430</v>
      </c>
      <c r="L872">
        <v>60287007</v>
      </c>
      <c r="M872">
        <v>48010096</v>
      </c>
      <c r="N872">
        <v>56898288</v>
      </c>
      <c r="P872">
        <v>142</v>
      </c>
      <c r="Q872" t="s">
        <v>1989</v>
      </c>
    </row>
    <row r="873" spans="1:17" x14ac:dyDescent="0.3">
      <c r="A873" t="s">
        <v>17</v>
      </c>
      <c r="B873" t="str">
        <f>"601077"</f>
        <v>601077</v>
      </c>
      <c r="C873" t="s">
        <v>1990</v>
      </c>
      <c r="D873" t="s">
        <v>1827</v>
      </c>
      <c r="F873">
        <v>8751399000</v>
      </c>
      <c r="G873">
        <v>7768879000</v>
      </c>
      <c r="H873">
        <v>8627594000</v>
      </c>
      <c r="I873">
        <v>7410000000</v>
      </c>
      <c r="J873">
        <v>6908134000</v>
      </c>
      <c r="K873">
        <v>6254936000</v>
      </c>
      <c r="L873">
        <v>5740320000</v>
      </c>
      <c r="M873">
        <v>5374107000</v>
      </c>
      <c r="N873">
        <v>4748348000</v>
      </c>
      <c r="O873">
        <v>4162406000</v>
      </c>
      <c r="P873">
        <v>509</v>
      </c>
      <c r="Q873" t="s">
        <v>1991</v>
      </c>
    </row>
    <row r="874" spans="1:17" x14ac:dyDescent="0.3">
      <c r="A874" t="s">
        <v>17</v>
      </c>
      <c r="B874" t="str">
        <f>"601086"</f>
        <v>601086</v>
      </c>
      <c r="C874" t="s">
        <v>1992</v>
      </c>
      <c r="D874" t="s">
        <v>633</v>
      </c>
      <c r="F874">
        <v>85852227</v>
      </c>
      <c r="G874">
        <v>55276389</v>
      </c>
      <c r="H874">
        <v>97092068</v>
      </c>
      <c r="I874">
        <v>105699839</v>
      </c>
      <c r="J874">
        <v>92931066</v>
      </c>
      <c r="K874">
        <v>67539727</v>
      </c>
      <c r="P874">
        <v>79</v>
      </c>
      <c r="Q874" t="s">
        <v>1993</v>
      </c>
    </row>
    <row r="875" spans="1:17" x14ac:dyDescent="0.3">
      <c r="A875" t="s">
        <v>17</v>
      </c>
      <c r="B875" t="str">
        <f>"601088"</f>
        <v>601088</v>
      </c>
      <c r="C875" t="s">
        <v>1994</v>
      </c>
      <c r="D875" t="s">
        <v>292</v>
      </c>
      <c r="F875">
        <v>40751000000</v>
      </c>
      <c r="G875">
        <v>33562000000</v>
      </c>
      <c r="H875">
        <v>37088000000</v>
      </c>
      <c r="I875">
        <v>35278000000</v>
      </c>
      <c r="J875">
        <v>35649000000</v>
      </c>
      <c r="K875">
        <v>17307000000</v>
      </c>
      <c r="L875">
        <v>16555000000</v>
      </c>
      <c r="M875">
        <v>29632000000</v>
      </c>
      <c r="N875">
        <v>33671000000</v>
      </c>
      <c r="O875">
        <v>36555000000</v>
      </c>
      <c r="P875">
        <v>3939</v>
      </c>
      <c r="Q875" t="s">
        <v>1995</v>
      </c>
    </row>
    <row r="876" spans="1:17" x14ac:dyDescent="0.3">
      <c r="A876" t="s">
        <v>17</v>
      </c>
      <c r="B876" t="str">
        <f>"601098"</f>
        <v>601098</v>
      </c>
      <c r="C876" t="s">
        <v>1996</v>
      </c>
      <c r="D876" t="s">
        <v>1536</v>
      </c>
      <c r="F876">
        <v>1010925118</v>
      </c>
      <c r="G876">
        <v>1010499728</v>
      </c>
      <c r="H876">
        <v>918260628</v>
      </c>
      <c r="I876">
        <v>869483641</v>
      </c>
      <c r="J876">
        <v>1177665431</v>
      </c>
      <c r="K876">
        <v>1177030151</v>
      </c>
      <c r="L876">
        <v>1109353779</v>
      </c>
      <c r="M876">
        <v>933355641</v>
      </c>
      <c r="N876">
        <v>715948248</v>
      </c>
      <c r="O876">
        <v>624069149</v>
      </c>
      <c r="P876">
        <v>882</v>
      </c>
      <c r="Q876" t="s">
        <v>1997</v>
      </c>
    </row>
    <row r="877" spans="1:17" x14ac:dyDescent="0.3">
      <c r="A877" t="s">
        <v>17</v>
      </c>
      <c r="B877" t="str">
        <f>"601099"</f>
        <v>601099</v>
      </c>
      <c r="C877" t="s">
        <v>1998</v>
      </c>
      <c r="D877" t="s">
        <v>80</v>
      </c>
      <c r="F877">
        <v>340369857</v>
      </c>
      <c r="G877">
        <v>99173430</v>
      </c>
      <c r="H877">
        <v>400668457</v>
      </c>
      <c r="I877">
        <v>-177068544</v>
      </c>
      <c r="J877">
        <v>86982648</v>
      </c>
      <c r="K877">
        <v>288558742</v>
      </c>
      <c r="L877">
        <v>780453100</v>
      </c>
      <c r="M877">
        <v>349520763</v>
      </c>
      <c r="N877">
        <v>79187595</v>
      </c>
      <c r="O877">
        <v>8168508</v>
      </c>
      <c r="P877">
        <v>738</v>
      </c>
      <c r="Q877" t="s">
        <v>1999</v>
      </c>
    </row>
    <row r="878" spans="1:17" x14ac:dyDescent="0.3">
      <c r="A878" t="s">
        <v>17</v>
      </c>
      <c r="B878" t="str">
        <f>"601100"</f>
        <v>601100</v>
      </c>
      <c r="C878" t="s">
        <v>2000</v>
      </c>
      <c r="D878" t="s">
        <v>2001</v>
      </c>
      <c r="F878">
        <v>1985789742</v>
      </c>
      <c r="G878">
        <v>1472094928</v>
      </c>
      <c r="H878">
        <v>917165738</v>
      </c>
      <c r="I878">
        <v>719405788</v>
      </c>
      <c r="J878">
        <v>276294852</v>
      </c>
      <c r="K878">
        <v>41067118</v>
      </c>
      <c r="L878">
        <v>65740025</v>
      </c>
      <c r="M878">
        <v>75136979</v>
      </c>
      <c r="N878">
        <v>206483421</v>
      </c>
      <c r="O878">
        <v>229070704</v>
      </c>
      <c r="P878">
        <v>1782</v>
      </c>
      <c r="Q878" t="s">
        <v>2002</v>
      </c>
    </row>
    <row r="879" spans="1:17" x14ac:dyDescent="0.3">
      <c r="A879" t="s">
        <v>17</v>
      </c>
      <c r="B879" t="str">
        <f>"601101"</f>
        <v>601101</v>
      </c>
      <c r="C879" t="s">
        <v>2003</v>
      </c>
      <c r="D879" t="s">
        <v>292</v>
      </c>
      <c r="F879">
        <v>1287491642</v>
      </c>
      <c r="G879">
        <v>103330215</v>
      </c>
      <c r="H879">
        <v>601750744</v>
      </c>
      <c r="I879">
        <v>907628977</v>
      </c>
      <c r="J879">
        <v>629292405</v>
      </c>
      <c r="K879">
        <v>-115754856</v>
      </c>
      <c r="L879">
        <v>40648021</v>
      </c>
      <c r="M879">
        <v>147433900</v>
      </c>
      <c r="N879">
        <v>478978454</v>
      </c>
      <c r="O879">
        <v>847832259</v>
      </c>
      <c r="P879">
        <v>281</v>
      </c>
      <c r="Q879" t="s">
        <v>2004</v>
      </c>
    </row>
    <row r="880" spans="1:17" x14ac:dyDescent="0.3">
      <c r="A880" t="s">
        <v>17</v>
      </c>
      <c r="B880" t="str">
        <f>"601106"</f>
        <v>601106</v>
      </c>
      <c r="C880" t="s">
        <v>2005</v>
      </c>
      <c r="D880" t="s">
        <v>395</v>
      </c>
      <c r="F880">
        <v>67165831</v>
      </c>
      <c r="G880">
        <v>55894118</v>
      </c>
      <c r="H880">
        <v>51836665</v>
      </c>
      <c r="I880">
        <v>102872918</v>
      </c>
      <c r="J880">
        <v>41458793</v>
      </c>
      <c r="K880">
        <v>-1953010513</v>
      </c>
      <c r="L880">
        <v>-1043132137</v>
      </c>
      <c r="M880">
        <v>-640673967</v>
      </c>
      <c r="N880">
        <v>-437313496</v>
      </c>
      <c r="O880">
        <v>51398810</v>
      </c>
      <c r="P880">
        <v>175</v>
      </c>
      <c r="Q880" t="s">
        <v>2006</v>
      </c>
    </row>
    <row r="881" spans="1:17" x14ac:dyDescent="0.3">
      <c r="A881" t="s">
        <v>17</v>
      </c>
      <c r="B881" t="str">
        <f>"601107"</f>
        <v>601107</v>
      </c>
      <c r="C881" t="s">
        <v>2007</v>
      </c>
      <c r="D881" t="s">
        <v>44</v>
      </c>
      <c r="F881">
        <v>935361634</v>
      </c>
      <c r="G881">
        <v>264211463</v>
      </c>
      <c r="H881">
        <v>1117248735</v>
      </c>
      <c r="I881">
        <v>912072938</v>
      </c>
      <c r="J881">
        <v>914755417</v>
      </c>
      <c r="K881">
        <v>1028074210</v>
      </c>
      <c r="L881">
        <v>823298656</v>
      </c>
      <c r="M881">
        <v>851820566</v>
      </c>
      <c r="N881">
        <v>784207486</v>
      </c>
      <c r="O881">
        <v>948924263</v>
      </c>
      <c r="P881">
        <v>231</v>
      </c>
      <c r="Q881" t="s">
        <v>2008</v>
      </c>
    </row>
    <row r="882" spans="1:17" x14ac:dyDescent="0.3">
      <c r="A882" t="s">
        <v>17</v>
      </c>
      <c r="B882" t="str">
        <f>"601108"</f>
        <v>601108</v>
      </c>
      <c r="C882" t="s">
        <v>2009</v>
      </c>
      <c r="D882" t="s">
        <v>80</v>
      </c>
      <c r="F882">
        <v>1593910068</v>
      </c>
      <c r="G882">
        <v>1513626588</v>
      </c>
      <c r="H882">
        <v>994999623</v>
      </c>
      <c r="I882">
        <v>672797513</v>
      </c>
      <c r="J882">
        <v>1209702810</v>
      </c>
      <c r="K882">
        <v>1374158194</v>
      </c>
      <c r="L882">
        <v>1667759500</v>
      </c>
      <c r="M882">
        <v>468027300</v>
      </c>
      <c r="N882">
        <v>277243300</v>
      </c>
      <c r="P882">
        <v>980</v>
      </c>
      <c r="Q882" t="s">
        <v>2010</v>
      </c>
    </row>
    <row r="883" spans="1:17" x14ac:dyDescent="0.3">
      <c r="A883" t="s">
        <v>17</v>
      </c>
      <c r="B883" t="str">
        <f>"601111"</f>
        <v>601111</v>
      </c>
      <c r="C883" t="s">
        <v>2011</v>
      </c>
      <c r="D883" t="s">
        <v>77</v>
      </c>
      <c r="F883">
        <v>-10321667000</v>
      </c>
      <c r="G883">
        <v>-10111847000</v>
      </c>
      <c r="H883">
        <v>6762090000</v>
      </c>
      <c r="I883">
        <v>6937408000</v>
      </c>
      <c r="J883">
        <v>8278508000</v>
      </c>
      <c r="K883">
        <v>7226708000</v>
      </c>
      <c r="L883">
        <v>6280498000</v>
      </c>
      <c r="M883">
        <v>3157021000</v>
      </c>
      <c r="N883">
        <v>4061019000</v>
      </c>
      <c r="O883">
        <v>4236003000</v>
      </c>
      <c r="P883">
        <v>1106</v>
      </c>
      <c r="Q883" t="s">
        <v>2012</v>
      </c>
    </row>
    <row r="884" spans="1:17" x14ac:dyDescent="0.3">
      <c r="A884" t="s">
        <v>17</v>
      </c>
      <c r="B884" t="str">
        <f>"601113"</f>
        <v>601113</v>
      </c>
      <c r="C884" t="s">
        <v>2013</v>
      </c>
      <c r="D884" t="s">
        <v>2014</v>
      </c>
      <c r="F884">
        <v>236619639</v>
      </c>
      <c r="G884">
        <v>119897807</v>
      </c>
      <c r="H884">
        <v>259365266</v>
      </c>
      <c r="I884">
        <v>236801694</v>
      </c>
      <c r="J884">
        <v>58042559</v>
      </c>
      <c r="K884">
        <v>28686424</v>
      </c>
      <c r="L884">
        <v>-72733609</v>
      </c>
      <c r="M884">
        <v>1872061</v>
      </c>
      <c r="N884">
        <v>58072536</v>
      </c>
      <c r="O884">
        <v>37877426</v>
      </c>
      <c r="P884">
        <v>68</v>
      </c>
      <c r="Q884" t="s">
        <v>2015</v>
      </c>
    </row>
    <row r="885" spans="1:17" x14ac:dyDescent="0.3">
      <c r="A885" t="s">
        <v>17</v>
      </c>
      <c r="B885" t="str">
        <f>"601116"</f>
        <v>601116</v>
      </c>
      <c r="C885" t="s">
        <v>2016</v>
      </c>
      <c r="D885" t="s">
        <v>798</v>
      </c>
      <c r="F885">
        <v>65162842</v>
      </c>
      <c r="G885">
        <v>106889637</v>
      </c>
      <c r="H885">
        <v>136636583</v>
      </c>
      <c r="I885">
        <v>79941296</v>
      </c>
      <c r="J885">
        <v>94923373</v>
      </c>
      <c r="K885">
        <v>76657786</v>
      </c>
      <c r="L885">
        <v>63691649</v>
      </c>
      <c r="M885">
        <v>94554506</v>
      </c>
      <c r="N885">
        <v>110356354</v>
      </c>
      <c r="O885">
        <v>137201668</v>
      </c>
      <c r="P885">
        <v>124</v>
      </c>
      <c r="Q885" t="s">
        <v>2017</v>
      </c>
    </row>
    <row r="886" spans="1:17" x14ac:dyDescent="0.3">
      <c r="A886" t="s">
        <v>17</v>
      </c>
      <c r="B886" t="str">
        <f>"601117"</f>
        <v>601117</v>
      </c>
      <c r="C886" t="s">
        <v>2018</v>
      </c>
      <c r="D886" t="s">
        <v>2019</v>
      </c>
      <c r="F886">
        <v>2898257455</v>
      </c>
      <c r="G886">
        <v>2774480089</v>
      </c>
      <c r="H886">
        <v>2445674199</v>
      </c>
      <c r="I886">
        <v>1625787628</v>
      </c>
      <c r="J886">
        <v>1292531776</v>
      </c>
      <c r="K886">
        <v>1442570924</v>
      </c>
      <c r="L886">
        <v>1882796626</v>
      </c>
      <c r="M886">
        <v>2571925592</v>
      </c>
      <c r="N886">
        <v>2490675337</v>
      </c>
      <c r="O886">
        <v>2102097692</v>
      </c>
      <c r="P886">
        <v>717</v>
      </c>
      <c r="Q886" t="s">
        <v>2020</v>
      </c>
    </row>
    <row r="887" spans="1:17" x14ac:dyDescent="0.3">
      <c r="A887" t="s">
        <v>17</v>
      </c>
      <c r="B887" t="str">
        <f>"601118"</f>
        <v>601118</v>
      </c>
      <c r="C887" t="s">
        <v>2021</v>
      </c>
      <c r="D887" t="s">
        <v>258</v>
      </c>
      <c r="F887">
        <v>-63789955</v>
      </c>
      <c r="G887">
        <v>-89453171</v>
      </c>
      <c r="H887">
        <v>92078397</v>
      </c>
      <c r="I887">
        <v>450412012</v>
      </c>
      <c r="J887">
        <v>14340337</v>
      </c>
      <c r="K887">
        <v>-277006895</v>
      </c>
      <c r="L887">
        <v>-483536855</v>
      </c>
      <c r="M887">
        <v>8106736</v>
      </c>
      <c r="N887">
        <v>161393000</v>
      </c>
      <c r="O887">
        <v>221861442</v>
      </c>
      <c r="P887">
        <v>199</v>
      </c>
      <c r="Q887" t="s">
        <v>2022</v>
      </c>
    </row>
    <row r="888" spans="1:17" x14ac:dyDescent="0.3">
      <c r="A888" t="s">
        <v>17</v>
      </c>
      <c r="B888" t="str">
        <f>"601126"</f>
        <v>601126</v>
      </c>
      <c r="C888" t="s">
        <v>2023</v>
      </c>
      <c r="D888" t="s">
        <v>610</v>
      </c>
      <c r="F888">
        <v>384558079</v>
      </c>
      <c r="G888">
        <v>243622747</v>
      </c>
      <c r="H888">
        <v>118281444</v>
      </c>
      <c r="I888">
        <v>144387960</v>
      </c>
      <c r="J888">
        <v>142711233</v>
      </c>
      <c r="K888">
        <v>150202062</v>
      </c>
      <c r="L888">
        <v>147126725</v>
      </c>
      <c r="M888">
        <v>172680641</v>
      </c>
      <c r="N888">
        <v>179505377</v>
      </c>
      <c r="O888">
        <v>125128572</v>
      </c>
      <c r="P888">
        <v>279</v>
      </c>
      <c r="Q888" t="s">
        <v>2024</v>
      </c>
    </row>
    <row r="889" spans="1:17" x14ac:dyDescent="0.3">
      <c r="A889" t="s">
        <v>17</v>
      </c>
      <c r="B889" t="str">
        <f>"601127"</f>
        <v>601127</v>
      </c>
      <c r="C889" t="s">
        <v>2025</v>
      </c>
      <c r="D889" t="s">
        <v>247</v>
      </c>
      <c r="F889">
        <v>-1083396726</v>
      </c>
      <c r="G889">
        <v>-725459374</v>
      </c>
      <c r="H889">
        <v>-421459817</v>
      </c>
      <c r="I889">
        <v>49490788</v>
      </c>
      <c r="J889">
        <v>490295210</v>
      </c>
      <c r="K889">
        <v>290534351</v>
      </c>
      <c r="L889">
        <v>121751523</v>
      </c>
      <c r="P889">
        <v>476</v>
      </c>
      <c r="Q889" t="s">
        <v>2026</v>
      </c>
    </row>
    <row r="890" spans="1:17" x14ac:dyDescent="0.3">
      <c r="A890" t="s">
        <v>17</v>
      </c>
      <c r="B890" t="str">
        <f>"601128"</f>
        <v>601128</v>
      </c>
      <c r="C890" t="s">
        <v>2027</v>
      </c>
      <c r="D890" t="s">
        <v>1827</v>
      </c>
      <c r="F890">
        <v>1660463000</v>
      </c>
      <c r="G890">
        <v>1394904000</v>
      </c>
      <c r="H890">
        <v>1370734000</v>
      </c>
      <c r="I890">
        <v>1119948000</v>
      </c>
      <c r="J890">
        <v>893641000</v>
      </c>
      <c r="K890">
        <v>775106000</v>
      </c>
      <c r="L890">
        <v>729482000</v>
      </c>
      <c r="P890">
        <v>939</v>
      </c>
      <c r="Q890" t="s">
        <v>2028</v>
      </c>
    </row>
    <row r="891" spans="1:17" x14ac:dyDescent="0.3">
      <c r="A891" t="s">
        <v>17</v>
      </c>
      <c r="B891" t="str">
        <f>"601137"</f>
        <v>601137</v>
      </c>
      <c r="C891" t="s">
        <v>2029</v>
      </c>
      <c r="D891" t="s">
        <v>581</v>
      </c>
      <c r="F891">
        <v>262438533</v>
      </c>
      <c r="G891">
        <v>352989302</v>
      </c>
      <c r="H891">
        <v>329477712</v>
      </c>
      <c r="I891">
        <v>260790039</v>
      </c>
      <c r="J891">
        <v>231181886</v>
      </c>
      <c r="K891">
        <v>159749108</v>
      </c>
      <c r="L891">
        <v>53185820</v>
      </c>
      <c r="M891">
        <v>50739976</v>
      </c>
      <c r="N891">
        <v>59391938</v>
      </c>
      <c r="O891">
        <v>73687248</v>
      </c>
      <c r="P891">
        <v>283</v>
      </c>
      <c r="Q891" t="s">
        <v>2030</v>
      </c>
    </row>
    <row r="892" spans="1:17" x14ac:dyDescent="0.3">
      <c r="A892" t="s">
        <v>17</v>
      </c>
      <c r="B892" t="str">
        <f>"601138"</f>
        <v>601138</v>
      </c>
      <c r="C892" t="s">
        <v>2031</v>
      </c>
      <c r="D892" t="s">
        <v>313</v>
      </c>
      <c r="F892">
        <v>11006702000</v>
      </c>
      <c r="G892">
        <v>8805475000</v>
      </c>
      <c r="H892">
        <v>10184850000</v>
      </c>
      <c r="I892">
        <v>9756086000</v>
      </c>
      <c r="J892">
        <v>9500519000</v>
      </c>
      <c r="P892">
        <v>1318</v>
      </c>
      <c r="Q892" t="s">
        <v>2032</v>
      </c>
    </row>
    <row r="893" spans="1:17" x14ac:dyDescent="0.3">
      <c r="A893" t="s">
        <v>17</v>
      </c>
      <c r="B893" t="str">
        <f>"601139"</f>
        <v>601139</v>
      </c>
      <c r="C893" t="s">
        <v>2033</v>
      </c>
      <c r="D893" t="s">
        <v>749</v>
      </c>
      <c r="F893">
        <v>1203869917</v>
      </c>
      <c r="G893">
        <v>1091929239</v>
      </c>
      <c r="H893">
        <v>918123871</v>
      </c>
      <c r="I893">
        <v>842751128</v>
      </c>
      <c r="J893">
        <v>792765038</v>
      </c>
      <c r="K893">
        <v>748474635</v>
      </c>
      <c r="L893">
        <v>513408882</v>
      </c>
      <c r="M893">
        <v>582702140</v>
      </c>
      <c r="N893">
        <v>595297286</v>
      </c>
      <c r="O893">
        <v>482730350</v>
      </c>
      <c r="P893">
        <v>476</v>
      </c>
      <c r="Q893" t="s">
        <v>2034</v>
      </c>
    </row>
    <row r="894" spans="1:17" x14ac:dyDescent="0.3">
      <c r="A894" t="s">
        <v>17</v>
      </c>
      <c r="B894" t="str">
        <f>"601155"</f>
        <v>601155</v>
      </c>
      <c r="C894" t="s">
        <v>2035</v>
      </c>
      <c r="D894" t="s">
        <v>30</v>
      </c>
      <c r="F894">
        <v>5884329135</v>
      </c>
      <c r="G894">
        <v>4736146368</v>
      </c>
      <c r="H894">
        <v>3731803076</v>
      </c>
      <c r="I894">
        <v>3120956858</v>
      </c>
      <c r="J894">
        <v>1991843230</v>
      </c>
      <c r="K894">
        <v>882965994</v>
      </c>
      <c r="L894">
        <v>448199488</v>
      </c>
      <c r="P894">
        <v>7593</v>
      </c>
      <c r="Q894" t="s">
        <v>2036</v>
      </c>
    </row>
    <row r="895" spans="1:17" x14ac:dyDescent="0.3">
      <c r="A895" t="s">
        <v>17</v>
      </c>
      <c r="B895" t="str">
        <f>"601156"</f>
        <v>601156</v>
      </c>
      <c r="C895" t="s">
        <v>2037</v>
      </c>
      <c r="D895" t="s">
        <v>287</v>
      </c>
      <c r="F895">
        <v>2424686718</v>
      </c>
      <c r="P895">
        <v>104</v>
      </c>
      <c r="Q895" t="s">
        <v>2038</v>
      </c>
    </row>
    <row r="896" spans="1:17" x14ac:dyDescent="0.3">
      <c r="A896" t="s">
        <v>17</v>
      </c>
      <c r="B896" t="str">
        <f>"601158"</f>
        <v>601158</v>
      </c>
      <c r="C896" t="s">
        <v>2039</v>
      </c>
      <c r="D896" t="s">
        <v>33</v>
      </c>
      <c r="F896">
        <v>1994122268</v>
      </c>
      <c r="G896">
        <v>1506027076</v>
      </c>
      <c r="H896">
        <v>1441981808</v>
      </c>
      <c r="I896">
        <v>1391756497</v>
      </c>
      <c r="J896">
        <v>1498700483</v>
      </c>
      <c r="K896">
        <v>1257805757</v>
      </c>
      <c r="L896">
        <v>1355184067</v>
      </c>
      <c r="M896">
        <v>1432546595</v>
      </c>
      <c r="N896">
        <v>1562699218</v>
      </c>
      <c r="O896">
        <v>1281309358</v>
      </c>
      <c r="P896">
        <v>587</v>
      </c>
      <c r="Q896" t="s">
        <v>2040</v>
      </c>
    </row>
    <row r="897" spans="1:17" x14ac:dyDescent="0.3">
      <c r="A897" t="s">
        <v>17</v>
      </c>
      <c r="B897" t="str">
        <f>"601162"</f>
        <v>601162</v>
      </c>
      <c r="C897" t="s">
        <v>2041</v>
      </c>
      <c r="D897" t="s">
        <v>80</v>
      </c>
      <c r="F897">
        <v>634676844</v>
      </c>
      <c r="G897">
        <v>702130115</v>
      </c>
      <c r="H897">
        <v>193776382</v>
      </c>
      <c r="I897">
        <v>264010982</v>
      </c>
      <c r="J897">
        <v>283581190</v>
      </c>
      <c r="K897">
        <v>633916413</v>
      </c>
      <c r="P897">
        <v>897</v>
      </c>
      <c r="Q897" t="s">
        <v>2042</v>
      </c>
    </row>
    <row r="898" spans="1:17" x14ac:dyDescent="0.3">
      <c r="A898" t="s">
        <v>17</v>
      </c>
      <c r="B898" t="str">
        <f>"601163"</f>
        <v>601163</v>
      </c>
      <c r="C898" t="s">
        <v>2043</v>
      </c>
      <c r="D898" t="s">
        <v>422</v>
      </c>
      <c r="F898">
        <v>485420430</v>
      </c>
      <c r="G898">
        <v>817247016</v>
      </c>
      <c r="H898">
        <v>617842607</v>
      </c>
      <c r="I898">
        <v>329765489</v>
      </c>
      <c r="J898">
        <v>368735042</v>
      </c>
      <c r="K898">
        <v>567430446</v>
      </c>
      <c r="L898">
        <v>569005019</v>
      </c>
      <c r="P898">
        <v>224</v>
      </c>
      <c r="Q898" t="s">
        <v>2044</v>
      </c>
    </row>
    <row r="899" spans="1:17" x14ac:dyDescent="0.3">
      <c r="A899" t="s">
        <v>17</v>
      </c>
      <c r="B899" t="str">
        <f>"601166"</f>
        <v>601166</v>
      </c>
      <c r="C899" t="s">
        <v>2045</v>
      </c>
      <c r="D899" t="s">
        <v>19</v>
      </c>
      <c r="F899">
        <v>64038000000</v>
      </c>
      <c r="G899">
        <v>51875000000</v>
      </c>
      <c r="H899">
        <v>54910000000</v>
      </c>
      <c r="I899">
        <v>50601000000</v>
      </c>
      <c r="J899">
        <v>47149000000</v>
      </c>
      <c r="K899">
        <v>43982000000</v>
      </c>
      <c r="L899">
        <v>41221000000</v>
      </c>
      <c r="M899">
        <v>38304000000</v>
      </c>
      <c r="N899">
        <v>33102000000</v>
      </c>
      <c r="O899">
        <v>26341000000</v>
      </c>
      <c r="P899">
        <v>24372</v>
      </c>
      <c r="Q899" t="s">
        <v>2046</v>
      </c>
    </row>
    <row r="900" spans="1:17" x14ac:dyDescent="0.3">
      <c r="A900" t="s">
        <v>17</v>
      </c>
      <c r="B900" t="str">
        <f>"601168"</f>
        <v>601168</v>
      </c>
      <c r="C900" t="s">
        <v>2047</v>
      </c>
      <c r="D900" t="s">
        <v>263</v>
      </c>
      <c r="F900">
        <v>2257600285</v>
      </c>
      <c r="G900">
        <v>833073341</v>
      </c>
      <c r="H900">
        <v>811422838</v>
      </c>
      <c r="I900">
        <v>679872666</v>
      </c>
      <c r="J900">
        <v>318164354</v>
      </c>
      <c r="K900">
        <v>120475302</v>
      </c>
      <c r="L900">
        <v>12992951</v>
      </c>
      <c r="M900">
        <v>255310802</v>
      </c>
      <c r="N900">
        <v>207219661</v>
      </c>
      <c r="O900">
        <v>99653001</v>
      </c>
      <c r="P900">
        <v>392</v>
      </c>
      <c r="Q900" t="s">
        <v>2048</v>
      </c>
    </row>
    <row r="901" spans="1:17" x14ac:dyDescent="0.3">
      <c r="A901" t="s">
        <v>17</v>
      </c>
      <c r="B901" t="str">
        <f>"601169"</f>
        <v>601169</v>
      </c>
      <c r="C901" t="s">
        <v>2049</v>
      </c>
      <c r="D901" t="s">
        <v>1838</v>
      </c>
      <c r="F901">
        <v>18183000000</v>
      </c>
      <c r="G901">
        <v>16571000000</v>
      </c>
      <c r="H901">
        <v>18085000000</v>
      </c>
      <c r="I901">
        <v>16627000000</v>
      </c>
      <c r="J901">
        <v>15516000000</v>
      </c>
      <c r="K901">
        <v>14955000000</v>
      </c>
      <c r="L901">
        <v>14136000000</v>
      </c>
      <c r="M901">
        <v>12592000000</v>
      </c>
      <c r="N901">
        <v>11014048000</v>
      </c>
      <c r="O901">
        <v>9970916000</v>
      </c>
      <c r="P901">
        <v>16385</v>
      </c>
      <c r="Q901" t="s">
        <v>2050</v>
      </c>
    </row>
    <row r="902" spans="1:17" x14ac:dyDescent="0.3">
      <c r="A902" t="s">
        <v>17</v>
      </c>
      <c r="B902" t="str">
        <f>"601177"</f>
        <v>601177</v>
      </c>
      <c r="C902" t="s">
        <v>2051</v>
      </c>
      <c r="D902" t="s">
        <v>274</v>
      </c>
      <c r="F902">
        <v>138418650</v>
      </c>
      <c r="G902">
        <v>74000184</v>
      </c>
      <c r="H902">
        <v>14022603</v>
      </c>
      <c r="I902">
        <v>11131119</v>
      </c>
      <c r="J902">
        <v>6084537</v>
      </c>
      <c r="K902">
        <v>6508775</v>
      </c>
      <c r="L902">
        <v>-29815596</v>
      </c>
      <c r="M902">
        <v>22911484</v>
      </c>
      <c r="N902">
        <v>26665444</v>
      </c>
      <c r="O902">
        <v>63506203</v>
      </c>
      <c r="P902">
        <v>74</v>
      </c>
      <c r="Q902" t="s">
        <v>2052</v>
      </c>
    </row>
    <row r="903" spans="1:17" x14ac:dyDescent="0.3">
      <c r="A903" t="s">
        <v>17</v>
      </c>
      <c r="B903" t="str">
        <f>"601179"</f>
        <v>601179</v>
      </c>
      <c r="C903" t="s">
        <v>2053</v>
      </c>
      <c r="D903" t="s">
        <v>210</v>
      </c>
      <c r="F903">
        <v>328222624</v>
      </c>
      <c r="G903">
        <v>212092557</v>
      </c>
      <c r="H903">
        <v>290786624</v>
      </c>
      <c r="I903">
        <v>251289535</v>
      </c>
      <c r="J903">
        <v>650364294</v>
      </c>
      <c r="K903">
        <v>754725255</v>
      </c>
      <c r="L903">
        <v>557599777</v>
      </c>
      <c r="M903">
        <v>644855138</v>
      </c>
      <c r="N903">
        <v>194322454</v>
      </c>
      <c r="O903">
        <v>-139419771</v>
      </c>
      <c r="P903">
        <v>329</v>
      </c>
      <c r="Q903" t="s">
        <v>2054</v>
      </c>
    </row>
    <row r="904" spans="1:17" x14ac:dyDescent="0.3">
      <c r="A904" t="s">
        <v>17</v>
      </c>
      <c r="B904" t="str">
        <f>"601186"</f>
        <v>601186</v>
      </c>
      <c r="C904" t="s">
        <v>2055</v>
      </c>
      <c r="D904" t="s">
        <v>101</v>
      </c>
      <c r="F904">
        <v>17872402000</v>
      </c>
      <c r="G904">
        <v>14879203000</v>
      </c>
      <c r="H904">
        <v>14688564000</v>
      </c>
      <c r="I904">
        <v>12646122000</v>
      </c>
      <c r="J904">
        <v>10528783000</v>
      </c>
      <c r="K904">
        <v>9123331000</v>
      </c>
      <c r="L904">
        <v>8114419000</v>
      </c>
      <c r="M904">
        <v>7497688000</v>
      </c>
      <c r="N904">
        <v>7003334000</v>
      </c>
      <c r="O904">
        <v>5092746000</v>
      </c>
      <c r="P904">
        <v>1361</v>
      </c>
      <c r="Q904" t="s">
        <v>2056</v>
      </c>
    </row>
    <row r="905" spans="1:17" x14ac:dyDescent="0.3">
      <c r="A905" t="s">
        <v>17</v>
      </c>
      <c r="B905" t="str">
        <f>"601187"</f>
        <v>601187</v>
      </c>
      <c r="C905" t="s">
        <v>2057</v>
      </c>
      <c r="D905" t="s">
        <v>1838</v>
      </c>
      <c r="F905">
        <v>1512700000</v>
      </c>
      <c r="G905">
        <v>1254200000</v>
      </c>
      <c r="H905">
        <v>1141155956</v>
      </c>
      <c r="I905">
        <v>1074543296</v>
      </c>
      <c r="J905">
        <v>871852548</v>
      </c>
      <c r="K905">
        <v>792086862</v>
      </c>
      <c r="P905">
        <v>177</v>
      </c>
      <c r="Q905" t="s">
        <v>2058</v>
      </c>
    </row>
    <row r="906" spans="1:17" x14ac:dyDescent="0.3">
      <c r="A906" t="s">
        <v>17</v>
      </c>
      <c r="B906" t="str">
        <f>"601188"</f>
        <v>601188</v>
      </c>
      <c r="C906" t="s">
        <v>2059</v>
      </c>
      <c r="D906" t="s">
        <v>44</v>
      </c>
      <c r="F906">
        <v>173012687</v>
      </c>
      <c r="G906">
        <v>136504536</v>
      </c>
      <c r="H906">
        <v>284593072</v>
      </c>
      <c r="I906">
        <v>244203739</v>
      </c>
      <c r="J906">
        <v>279925395</v>
      </c>
      <c r="K906">
        <v>260128988</v>
      </c>
      <c r="L906">
        <v>212272282</v>
      </c>
      <c r="M906">
        <v>313421522</v>
      </c>
      <c r="N906">
        <v>117144068</v>
      </c>
      <c r="O906">
        <v>100582026</v>
      </c>
      <c r="P906">
        <v>124</v>
      </c>
      <c r="Q906" t="s">
        <v>2060</v>
      </c>
    </row>
    <row r="907" spans="1:17" x14ac:dyDescent="0.3">
      <c r="A907" t="s">
        <v>17</v>
      </c>
      <c r="B907" t="str">
        <f>"601198"</f>
        <v>601198</v>
      </c>
      <c r="C907" t="s">
        <v>2061</v>
      </c>
      <c r="D907" t="s">
        <v>80</v>
      </c>
      <c r="F907">
        <v>1180262954</v>
      </c>
      <c r="G907">
        <v>1272613495</v>
      </c>
      <c r="H907">
        <v>1107426825</v>
      </c>
      <c r="I907">
        <v>778434849</v>
      </c>
      <c r="J907">
        <v>926891166</v>
      </c>
      <c r="K907">
        <v>1096992363</v>
      </c>
      <c r="L907">
        <v>1767691660</v>
      </c>
      <c r="M907">
        <v>715998001.12</v>
      </c>
      <c r="P907">
        <v>814</v>
      </c>
      <c r="Q907" t="s">
        <v>2062</v>
      </c>
    </row>
    <row r="908" spans="1:17" x14ac:dyDescent="0.3">
      <c r="A908" t="s">
        <v>17</v>
      </c>
      <c r="B908" t="str">
        <f>"601199"</f>
        <v>601199</v>
      </c>
      <c r="C908" t="s">
        <v>2063</v>
      </c>
      <c r="D908" t="s">
        <v>33</v>
      </c>
      <c r="F908">
        <v>208925499</v>
      </c>
      <c r="G908">
        <v>156236708</v>
      </c>
      <c r="H908">
        <v>179670625</v>
      </c>
      <c r="I908">
        <v>144402333</v>
      </c>
      <c r="J908">
        <v>208709768</v>
      </c>
      <c r="K908">
        <v>243902606</v>
      </c>
      <c r="L908">
        <v>184969105</v>
      </c>
      <c r="M908">
        <v>117480811</v>
      </c>
      <c r="N908">
        <v>102826108</v>
      </c>
      <c r="O908">
        <v>99939158</v>
      </c>
      <c r="P908">
        <v>186</v>
      </c>
      <c r="Q908" t="s">
        <v>2064</v>
      </c>
    </row>
    <row r="909" spans="1:17" x14ac:dyDescent="0.3">
      <c r="A909" t="s">
        <v>17</v>
      </c>
      <c r="B909" t="str">
        <f>"601200"</f>
        <v>601200</v>
      </c>
      <c r="C909" t="s">
        <v>2065</v>
      </c>
      <c r="D909" t="s">
        <v>499</v>
      </c>
      <c r="F909">
        <v>626860331</v>
      </c>
      <c r="G909">
        <v>537016253</v>
      </c>
      <c r="H909">
        <v>441083105</v>
      </c>
      <c r="I909">
        <v>498603662</v>
      </c>
      <c r="J909">
        <v>474144869</v>
      </c>
      <c r="K909">
        <v>386951405</v>
      </c>
      <c r="P909">
        <v>326</v>
      </c>
      <c r="Q909" t="s">
        <v>2066</v>
      </c>
    </row>
    <row r="910" spans="1:17" x14ac:dyDescent="0.3">
      <c r="A910" t="s">
        <v>17</v>
      </c>
      <c r="B910" t="str">
        <f>"601208"</f>
        <v>601208</v>
      </c>
      <c r="C910" t="s">
        <v>2067</v>
      </c>
      <c r="D910" t="s">
        <v>324</v>
      </c>
      <c r="F910">
        <v>271353152</v>
      </c>
      <c r="G910">
        <v>126023505</v>
      </c>
      <c r="H910">
        <v>40793731</v>
      </c>
      <c r="I910">
        <v>27775296</v>
      </c>
      <c r="J910">
        <v>87319337</v>
      </c>
      <c r="K910">
        <v>40056841</v>
      </c>
      <c r="L910">
        <v>60814969</v>
      </c>
      <c r="M910">
        <v>102592565</v>
      </c>
      <c r="N910">
        <v>60553191</v>
      </c>
      <c r="O910">
        <v>104224352</v>
      </c>
      <c r="P910">
        <v>3074</v>
      </c>
      <c r="Q910" t="s">
        <v>2068</v>
      </c>
    </row>
    <row r="911" spans="1:17" x14ac:dyDescent="0.3">
      <c r="A911" t="s">
        <v>17</v>
      </c>
      <c r="B911" t="str">
        <f>"601211"</f>
        <v>601211</v>
      </c>
      <c r="C911" t="s">
        <v>2069</v>
      </c>
      <c r="D911" t="s">
        <v>80</v>
      </c>
      <c r="F911">
        <v>11635277608</v>
      </c>
      <c r="G911">
        <v>8952127669</v>
      </c>
      <c r="H911">
        <v>6546185803</v>
      </c>
      <c r="I911">
        <v>5512236306</v>
      </c>
      <c r="J911">
        <v>7035315463</v>
      </c>
      <c r="K911">
        <v>7646548753</v>
      </c>
      <c r="L911">
        <v>11961111038</v>
      </c>
      <c r="M911">
        <v>3933499436</v>
      </c>
      <c r="P911">
        <v>3571</v>
      </c>
      <c r="Q911" t="s">
        <v>2070</v>
      </c>
    </row>
    <row r="912" spans="1:17" x14ac:dyDescent="0.3">
      <c r="A912" t="s">
        <v>17</v>
      </c>
      <c r="B912" t="str">
        <f>"601212"</f>
        <v>601212</v>
      </c>
      <c r="C912" t="s">
        <v>2071</v>
      </c>
      <c r="D912" t="s">
        <v>2072</v>
      </c>
      <c r="F912">
        <v>22198965</v>
      </c>
      <c r="G912">
        <v>22171595</v>
      </c>
      <c r="H912">
        <v>7871548</v>
      </c>
      <c r="I912">
        <v>-245959245</v>
      </c>
      <c r="J912">
        <v>229285599</v>
      </c>
      <c r="K912">
        <v>225427246</v>
      </c>
      <c r="L912">
        <v>-31424180</v>
      </c>
      <c r="P912">
        <v>185</v>
      </c>
      <c r="Q912" t="s">
        <v>2073</v>
      </c>
    </row>
    <row r="913" spans="1:17" x14ac:dyDescent="0.3">
      <c r="A913" t="s">
        <v>17</v>
      </c>
      <c r="B913" t="str">
        <f>"601216"</f>
        <v>601216</v>
      </c>
      <c r="C913" t="s">
        <v>2074</v>
      </c>
      <c r="D913" t="s">
        <v>175</v>
      </c>
      <c r="F913">
        <v>3229778871</v>
      </c>
      <c r="G913">
        <v>2084716843</v>
      </c>
      <c r="H913">
        <v>1939279191</v>
      </c>
      <c r="I913">
        <v>1868601615</v>
      </c>
      <c r="J913">
        <v>1609561677</v>
      </c>
      <c r="K913">
        <v>991126452</v>
      </c>
      <c r="L913">
        <v>674438338</v>
      </c>
      <c r="M913">
        <v>598184487</v>
      </c>
      <c r="N913">
        <v>384582553</v>
      </c>
      <c r="O913">
        <v>318022999</v>
      </c>
      <c r="P913">
        <v>958</v>
      </c>
      <c r="Q913" t="s">
        <v>2075</v>
      </c>
    </row>
    <row r="914" spans="1:17" x14ac:dyDescent="0.3">
      <c r="A914" t="s">
        <v>17</v>
      </c>
      <c r="B914" t="str">
        <f>"601218"</f>
        <v>601218</v>
      </c>
      <c r="C914" t="s">
        <v>2076</v>
      </c>
      <c r="D914" t="s">
        <v>950</v>
      </c>
      <c r="F914">
        <v>132150609</v>
      </c>
      <c r="G914">
        <v>170210084</v>
      </c>
      <c r="H914">
        <v>35066109</v>
      </c>
      <c r="I914">
        <v>-86932499</v>
      </c>
      <c r="J914">
        <v>20682105</v>
      </c>
      <c r="K914">
        <v>94343371</v>
      </c>
      <c r="L914">
        <v>92833450</v>
      </c>
      <c r="M914">
        <v>60343061</v>
      </c>
      <c r="N914">
        <v>11279895</v>
      </c>
      <c r="O914">
        <v>43160710</v>
      </c>
      <c r="P914">
        <v>146</v>
      </c>
      <c r="Q914" t="s">
        <v>2077</v>
      </c>
    </row>
    <row r="915" spans="1:17" x14ac:dyDescent="0.3">
      <c r="A915" t="s">
        <v>17</v>
      </c>
      <c r="B915" t="str">
        <f>"601222"</f>
        <v>601222</v>
      </c>
      <c r="C915" t="s">
        <v>2078</v>
      </c>
      <c r="D915" t="s">
        <v>86</v>
      </c>
      <c r="F915">
        <v>845591883</v>
      </c>
      <c r="G915">
        <v>935284752</v>
      </c>
      <c r="H915">
        <v>686152335</v>
      </c>
      <c r="I915">
        <v>647131472</v>
      </c>
      <c r="J915">
        <v>549356486</v>
      </c>
      <c r="K915">
        <v>354024117</v>
      </c>
      <c r="L915">
        <v>316270468</v>
      </c>
      <c r="M915">
        <v>252405419</v>
      </c>
      <c r="N915">
        <v>209711067</v>
      </c>
      <c r="O915">
        <v>177411183</v>
      </c>
      <c r="P915">
        <v>556</v>
      </c>
      <c r="Q915" t="s">
        <v>2079</v>
      </c>
    </row>
    <row r="916" spans="1:17" x14ac:dyDescent="0.3">
      <c r="A916" t="s">
        <v>17</v>
      </c>
      <c r="B916" t="str">
        <f>"601225"</f>
        <v>601225</v>
      </c>
      <c r="C916" t="s">
        <v>2080</v>
      </c>
      <c r="D916" t="s">
        <v>292</v>
      </c>
      <c r="F916">
        <v>14257297346</v>
      </c>
      <c r="G916">
        <v>11478632757</v>
      </c>
      <c r="H916">
        <v>9083489720</v>
      </c>
      <c r="I916">
        <v>8864115024</v>
      </c>
      <c r="J916">
        <v>8068337333</v>
      </c>
      <c r="K916">
        <v>1026330088</v>
      </c>
      <c r="L916">
        <v>-1805660650</v>
      </c>
      <c r="M916">
        <v>923228017</v>
      </c>
      <c r="N916">
        <v>3190827083</v>
      </c>
      <c r="P916">
        <v>2634</v>
      </c>
      <c r="Q916" t="s">
        <v>2081</v>
      </c>
    </row>
    <row r="917" spans="1:17" x14ac:dyDescent="0.3">
      <c r="A917" t="s">
        <v>17</v>
      </c>
      <c r="B917" t="str">
        <f>"601226"</f>
        <v>601226</v>
      </c>
      <c r="C917" t="s">
        <v>2082</v>
      </c>
      <c r="D917" t="s">
        <v>1986</v>
      </c>
      <c r="F917">
        <v>148099090</v>
      </c>
      <c r="G917">
        <v>30960049</v>
      </c>
      <c r="H917">
        <v>56780220</v>
      </c>
      <c r="I917">
        <v>46922075</v>
      </c>
      <c r="J917">
        <v>773375</v>
      </c>
      <c r="K917">
        <v>16209834</v>
      </c>
      <c r="L917">
        <v>215540461</v>
      </c>
      <c r="M917">
        <v>286558680</v>
      </c>
      <c r="N917">
        <v>261261109</v>
      </c>
      <c r="P917">
        <v>114</v>
      </c>
      <c r="Q917" t="s">
        <v>2083</v>
      </c>
    </row>
    <row r="918" spans="1:17" x14ac:dyDescent="0.3">
      <c r="A918" t="s">
        <v>17</v>
      </c>
      <c r="B918" t="str">
        <f>"601228"</f>
        <v>601228</v>
      </c>
      <c r="C918" t="s">
        <v>2084</v>
      </c>
      <c r="D918" t="s">
        <v>51</v>
      </c>
      <c r="F918">
        <v>829609290</v>
      </c>
      <c r="G918">
        <v>753647542</v>
      </c>
      <c r="H918">
        <v>736799914</v>
      </c>
      <c r="I918">
        <v>717717922</v>
      </c>
      <c r="J918">
        <v>562747349</v>
      </c>
      <c r="K918">
        <v>517192236</v>
      </c>
      <c r="P918">
        <v>189</v>
      </c>
      <c r="Q918" t="s">
        <v>2085</v>
      </c>
    </row>
    <row r="919" spans="1:17" x14ac:dyDescent="0.3">
      <c r="A919" t="s">
        <v>17</v>
      </c>
      <c r="B919" t="str">
        <f>"601229"</f>
        <v>601229</v>
      </c>
      <c r="C919" t="s">
        <v>2086</v>
      </c>
      <c r="D919" t="s">
        <v>1838</v>
      </c>
      <c r="F919">
        <v>16644310000</v>
      </c>
      <c r="G919">
        <v>15051909000</v>
      </c>
      <c r="H919">
        <v>16359160000</v>
      </c>
      <c r="I919">
        <v>14276443000</v>
      </c>
      <c r="J919">
        <v>11657574000</v>
      </c>
      <c r="K919">
        <v>10911430000</v>
      </c>
      <c r="L919">
        <v>9909448000</v>
      </c>
      <c r="P919">
        <v>1546</v>
      </c>
      <c r="Q919" t="s">
        <v>2087</v>
      </c>
    </row>
    <row r="920" spans="1:17" x14ac:dyDescent="0.3">
      <c r="A920" t="s">
        <v>17</v>
      </c>
      <c r="B920" t="str">
        <f>"601231"</f>
        <v>601231</v>
      </c>
      <c r="C920" t="s">
        <v>2088</v>
      </c>
      <c r="D920" t="s">
        <v>313</v>
      </c>
      <c r="F920">
        <v>1122798637</v>
      </c>
      <c r="G920">
        <v>1000961409</v>
      </c>
      <c r="H920">
        <v>860827130</v>
      </c>
      <c r="I920">
        <v>777175173</v>
      </c>
      <c r="J920">
        <v>861753764</v>
      </c>
      <c r="K920">
        <v>531080243</v>
      </c>
      <c r="L920">
        <v>471404638</v>
      </c>
      <c r="M920">
        <v>508362623</v>
      </c>
      <c r="N920">
        <v>397020339</v>
      </c>
      <c r="O920">
        <v>419513770</v>
      </c>
      <c r="P920">
        <v>735</v>
      </c>
      <c r="Q920" t="s">
        <v>2089</v>
      </c>
    </row>
    <row r="921" spans="1:17" x14ac:dyDescent="0.3">
      <c r="A921" t="s">
        <v>17</v>
      </c>
      <c r="B921" t="str">
        <f>"601233"</f>
        <v>601233</v>
      </c>
      <c r="C921" t="s">
        <v>2090</v>
      </c>
      <c r="D921" t="s">
        <v>1615</v>
      </c>
      <c r="F921">
        <v>6161227248</v>
      </c>
      <c r="G921">
        <v>1802055907</v>
      </c>
      <c r="H921">
        <v>2450549326</v>
      </c>
      <c r="I921">
        <v>2503229425</v>
      </c>
      <c r="J921">
        <v>1147415410</v>
      </c>
      <c r="K921">
        <v>559778533</v>
      </c>
      <c r="L921">
        <v>100169997</v>
      </c>
      <c r="M921">
        <v>17057653</v>
      </c>
      <c r="N921">
        <v>101539842</v>
      </c>
      <c r="O921">
        <v>173221739</v>
      </c>
      <c r="P921">
        <v>807</v>
      </c>
      <c r="Q921" t="s">
        <v>2091</v>
      </c>
    </row>
    <row r="922" spans="1:17" x14ac:dyDescent="0.3">
      <c r="A922" t="s">
        <v>17</v>
      </c>
      <c r="B922" t="str">
        <f>"601236"</f>
        <v>601236</v>
      </c>
      <c r="C922" t="s">
        <v>2092</v>
      </c>
      <c r="D922" t="s">
        <v>80</v>
      </c>
      <c r="F922">
        <v>1055122577</v>
      </c>
      <c r="G922">
        <v>924349936</v>
      </c>
      <c r="H922">
        <v>529721532</v>
      </c>
      <c r="I922">
        <v>236688837</v>
      </c>
      <c r="P922">
        <v>879</v>
      </c>
      <c r="Q922" t="s">
        <v>2093</v>
      </c>
    </row>
    <row r="923" spans="1:17" x14ac:dyDescent="0.3">
      <c r="A923" t="s">
        <v>17</v>
      </c>
      <c r="B923" t="str">
        <f>"601238"</f>
        <v>601238</v>
      </c>
      <c r="C923" t="s">
        <v>2094</v>
      </c>
      <c r="D923" t="s">
        <v>247</v>
      </c>
      <c r="F923">
        <v>5283630368</v>
      </c>
      <c r="G923">
        <v>5001918321</v>
      </c>
      <c r="H923">
        <v>6335022626</v>
      </c>
      <c r="I923">
        <v>9860334991</v>
      </c>
      <c r="J923">
        <v>8962118184</v>
      </c>
      <c r="K923">
        <v>5608622104</v>
      </c>
      <c r="L923">
        <v>2701697559</v>
      </c>
      <c r="M923">
        <v>2272247044</v>
      </c>
      <c r="N923">
        <v>2242425127</v>
      </c>
      <c r="O923">
        <v>1838197036</v>
      </c>
      <c r="P923">
        <v>1300</v>
      </c>
      <c r="Q923" t="s">
        <v>2095</v>
      </c>
    </row>
    <row r="924" spans="1:17" x14ac:dyDescent="0.3">
      <c r="A924" t="s">
        <v>17</v>
      </c>
      <c r="B924" t="str">
        <f>"601258"</f>
        <v>601258</v>
      </c>
      <c r="C924" t="s">
        <v>2096</v>
      </c>
      <c r="D924" t="s">
        <v>672</v>
      </c>
      <c r="F924">
        <v>612678106</v>
      </c>
      <c r="G924">
        <v>77212946</v>
      </c>
      <c r="H924">
        <v>-2070905695</v>
      </c>
      <c r="I924">
        <v>-234292868</v>
      </c>
      <c r="J924">
        <v>331369422</v>
      </c>
      <c r="K924">
        <v>159593275</v>
      </c>
      <c r="L924">
        <v>57487947</v>
      </c>
      <c r="M924">
        <v>93760056</v>
      </c>
      <c r="N924">
        <v>304978254</v>
      </c>
      <c r="O924">
        <v>-282948538</v>
      </c>
      <c r="P924">
        <v>133</v>
      </c>
      <c r="Q924" t="s">
        <v>2097</v>
      </c>
    </row>
    <row r="925" spans="1:17" x14ac:dyDescent="0.3">
      <c r="A925" t="s">
        <v>17</v>
      </c>
      <c r="B925" t="str">
        <f>"601268"</f>
        <v>601268</v>
      </c>
      <c r="C925" t="s">
        <v>2098</v>
      </c>
      <c r="K925">
        <v>124888439.48999999</v>
      </c>
      <c r="L925">
        <v>-1224277872.8699999</v>
      </c>
      <c r="M925">
        <v>-1417573017.8599999</v>
      </c>
      <c r="N925">
        <v>-1498983900.6800001</v>
      </c>
      <c r="O925">
        <v>-997298311.75</v>
      </c>
      <c r="P925">
        <v>2</v>
      </c>
      <c r="Q925" t="s">
        <v>2099</v>
      </c>
    </row>
    <row r="926" spans="1:17" x14ac:dyDescent="0.3">
      <c r="A926" t="s">
        <v>17</v>
      </c>
      <c r="B926" t="str">
        <f>"601279"</f>
        <v>601279</v>
      </c>
      <c r="C926" t="s">
        <v>2100</v>
      </c>
      <c r="D926" t="s">
        <v>985</v>
      </c>
      <c r="F926">
        <v>73595223</v>
      </c>
      <c r="G926">
        <v>88453943</v>
      </c>
      <c r="P926">
        <v>43</v>
      </c>
      <c r="Q926" t="s">
        <v>2101</v>
      </c>
    </row>
    <row r="927" spans="1:17" x14ac:dyDescent="0.3">
      <c r="A927" t="s">
        <v>17</v>
      </c>
      <c r="B927" t="str">
        <f>"601288"</f>
        <v>601288</v>
      </c>
      <c r="C927" t="s">
        <v>2102</v>
      </c>
      <c r="D927" t="s">
        <v>2103</v>
      </c>
      <c r="F927">
        <v>186709000000</v>
      </c>
      <c r="G927">
        <v>165335000000</v>
      </c>
      <c r="H927">
        <v>180671000000</v>
      </c>
      <c r="I927">
        <v>171611000000</v>
      </c>
      <c r="J927">
        <v>160010000000</v>
      </c>
      <c r="K927">
        <v>154170000000</v>
      </c>
      <c r="L927">
        <v>153210000000</v>
      </c>
      <c r="M927">
        <v>152439000000</v>
      </c>
      <c r="N927">
        <v>137988000000</v>
      </c>
      <c r="O927">
        <v>120083000000</v>
      </c>
      <c r="P927">
        <v>9498</v>
      </c>
      <c r="Q927" t="s">
        <v>2104</v>
      </c>
    </row>
    <row r="928" spans="1:17" x14ac:dyDescent="0.3">
      <c r="A928" t="s">
        <v>17</v>
      </c>
      <c r="B928" t="str">
        <f>"601298"</f>
        <v>601298</v>
      </c>
      <c r="C928" t="s">
        <v>2105</v>
      </c>
      <c r="D928" t="s">
        <v>51</v>
      </c>
      <c r="F928">
        <v>3075720721</v>
      </c>
      <c r="G928">
        <v>2947202163</v>
      </c>
      <c r="H928">
        <v>2945087296</v>
      </c>
      <c r="I928">
        <v>2844621300</v>
      </c>
      <c r="J928">
        <v>2433655500</v>
      </c>
      <c r="P928">
        <v>431</v>
      </c>
      <c r="Q928" t="s">
        <v>2106</v>
      </c>
    </row>
    <row r="929" spans="1:17" x14ac:dyDescent="0.3">
      <c r="A929" t="s">
        <v>17</v>
      </c>
      <c r="B929" t="str">
        <f>"601299"</f>
        <v>601299</v>
      </c>
      <c r="C929" t="s">
        <v>2107</v>
      </c>
      <c r="M929">
        <v>3958273000</v>
      </c>
      <c r="N929">
        <v>2389961000</v>
      </c>
      <c r="O929">
        <v>2347583000</v>
      </c>
      <c r="P929">
        <v>12</v>
      </c>
      <c r="Q929" t="s">
        <v>2108</v>
      </c>
    </row>
    <row r="930" spans="1:17" x14ac:dyDescent="0.3">
      <c r="A930" t="s">
        <v>17</v>
      </c>
      <c r="B930" t="str">
        <f>"601311"</f>
        <v>601311</v>
      </c>
      <c r="C930" t="s">
        <v>2109</v>
      </c>
      <c r="D930" t="s">
        <v>555</v>
      </c>
      <c r="F930">
        <v>674302751</v>
      </c>
      <c r="G930">
        <v>450581173</v>
      </c>
      <c r="H930">
        <v>420329728</v>
      </c>
      <c r="I930">
        <v>378476162</v>
      </c>
      <c r="J930">
        <v>341005482</v>
      </c>
      <c r="K930">
        <v>324133206</v>
      </c>
      <c r="L930">
        <v>374909260</v>
      </c>
      <c r="M930">
        <v>467509496</v>
      </c>
      <c r="N930">
        <v>330157063</v>
      </c>
      <c r="O930">
        <v>382905153</v>
      </c>
      <c r="P930">
        <v>339</v>
      </c>
      <c r="Q930" t="s">
        <v>2110</v>
      </c>
    </row>
    <row r="931" spans="1:17" x14ac:dyDescent="0.3">
      <c r="A931" t="s">
        <v>17</v>
      </c>
      <c r="B931" t="str">
        <f>"601313"</f>
        <v>601313</v>
      </c>
      <c r="C931" t="s">
        <v>2111</v>
      </c>
      <c r="I931">
        <v>2515821000</v>
      </c>
      <c r="J931">
        <v>44831297</v>
      </c>
      <c r="K931">
        <v>130282964.19</v>
      </c>
      <c r="L931">
        <v>164373038.81</v>
      </c>
      <c r="M931">
        <v>163087611.77000001</v>
      </c>
      <c r="N931">
        <v>149780814.93000001</v>
      </c>
      <c r="O931">
        <v>95006180.310000002</v>
      </c>
      <c r="P931">
        <v>53</v>
      </c>
      <c r="Q931" t="s">
        <v>2112</v>
      </c>
    </row>
    <row r="932" spans="1:17" x14ac:dyDescent="0.3">
      <c r="A932" t="s">
        <v>17</v>
      </c>
      <c r="B932" t="str">
        <f>"601318"</f>
        <v>601318</v>
      </c>
      <c r="C932" t="s">
        <v>2113</v>
      </c>
      <c r="D932" t="s">
        <v>660</v>
      </c>
      <c r="F932">
        <v>81638000000</v>
      </c>
      <c r="G932">
        <v>103041000000</v>
      </c>
      <c r="H932">
        <v>129567000000</v>
      </c>
      <c r="I932">
        <v>79397000000</v>
      </c>
      <c r="J932">
        <v>66318000000</v>
      </c>
      <c r="K932">
        <v>56508000000</v>
      </c>
      <c r="L932">
        <v>48276000000</v>
      </c>
      <c r="M932">
        <v>31687000000</v>
      </c>
      <c r="N932">
        <v>23339000000</v>
      </c>
      <c r="O932">
        <v>16085000000</v>
      </c>
      <c r="P932">
        <v>27844</v>
      </c>
      <c r="Q932" t="s">
        <v>2114</v>
      </c>
    </row>
    <row r="933" spans="1:17" x14ac:dyDescent="0.3">
      <c r="A933" t="s">
        <v>17</v>
      </c>
      <c r="B933" t="str">
        <f>"601319"</f>
        <v>601319</v>
      </c>
      <c r="C933" t="s">
        <v>2115</v>
      </c>
      <c r="D933" t="s">
        <v>660</v>
      </c>
      <c r="F933">
        <v>20775000000</v>
      </c>
      <c r="G933">
        <v>18736000000</v>
      </c>
      <c r="H933">
        <v>21368000000</v>
      </c>
      <c r="I933">
        <v>12118000000</v>
      </c>
      <c r="J933">
        <v>14485000000</v>
      </c>
      <c r="P933">
        <v>901</v>
      </c>
      <c r="Q933" t="s">
        <v>2116</v>
      </c>
    </row>
    <row r="934" spans="1:17" x14ac:dyDescent="0.3">
      <c r="A934" t="s">
        <v>17</v>
      </c>
      <c r="B934" t="str">
        <f>"601326"</f>
        <v>601326</v>
      </c>
      <c r="C934" t="s">
        <v>2117</v>
      </c>
      <c r="D934" t="s">
        <v>51</v>
      </c>
      <c r="F934">
        <v>973779225</v>
      </c>
      <c r="G934">
        <v>966338485</v>
      </c>
      <c r="H934">
        <v>859754463</v>
      </c>
      <c r="I934">
        <v>940575996</v>
      </c>
      <c r="J934">
        <v>857325788</v>
      </c>
      <c r="K934">
        <v>155614442</v>
      </c>
      <c r="P934">
        <v>127</v>
      </c>
      <c r="Q934" t="s">
        <v>2118</v>
      </c>
    </row>
    <row r="935" spans="1:17" x14ac:dyDescent="0.3">
      <c r="A935" t="s">
        <v>17</v>
      </c>
      <c r="B935" t="str">
        <f>"601328"</f>
        <v>601328</v>
      </c>
      <c r="C935" t="s">
        <v>2119</v>
      </c>
      <c r="D935" t="s">
        <v>2103</v>
      </c>
      <c r="F935">
        <v>64360000000</v>
      </c>
      <c r="G935">
        <v>52712000000</v>
      </c>
      <c r="H935">
        <v>60147000000</v>
      </c>
      <c r="I935">
        <v>57304000000</v>
      </c>
      <c r="J935">
        <v>54419000000</v>
      </c>
      <c r="K935">
        <v>52578000000</v>
      </c>
      <c r="L935">
        <v>52040000000</v>
      </c>
      <c r="M935">
        <v>51522000000</v>
      </c>
      <c r="N935">
        <v>48706000000</v>
      </c>
      <c r="O935">
        <v>44513000000</v>
      </c>
      <c r="P935">
        <v>4577</v>
      </c>
      <c r="Q935" t="s">
        <v>2120</v>
      </c>
    </row>
    <row r="936" spans="1:17" x14ac:dyDescent="0.3">
      <c r="A936" t="s">
        <v>17</v>
      </c>
      <c r="B936" t="str">
        <f>"601330"</f>
        <v>601330</v>
      </c>
      <c r="C936" t="s">
        <v>2121</v>
      </c>
      <c r="D936" t="s">
        <v>499</v>
      </c>
      <c r="F936">
        <v>613568883</v>
      </c>
      <c r="G936">
        <v>427760600</v>
      </c>
      <c r="H936">
        <v>323071279</v>
      </c>
      <c r="I936">
        <v>241215449</v>
      </c>
      <c r="J936">
        <v>157641983</v>
      </c>
      <c r="P936">
        <v>234</v>
      </c>
      <c r="Q936" t="s">
        <v>2122</v>
      </c>
    </row>
    <row r="937" spans="1:17" x14ac:dyDescent="0.3">
      <c r="A937" t="s">
        <v>17</v>
      </c>
      <c r="B937" t="str">
        <f>"601333"</f>
        <v>601333</v>
      </c>
      <c r="C937" t="s">
        <v>2123</v>
      </c>
      <c r="D937" t="s">
        <v>301</v>
      </c>
      <c r="F937">
        <v>-255283646</v>
      </c>
      <c r="G937">
        <v>-1116783823</v>
      </c>
      <c r="H937">
        <v>874807573</v>
      </c>
      <c r="I937">
        <v>963776130</v>
      </c>
      <c r="J937">
        <v>888485481</v>
      </c>
      <c r="K937">
        <v>1089435737</v>
      </c>
      <c r="L937">
        <v>882816554</v>
      </c>
      <c r="M937">
        <v>649778044</v>
      </c>
      <c r="N937">
        <v>980576549</v>
      </c>
      <c r="O937">
        <v>1080225328</v>
      </c>
      <c r="P937">
        <v>318</v>
      </c>
      <c r="Q937" t="s">
        <v>2124</v>
      </c>
    </row>
    <row r="938" spans="1:17" x14ac:dyDescent="0.3">
      <c r="A938" t="s">
        <v>17</v>
      </c>
      <c r="B938" t="str">
        <f>"601336"</f>
        <v>601336</v>
      </c>
      <c r="C938" t="s">
        <v>2125</v>
      </c>
      <c r="D938" t="s">
        <v>660</v>
      </c>
      <c r="F938">
        <v>11954000000</v>
      </c>
      <c r="G938">
        <v>11105000000</v>
      </c>
      <c r="H938">
        <v>13003000000</v>
      </c>
      <c r="I938">
        <v>7702000000</v>
      </c>
      <c r="J938">
        <v>5042000000</v>
      </c>
      <c r="K938">
        <v>4786000000</v>
      </c>
      <c r="L938">
        <v>8644000000</v>
      </c>
      <c r="M938">
        <v>6325000000</v>
      </c>
      <c r="N938">
        <v>3950000000</v>
      </c>
      <c r="O938">
        <v>2324000000</v>
      </c>
      <c r="P938">
        <v>1856</v>
      </c>
      <c r="Q938" t="s">
        <v>2126</v>
      </c>
    </row>
    <row r="939" spans="1:17" x14ac:dyDescent="0.3">
      <c r="A939" t="s">
        <v>17</v>
      </c>
      <c r="B939" t="str">
        <f>"601339"</f>
        <v>601339</v>
      </c>
      <c r="C939" t="s">
        <v>2127</v>
      </c>
      <c r="D939" t="s">
        <v>1009</v>
      </c>
      <c r="F939">
        <v>791563702</v>
      </c>
      <c r="G939">
        <v>178999857</v>
      </c>
      <c r="H939">
        <v>296519475</v>
      </c>
      <c r="I939">
        <v>465196091</v>
      </c>
      <c r="J939">
        <v>387189693</v>
      </c>
      <c r="K939">
        <v>397849394</v>
      </c>
      <c r="L939">
        <v>275190788</v>
      </c>
      <c r="M939">
        <v>398736052</v>
      </c>
      <c r="N939">
        <v>443602320</v>
      </c>
      <c r="O939">
        <v>211050393</v>
      </c>
      <c r="P939">
        <v>207</v>
      </c>
      <c r="Q939" t="s">
        <v>2128</v>
      </c>
    </row>
    <row r="940" spans="1:17" x14ac:dyDescent="0.3">
      <c r="A940" t="s">
        <v>17</v>
      </c>
      <c r="B940" t="str">
        <f>"601360"</f>
        <v>601360</v>
      </c>
      <c r="C940" t="s">
        <v>2129</v>
      </c>
      <c r="D940" t="s">
        <v>1189</v>
      </c>
      <c r="F940">
        <v>1003669000</v>
      </c>
      <c r="G940">
        <v>1706798000</v>
      </c>
      <c r="H940">
        <v>5176119000</v>
      </c>
      <c r="I940">
        <v>2515821000</v>
      </c>
      <c r="J940">
        <v>44831297</v>
      </c>
      <c r="K940">
        <v>130282964</v>
      </c>
      <c r="L940">
        <v>164373039</v>
      </c>
      <c r="M940">
        <v>163087612</v>
      </c>
      <c r="N940">
        <v>149780815</v>
      </c>
      <c r="O940">
        <v>95006180</v>
      </c>
      <c r="P940">
        <v>1010</v>
      </c>
      <c r="Q940" t="s">
        <v>2130</v>
      </c>
    </row>
    <row r="941" spans="1:17" x14ac:dyDescent="0.3">
      <c r="A941" t="s">
        <v>17</v>
      </c>
      <c r="B941" t="str">
        <f>"601366"</f>
        <v>601366</v>
      </c>
      <c r="C941" t="s">
        <v>2131</v>
      </c>
      <c r="D941" t="s">
        <v>1404</v>
      </c>
      <c r="F941">
        <v>105872881</v>
      </c>
      <c r="G941">
        <v>52618780</v>
      </c>
      <c r="H941">
        <v>215366602</v>
      </c>
      <c r="I941">
        <v>297131177</v>
      </c>
      <c r="J941">
        <v>274159439</v>
      </c>
      <c r="K941">
        <v>253341108</v>
      </c>
      <c r="P941">
        <v>132</v>
      </c>
      <c r="Q941" t="s">
        <v>2132</v>
      </c>
    </row>
    <row r="942" spans="1:17" x14ac:dyDescent="0.3">
      <c r="A942" t="s">
        <v>17</v>
      </c>
      <c r="B942" t="str">
        <f>"601368"</f>
        <v>601368</v>
      </c>
      <c r="C942" t="s">
        <v>2133</v>
      </c>
      <c r="D942" t="s">
        <v>33</v>
      </c>
      <c r="F942">
        <v>119694446</v>
      </c>
      <c r="G942">
        <v>223811811</v>
      </c>
      <c r="H942">
        <v>202980911</v>
      </c>
      <c r="I942">
        <v>219639529</v>
      </c>
      <c r="J942">
        <v>280476169</v>
      </c>
      <c r="K942">
        <v>204074018</v>
      </c>
      <c r="L942">
        <v>191883563</v>
      </c>
      <c r="M942">
        <v>197689111</v>
      </c>
      <c r="P942">
        <v>109</v>
      </c>
      <c r="Q942" t="s">
        <v>2134</v>
      </c>
    </row>
    <row r="943" spans="1:17" x14ac:dyDescent="0.3">
      <c r="A943" t="s">
        <v>17</v>
      </c>
      <c r="B943" t="str">
        <f>"601369"</f>
        <v>601369</v>
      </c>
      <c r="C943" t="s">
        <v>2135</v>
      </c>
      <c r="D943" t="s">
        <v>560</v>
      </c>
      <c r="F943">
        <v>746545901</v>
      </c>
      <c r="G943">
        <v>562886110</v>
      </c>
      <c r="H943">
        <v>487881579</v>
      </c>
      <c r="I943">
        <v>373379513</v>
      </c>
      <c r="J943">
        <v>252373514</v>
      </c>
      <c r="K943">
        <v>208014604</v>
      </c>
      <c r="L943">
        <v>293926093</v>
      </c>
      <c r="M943">
        <v>294377229</v>
      </c>
      <c r="N943">
        <v>753074100</v>
      </c>
      <c r="O943">
        <v>877782603</v>
      </c>
      <c r="P943">
        <v>217</v>
      </c>
      <c r="Q943" t="s">
        <v>2136</v>
      </c>
    </row>
    <row r="944" spans="1:17" x14ac:dyDescent="0.3">
      <c r="A944" t="s">
        <v>17</v>
      </c>
      <c r="B944" t="str">
        <f>"601375"</f>
        <v>601375</v>
      </c>
      <c r="C944" t="s">
        <v>2137</v>
      </c>
      <c r="D944" t="s">
        <v>80</v>
      </c>
      <c r="F944">
        <v>496753662</v>
      </c>
      <c r="G944">
        <v>86751830</v>
      </c>
      <c r="H944">
        <v>290438427</v>
      </c>
      <c r="I944">
        <v>135839684</v>
      </c>
      <c r="J944">
        <v>355758027</v>
      </c>
      <c r="K944">
        <v>549755800</v>
      </c>
      <c r="L944">
        <v>1256160900</v>
      </c>
      <c r="M944">
        <v>394799672.54000002</v>
      </c>
      <c r="N944">
        <v>246435870.69999999</v>
      </c>
      <c r="P944">
        <v>690</v>
      </c>
      <c r="Q944" t="s">
        <v>2138</v>
      </c>
    </row>
    <row r="945" spans="1:17" x14ac:dyDescent="0.3">
      <c r="A945" t="s">
        <v>17</v>
      </c>
      <c r="B945" t="str">
        <f>"601377"</f>
        <v>601377</v>
      </c>
      <c r="C945" t="s">
        <v>2139</v>
      </c>
      <c r="D945" t="s">
        <v>80</v>
      </c>
      <c r="F945">
        <v>3523193068</v>
      </c>
      <c r="G945">
        <v>3029026009</v>
      </c>
      <c r="H945">
        <v>1753072066</v>
      </c>
      <c r="I945">
        <v>726832634</v>
      </c>
      <c r="J945">
        <v>1982705227</v>
      </c>
      <c r="K945">
        <v>2044803329</v>
      </c>
      <c r="L945">
        <v>3519000090</v>
      </c>
      <c r="M945">
        <v>1083786268</v>
      </c>
      <c r="N945">
        <v>585439512</v>
      </c>
      <c r="O945">
        <v>417696353</v>
      </c>
      <c r="P945">
        <v>1731</v>
      </c>
      <c r="Q945" t="s">
        <v>2140</v>
      </c>
    </row>
    <row r="946" spans="1:17" x14ac:dyDescent="0.3">
      <c r="A946" t="s">
        <v>17</v>
      </c>
      <c r="B946" t="str">
        <f>"601388"</f>
        <v>601388</v>
      </c>
      <c r="C946" t="s">
        <v>2141</v>
      </c>
      <c r="D946" t="s">
        <v>504</v>
      </c>
      <c r="F946">
        <v>652702411</v>
      </c>
      <c r="G946">
        <v>274125124</v>
      </c>
      <c r="H946">
        <v>47141937</v>
      </c>
      <c r="I946">
        <v>78090623</v>
      </c>
      <c r="J946">
        <v>242067962</v>
      </c>
      <c r="K946">
        <v>-6459492</v>
      </c>
      <c r="L946">
        <v>17721857</v>
      </c>
      <c r="M946">
        <v>27513370</v>
      </c>
      <c r="N946">
        <v>85813951</v>
      </c>
      <c r="O946">
        <v>115027504</v>
      </c>
      <c r="P946">
        <v>206</v>
      </c>
      <c r="Q946" t="s">
        <v>2142</v>
      </c>
    </row>
    <row r="947" spans="1:17" x14ac:dyDescent="0.3">
      <c r="A947" t="s">
        <v>17</v>
      </c>
      <c r="B947" t="str">
        <f>"601390"</f>
        <v>601390</v>
      </c>
      <c r="C947" t="s">
        <v>2143</v>
      </c>
      <c r="D947" t="s">
        <v>101</v>
      </c>
      <c r="F947">
        <v>20646544000</v>
      </c>
      <c r="G947">
        <v>18260162000</v>
      </c>
      <c r="H947">
        <v>15477531000</v>
      </c>
      <c r="I947">
        <v>13044817000</v>
      </c>
      <c r="J947">
        <v>11035798000</v>
      </c>
      <c r="K947">
        <v>9245403000</v>
      </c>
      <c r="L947">
        <v>7908431000</v>
      </c>
      <c r="M947">
        <v>7073618000</v>
      </c>
      <c r="N947">
        <v>6256746000</v>
      </c>
      <c r="O947">
        <v>4272707000</v>
      </c>
      <c r="P947">
        <v>1323</v>
      </c>
      <c r="Q947" t="s">
        <v>2144</v>
      </c>
    </row>
    <row r="948" spans="1:17" x14ac:dyDescent="0.3">
      <c r="A948" t="s">
        <v>17</v>
      </c>
      <c r="B948" t="str">
        <f>"601398"</f>
        <v>601398</v>
      </c>
      <c r="C948" t="s">
        <v>2145</v>
      </c>
      <c r="D948" t="s">
        <v>2103</v>
      </c>
      <c r="F948">
        <v>251821000000</v>
      </c>
      <c r="G948">
        <v>228675000000</v>
      </c>
      <c r="H948">
        <v>251712000000</v>
      </c>
      <c r="I948">
        <v>239627000000</v>
      </c>
      <c r="J948">
        <v>227999000000</v>
      </c>
      <c r="K948">
        <v>222792000000</v>
      </c>
      <c r="L948">
        <v>221761000000</v>
      </c>
      <c r="M948">
        <v>220464000000</v>
      </c>
      <c r="N948">
        <v>205533000000</v>
      </c>
      <c r="O948">
        <v>185602000000</v>
      </c>
      <c r="P948">
        <v>20387</v>
      </c>
      <c r="Q948" t="s">
        <v>2146</v>
      </c>
    </row>
    <row r="949" spans="1:17" x14ac:dyDescent="0.3">
      <c r="A949" t="s">
        <v>17</v>
      </c>
      <c r="B949" t="str">
        <f>"601399"</f>
        <v>601399</v>
      </c>
      <c r="C949" t="s">
        <v>2147</v>
      </c>
      <c r="D949" t="s">
        <v>395</v>
      </c>
      <c r="F949">
        <v>297385327</v>
      </c>
      <c r="G949">
        <v>291579386</v>
      </c>
      <c r="H949">
        <v>322760522</v>
      </c>
      <c r="N949">
        <v>-1498983901</v>
      </c>
      <c r="O949">
        <v>-997298312</v>
      </c>
      <c r="P949">
        <v>53</v>
      </c>
      <c r="Q949" t="s">
        <v>2148</v>
      </c>
    </row>
    <row r="950" spans="1:17" x14ac:dyDescent="0.3">
      <c r="A950" t="s">
        <v>17</v>
      </c>
      <c r="B950" t="str">
        <f>"601456"</f>
        <v>601456</v>
      </c>
      <c r="C950" t="s">
        <v>2149</v>
      </c>
      <c r="D950" t="s">
        <v>80</v>
      </c>
      <c r="F950">
        <v>656901613</v>
      </c>
      <c r="G950">
        <v>459155385</v>
      </c>
      <c r="H950">
        <v>477874000</v>
      </c>
      <c r="I950">
        <v>190586000</v>
      </c>
      <c r="J950">
        <v>376654000</v>
      </c>
      <c r="P950">
        <v>310</v>
      </c>
      <c r="Q950" t="s">
        <v>2150</v>
      </c>
    </row>
    <row r="951" spans="1:17" x14ac:dyDescent="0.3">
      <c r="A951" t="s">
        <v>17</v>
      </c>
      <c r="B951" t="str">
        <f>"601500"</f>
        <v>601500</v>
      </c>
      <c r="C951" t="s">
        <v>2151</v>
      </c>
      <c r="D951" t="s">
        <v>422</v>
      </c>
      <c r="F951">
        <v>31720028</v>
      </c>
      <c r="G951">
        <v>85803700</v>
      </c>
      <c r="H951">
        <v>93905342</v>
      </c>
      <c r="I951">
        <v>117031417</v>
      </c>
      <c r="J951">
        <v>107483992</v>
      </c>
      <c r="K951">
        <v>132403073</v>
      </c>
      <c r="L951">
        <v>127482906</v>
      </c>
      <c r="P951">
        <v>85</v>
      </c>
      <c r="Q951" t="s">
        <v>2152</v>
      </c>
    </row>
    <row r="952" spans="1:17" x14ac:dyDescent="0.3">
      <c r="A952" t="s">
        <v>17</v>
      </c>
      <c r="B952" t="str">
        <f>"601512"</f>
        <v>601512</v>
      </c>
      <c r="C952" t="s">
        <v>2153</v>
      </c>
      <c r="D952" t="s">
        <v>194</v>
      </c>
      <c r="F952">
        <v>1113352649</v>
      </c>
      <c r="G952">
        <v>957398512</v>
      </c>
      <c r="H952">
        <v>1057824255</v>
      </c>
      <c r="I952">
        <v>767500892</v>
      </c>
      <c r="P952">
        <v>103</v>
      </c>
      <c r="Q952" t="s">
        <v>2154</v>
      </c>
    </row>
    <row r="953" spans="1:17" x14ac:dyDescent="0.3">
      <c r="A953" t="s">
        <v>17</v>
      </c>
      <c r="B953" t="str">
        <f>"601515"</f>
        <v>601515</v>
      </c>
      <c r="C953" t="s">
        <v>2155</v>
      </c>
      <c r="D953" t="s">
        <v>2156</v>
      </c>
      <c r="F953">
        <v>588256500</v>
      </c>
      <c r="G953">
        <v>359624213</v>
      </c>
      <c r="H953">
        <v>494524157</v>
      </c>
      <c r="I953">
        <v>491677522</v>
      </c>
      <c r="J953">
        <v>517081948</v>
      </c>
      <c r="K953">
        <v>449906199</v>
      </c>
      <c r="L953">
        <v>564275107</v>
      </c>
      <c r="M953">
        <v>553106318</v>
      </c>
      <c r="N953">
        <v>516816988</v>
      </c>
      <c r="O953">
        <v>415294977</v>
      </c>
      <c r="P953">
        <v>28151</v>
      </c>
      <c r="Q953" t="s">
        <v>2157</v>
      </c>
    </row>
    <row r="954" spans="1:17" x14ac:dyDescent="0.3">
      <c r="A954" t="s">
        <v>17</v>
      </c>
      <c r="B954" t="str">
        <f>"601518"</f>
        <v>601518</v>
      </c>
      <c r="C954" t="s">
        <v>2158</v>
      </c>
      <c r="D954" t="s">
        <v>44</v>
      </c>
      <c r="F954">
        <v>264110208</v>
      </c>
      <c r="G954">
        <v>15907403</v>
      </c>
      <c r="H954">
        <v>141194031</v>
      </c>
      <c r="I954">
        <v>209852759</v>
      </c>
      <c r="J954">
        <v>226911060</v>
      </c>
      <c r="K954">
        <v>154434603</v>
      </c>
      <c r="L954">
        <v>145882736</v>
      </c>
      <c r="M954">
        <v>184300109</v>
      </c>
      <c r="N954">
        <v>213178426</v>
      </c>
      <c r="O954">
        <v>258056557</v>
      </c>
      <c r="P954">
        <v>111</v>
      </c>
      <c r="Q954" t="s">
        <v>2159</v>
      </c>
    </row>
    <row r="955" spans="1:17" x14ac:dyDescent="0.3">
      <c r="A955" t="s">
        <v>17</v>
      </c>
      <c r="B955" t="str">
        <f>"601519"</f>
        <v>601519</v>
      </c>
      <c r="C955" t="s">
        <v>2160</v>
      </c>
      <c r="D955" t="s">
        <v>945</v>
      </c>
      <c r="F955">
        <v>6605120</v>
      </c>
      <c r="G955">
        <v>15555639</v>
      </c>
      <c r="H955">
        <v>-85148632</v>
      </c>
      <c r="I955">
        <v>-38821382</v>
      </c>
      <c r="J955">
        <v>445781053</v>
      </c>
      <c r="K955">
        <v>-747353891</v>
      </c>
      <c r="L955">
        <v>-134004074</v>
      </c>
      <c r="M955">
        <v>87103010</v>
      </c>
      <c r="N955">
        <v>-195172687</v>
      </c>
      <c r="O955">
        <v>-125341594</v>
      </c>
      <c r="P955">
        <v>209</v>
      </c>
      <c r="Q955" t="s">
        <v>2161</v>
      </c>
    </row>
    <row r="956" spans="1:17" x14ac:dyDescent="0.3">
      <c r="A956" t="s">
        <v>17</v>
      </c>
      <c r="B956" t="str">
        <f>"601528"</f>
        <v>601528</v>
      </c>
      <c r="C956" t="s">
        <v>2162</v>
      </c>
      <c r="D956" t="s">
        <v>1827</v>
      </c>
      <c r="F956">
        <v>887486000</v>
      </c>
      <c r="G956">
        <v>784080000</v>
      </c>
      <c r="P956">
        <v>49</v>
      </c>
      <c r="Q956" t="s">
        <v>2163</v>
      </c>
    </row>
    <row r="957" spans="1:17" x14ac:dyDescent="0.3">
      <c r="A957" t="s">
        <v>17</v>
      </c>
      <c r="B957" t="str">
        <f>"601555"</f>
        <v>601555</v>
      </c>
      <c r="C957" t="s">
        <v>2164</v>
      </c>
      <c r="D957" t="s">
        <v>80</v>
      </c>
      <c r="F957">
        <v>1905101261</v>
      </c>
      <c r="G957">
        <v>1491742765</v>
      </c>
      <c r="H957">
        <v>925851088</v>
      </c>
      <c r="I957">
        <v>191993889</v>
      </c>
      <c r="J957">
        <v>807273271</v>
      </c>
      <c r="K957">
        <v>1249705751</v>
      </c>
      <c r="L957">
        <v>2183968270</v>
      </c>
      <c r="M957">
        <v>772829543</v>
      </c>
      <c r="N957">
        <v>305272407</v>
      </c>
      <c r="O957">
        <v>227856883</v>
      </c>
      <c r="P957">
        <v>937</v>
      </c>
      <c r="Q957" t="s">
        <v>2165</v>
      </c>
    </row>
    <row r="958" spans="1:17" x14ac:dyDescent="0.3">
      <c r="A958" t="s">
        <v>17</v>
      </c>
      <c r="B958" t="str">
        <f>"601558"</f>
        <v>601558</v>
      </c>
      <c r="C958" t="s">
        <v>2166</v>
      </c>
      <c r="H958">
        <v>-19240105</v>
      </c>
      <c r="I958">
        <v>1965831</v>
      </c>
      <c r="J958">
        <v>367058615</v>
      </c>
      <c r="K958">
        <v>-660697979</v>
      </c>
      <c r="L958">
        <v>-1259844524</v>
      </c>
      <c r="M958">
        <v>-435702049</v>
      </c>
      <c r="N958">
        <v>-699125502</v>
      </c>
      <c r="O958">
        <v>-269109424</v>
      </c>
      <c r="P958">
        <v>47</v>
      </c>
      <c r="Q958" t="s">
        <v>2167</v>
      </c>
    </row>
    <row r="959" spans="1:17" x14ac:dyDescent="0.3">
      <c r="A959" t="s">
        <v>17</v>
      </c>
      <c r="B959" t="str">
        <f>"601566"</f>
        <v>601566</v>
      </c>
      <c r="C959" t="s">
        <v>2168</v>
      </c>
      <c r="D959" t="s">
        <v>255</v>
      </c>
      <c r="F959">
        <v>52479516</v>
      </c>
      <c r="G959">
        <v>275546327</v>
      </c>
      <c r="H959">
        <v>380692929</v>
      </c>
      <c r="I959">
        <v>349633900</v>
      </c>
      <c r="J959">
        <v>343236437</v>
      </c>
      <c r="K959">
        <v>312649606</v>
      </c>
      <c r="L959">
        <v>276651391</v>
      </c>
      <c r="M959">
        <v>306570327</v>
      </c>
      <c r="N959">
        <v>425712562</v>
      </c>
      <c r="O959">
        <v>471014547</v>
      </c>
      <c r="P959">
        <v>426</v>
      </c>
      <c r="Q959" t="s">
        <v>2169</v>
      </c>
    </row>
    <row r="960" spans="1:17" x14ac:dyDescent="0.3">
      <c r="A960" t="s">
        <v>17</v>
      </c>
      <c r="B960" t="str">
        <f>"601567"</f>
        <v>601567</v>
      </c>
      <c r="C960" t="s">
        <v>2170</v>
      </c>
      <c r="D960" t="s">
        <v>2171</v>
      </c>
      <c r="F960">
        <v>667219124</v>
      </c>
      <c r="G960">
        <v>730569000</v>
      </c>
      <c r="H960">
        <v>801634686</v>
      </c>
      <c r="I960">
        <v>415252066</v>
      </c>
      <c r="J960">
        <v>418917199</v>
      </c>
      <c r="K960">
        <v>360426804</v>
      </c>
      <c r="L960">
        <v>330762741</v>
      </c>
      <c r="M960">
        <v>205493369</v>
      </c>
      <c r="N960">
        <v>162205867</v>
      </c>
      <c r="O960">
        <v>145497037</v>
      </c>
      <c r="P960">
        <v>325</v>
      </c>
      <c r="Q960" t="s">
        <v>2172</v>
      </c>
    </row>
    <row r="961" spans="1:17" x14ac:dyDescent="0.3">
      <c r="A961" t="s">
        <v>17</v>
      </c>
      <c r="B961" t="str">
        <f>"601568"</f>
        <v>601568</v>
      </c>
      <c r="C961" t="s">
        <v>2173</v>
      </c>
      <c r="D961" t="s">
        <v>175</v>
      </c>
      <c r="F961">
        <v>1520982178</v>
      </c>
      <c r="G961">
        <v>1170164558</v>
      </c>
      <c r="H961">
        <v>1230033959</v>
      </c>
      <c r="P961">
        <v>121</v>
      </c>
      <c r="Q961" t="s">
        <v>2174</v>
      </c>
    </row>
    <row r="962" spans="1:17" x14ac:dyDescent="0.3">
      <c r="A962" t="s">
        <v>17</v>
      </c>
      <c r="B962" t="str">
        <f>"601577"</f>
        <v>601577</v>
      </c>
      <c r="C962" t="s">
        <v>2175</v>
      </c>
      <c r="D962" t="s">
        <v>1838</v>
      </c>
      <c r="F962">
        <v>5039927000</v>
      </c>
      <c r="G962">
        <v>4248148000</v>
      </c>
      <c r="H962">
        <v>4147834000</v>
      </c>
      <c r="I962">
        <v>3729183000</v>
      </c>
      <c r="J962">
        <v>3384611000</v>
      </c>
      <c r="K962">
        <v>2607352000</v>
      </c>
      <c r="P962">
        <v>927</v>
      </c>
      <c r="Q962" t="s">
        <v>2176</v>
      </c>
    </row>
    <row r="963" spans="1:17" x14ac:dyDescent="0.3">
      <c r="A963" t="s">
        <v>17</v>
      </c>
      <c r="B963" t="str">
        <f>"601579"</f>
        <v>601579</v>
      </c>
      <c r="C963" t="s">
        <v>2177</v>
      </c>
      <c r="D963" t="s">
        <v>134</v>
      </c>
      <c r="F963">
        <v>98004488</v>
      </c>
      <c r="G963">
        <v>64368386</v>
      </c>
      <c r="H963">
        <v>81686414</v>
      </c>
      <c r="I963">
        <v>101630160</v>
      </c>
      <c r="J963">
        <v>98421221</v>
      </c>
      <c r="K963">
        <v>74080779</v>
      </c>
      <c r="L963">
        <v>71401322</v>
      </c>
      <c r="M963">
        <v>73483840</v>
      </c>
      <c r="N963">
        <v>79151321</v>
      </c>
      <c r="P963">
        <v>186</v>
      </c>
      <c r="Q963" t="s">
        <v>2178</v>
      </c>
    </row>
    <row r="964" spans="1:17" x14ac:dyDescent="0.3">
      <c r="A964" t="s">
        <v>17</v>
      </c>
      <c r="B964" t="str">
        <f>"601588"</f>
        <v>601588</v>
      </c>
      <c r="C964" t="s">
        <v>2179</v>
      </c>
      <c r="D964" t="s">
        <v>104</v>
      </c>
      <c r="F964">
        <v>302317371</v>
      </c>
      <c r="G964">
        <v>128732346</v>
      </c>
      <c r="H964">
        <v>1304141278</v>
      </c>
      <c r="I964">
        <v>1184573061</v>
      </c>
      <c r="J964">
        <v>835381620</v>
      </c>
      <c r="K964">
        <v>424424909</v>
      </c>
      <c r="L964">
        <v>532522127</v>
      </c>
      <c r="M964">
        <v>320963580</v>
      </c>
      <c r="N964">
        <v>512162458</v>
      </c>
      <c r="O964">
        <v>571986536</v>
      </c>
      <c r="P964">
        <v>536</v>
      </c>
      <c r="Q964" t="s">
        <v>2180</v>
      </c>
    </row>
    <row r="965" spans="1:17" x14ac:dyDescent="0.3">
      <c r="A965" t="s">
        <v>17</v>
      </c>
      <c r="B965" t="str">
        <f>"601595"</f>
        <v>601595</v>
      </c>
      <c r="C965" t="s">
        <v>2181</v>
      </c>
      <c r="D965" t="s">
        <v>113</v>
      </c>
      <c r="F965">
        <v>22225309</v>
      </c>
      <c r="G965">
        <v>-265994405</v>
      </c>
      <c r="H965">
        <v>122170334</v>
      </c>
      <c r="I965">
        <v>100921631</v>
      </c>
      <c r="J965">
        <v>154324525</v>
      </c>
      <c r="K965">
        <v>177906711</v>
      </c>
      <c r="L965">
        <v>146482389</v>
      </c>
      <c r="P965">
        <v>158</v>
      </c>
      <c r="Q965" t="s">
        <v>2182</v>
      </c>
    </row>
    <row r="966" spans="1:17" x14ac:dyDescent="0.3">
      <c r="A966" t="s">
        <v>17</v>
      </c>
      <c r="B966" t="str">
        <f>"601598"</f>
        <v>601598</v>
      </c>
      <c r="C966" t="s">
        <v>2183</v>
      </c>
      <c r="D966" t="s">
        <v>287</v>
      </c>
      <c r="F966">
        <v>3079252425</v>
      </c>
      <c r="G966">
        <v>2081470477</v>
      </c>
      <c r="H966">
        <v>2117314531</v>
      </c>
      <c r="I966">
        <v>1937997873</v>
      </c>
      <c r="J966">
        <v>1735118779</v>
      </c>
      <c r="P966">
        <v>316</v>
      </c>
      <c r="Q966" t="s">
        <v>2184</v>
      </c>
    </row>
    <row r="967" spans="1:17" x14ac:dyDescent="0.3">
      <c r="A967" t="s">
        <v>17</v>
      </c>
      <c r="B967" t="str">
        <f>"601599"</f>
        <v>601599</v>
      </c>
      <c r="C967" t="s">
        <v>2185</v>
      </c>
      <c r="D967" t="s">
        <v>366</v>
      </c>
      <c r="F967">
        <v>71168249</v>
      </c>
      <c r="G967">
        <v>-996980269</v>
      </c>
      <c r="H967">
        <v>85977754</v>
      </c>
      <c r="I967">
        <v>64811588</v>
      </c>
      <c r="J967">
        <v>97079912</v>
      </c>
      <c r="K967">
        <v>112858017</v>
      </c>
      <c r="L967">
        <v>87768513</v>
      </c>
      <c r="M967">
        <v>44867378</v>
      </c>
      <c r="N967">
        <v>22004978</v>
      </c>
      <c r="O967">
        <v>21176695</v>
      </c>
      <c r="P967">
        <v>60</v>
      </c>
      <c r="Q967" t="s">
        <v>2186</v>
      </c>
    </row>
    <row r="968" spans="1:17" x14ac:dyDescent="0.3">
      <c r="A968" t="s">
        <v>17</v>
      </c>
      <c r="B968" t="str">
        <f>"601600"</f>
        <v>601600</v>
      </c>
      <c r="C968" t="s">
        <v>2187</v>
      </c>
      <c r="D968" t="s">
        <v>504</v>
      </c>
      <c r="F968">
        <v>5307496000</v>
      </c>
      <c r="G968">
        <v>451775000</v>
      </c>
      <c r="H968">
        <v>808371000</v>
      </c>
      <c r="I968">
        <v>1496353000</v>
      </c>
      <c r="J968">
        <v>1355628000</v>
      </c>
      <c r="K968">
        <v>107856000</v>
      </c>
      <c r="L968">
        <v>-931439000</v>
      </c>
      <c r="M968">
        <v>-5412039000</v>
      </c>
      <c r="N968">
        <v>-1845646000</v>
      </c>
      <c r="O968">
        <v>-4335471000</v>
      </c>
      <c r="P968">
        <v>743</v>
      </c>
      <c r="Q968" t="s">
        <v>2188</v>
      </c>
    </row>
    <row r="969" spans="1:17" x14ac:dyDescent="0.3">
      <c r="A969" t="s">
        <v>17</v>
      </c>
      <c r="B969" t="str">
        <f>"601601"</f>
        <v>601601</v>
      </c>
      <c r="C969" t="s">
        <v>2189</v>
      </c>
      <c r="D969" t="s">
        <v>660</v>
      </c>
      <c r="F969">
        <v>22686000000</v>
      </c>
      <c r="G969">
        <v>19648000000</v>
      </c>
      <c r="H969">
        <v>22914000000</v>
      </c>
      <c r="I969">
        <v>12715000000</v>
      </c>
      <c r="J969">
        <v>10926000000</v>
      </c>
      <c r="K969">
        <v>8829000000</v>
      </c>
      <c r="L969">
        <v>15036000000</v>
      </c>
      <c r="M969">
        <v>8960000000</v>
      </c>
      <c r="N969">
        <v>8081000000</v>
      </c>
      <c r="O969">
        <v>3135000000</v>
      </c>
      <c r="P969">
        <v>2648</v>
      </c>
      <c r="Q969" t="s">
        <v>2190</v>
      </c>
    </row>
    <row r="970" spans="1:17" x14ac:dyDescent="0.3">
      <c r="A970" t="s">
        <v>17</v>
      </c>
      <c r="B970" t="str">
        <f>"601606"</f>
        <v>601606</v>
      </c>
      <c r="C970" t="s">
        <v>2191</v>
      </c>
      <c r="D970" t="s">
        <v>428</v>
      </c>
      <c r="F970">
        <v>-26192400</v>
      </c>
      <c r="G970">
        <v>1357887</v>
      </c>
      <c r="H970">
        <v>3860673</v>
      </c>
      <c r="I970">
        <v>39970596</v>
      </c>
      <c r="J970">
        <v>42169199</v>
      </c>
      <c r="P970">
        <v>180</v>
      </c>
      <c r="Q970" t="s">
        <v>2192</v>
      </c>
    </row>
    <row r="971" spans="1:17" x14ac:dyDescent="0.3">
      <c r="A971" t="s">
        <v>17</v>
      </c>
      <c r="B971" t="str">
        <f>"601607"</f>
        <v>601607</v>
      </c>
      <c r="C971" t="s">
        <v>1714</v>
      </c>
      <c r="D971" t="s">
        <v>125</v>
      </c>
      <c r="F971">
        <v>4484231938</v>
      </c>
      <c r="G971">
        <v>3601996156</v>
      </c>
      <c r="H971">
        <v>3398976801</v>
      </c>
      <c r="I971">
        <v>3371888329</v>
      </c>
      <c r="J971">
        <v>2688601608</v>
      </c>
      <c r="K971">
        <v>2457168751</v>
      </c>
      <c r="L971">
        <v>2178822695</v>
      </c>
      <c r="M971">
        <v>1912585779</v>
      </c>
      <c r="N971">
        <v>1677676654</v>
      </c>
      <c r="O971">
        <v>1546836507</v>
      </c>
      <c r="P971">
        <v>1369</v>
      </c>
      <c r="Q971" t="s">
        <v>2193</v>
      </c>
    </row>
    <row r="972" spans="1:17" x14ac:dyDescent="0.3">
      <c r="A972" t="s">
        <v>17</v>
      </c>
      <c r="B972" t="str">
        <f>"601608"</f>
        <v>601608</v>
      </c>
      <c r="C972" t="s">
        <v>2194</v>
      </c>
      <c r="D972" t="s">
        <v>395</v>
      </c>
      <c r="F972">
        <v>237119192</v>
      </c>
      <c r="G972">
        <v>202256476</v>
      </c>
      <c r="H972">
        <v>98294077</v>
      </c>
      <c r="I972">
        <v>70760700</v>
      </c>
      <c r="J972">
        <v>22499718</v>
      </c>
      <c r="K972">
        <v>-323941493</v>
      </c>
      <c r="L972">
        <v>185227702</v>
      </c>
      <c r="M972">
        <v>361398207</v>
      </c>
      <c r="N972">
        <v>394339630</v>
      </c>
      <c r="O972">
        <v>510655485</v>
      </c>
      <c r="P972">
        <v>178</v>
      </c>
      <c r="Q972" t="s">
        <v>2195</v>
      </c>
    </row>
    <row r="973" spans="1:17" x14ac:dyDescent="0.3">
      <c r="A973" t="s">
        <v>17</v>
      </c>
      <c r="B973" t="str">
        <f>"601609"</f>
        <v>601609</v>
      </c>
      <c r="C973" t="s">
        <v>2196</v>
      </c>
      <c r="D973" t="s">
        <v>263</v>
      </c>
      <c r="F973">
        <v>542029209</v>
      </c>
      <c r="G973">
        <v>360221995</v>
      </c>
      <c r="H973">
        <v>323739802</v>
      </c>
      <c r="P973">
        <v>106</v>
      </c>
      <c r="Q973" t="s">
        <v>2197</v>
      </c>
    </row>
    <row r="974" spans="1:17" x14ac:dyDescent="0.3">
      <c r="A974" t="s">
        <v>17</v>
      </c>
      <c r="B974" t="str">
        <f>"601611"</f>
        <v>601611</v>
      </c>
      <c r="C974" t="s">
        <v>2198</v>
      </c>
      <c r="D974" t="s">
        <v>101</v>
      </c>
      <c r="F974">
        <v>1041335289</v>
      </c>
      <c r="G974">
        <v>950476224</v>
      </c>
      <c r="H974">
        <v>891441675</v>
      </c>
      <c r="I974">
        <v>577347576</v>
      </c>
      <c r="J974">
        <v>510049295</v>
      </c>
      <c r="K974">
        <v>503022360</v>
      </c>
      <c r="L974">
        <v>440659028</v>
      </c>
      <c r="P974">
        <v>345</v>
      </c>
      <c r="Q974" t="s">
        <v>2199</v>
      </c>
    </row>
    <row r="975" spans="1:17" x14ac:dyDescent="0.3">
      <c r="A975" t="s">
        <v>17</v>
      </c>
      <c r="B975" t="str">
        <f>"601615"</f>
        <v>601615</v>
      </c>
      <c r="C975" t="s">
        <v>2200</v>
      </c>
      <c r="D975" t="s">
        <v>895</v>
      </c>
      <c r="F975">
        <v>2161359929</v>
      </c>
      <c r="G975">
        <v>932774987</v>
      </c>
      <c r="H975">
        <v>513610551</v>
      </c>
      <c r="I975">
        <v>258627740</v>
      </c>
      <c r="J975">
        <v>160141023</v>
      </c>
      <c r="P975">
        <v>1067</v>
      </c>
      <c r="Q975" t="s">
        <v>2201</v>
      </c>
    </row>
    <row r="976" spans="1:17" x14ac:dyDescent="0.3">
      <c r="A976" t="s">
        <v>17</v>
      </c>
      <c r="B976" t="str">
        <f>"601616"</f>
        <v>601616</v>
      </c>
      <c r="C976" t="s">
        <v>2202</v>
      </c>
      <c r="D976" t="s">
        <v>657</v>
      </c>
      <c r="F976">
        <v>61659447</v>
      </c>
      <c r="G976">
        <v>55373250</v>
      </c>
      <c r="H976">
        <v>35689084</v>
      </c>
      <c r="I976">
        <v>190206792</v>
      </c>
      <c r="J976">
        <v>13937996</v>
      </c>
      <c r="K976">
        <v>-83559726</v>
      </c>
      <c r="L976">
        <v>30351771</v>
      </c>
      <c r="M976">
        <v>40104803</v>
      </c>
      <c r="N976">
        <v>47192057</v>
      </c>
      <c r="O976">
        <v>36299430</v>
      </c>
      <c r="P976">
        <v>72</v>
      </c>
      <c r="Q976" t="s">
        <v>2203</v>
      </c>
    </row>
    <row r="977" spans="1:17" x14ac:dyDescent="0.3">
      <c r="A977" t="s">
        <v>17</v>
      </c>
      <c r="B977" t="str">
        <f>"601618"</f>
        <v>601618</v>
      </c>
      <c r="C977" t="s">
        <v>2204</v>
      </c>
      <c r="D977" t="s">
        <v>1986</v>
      </c>
      <c r="F977">
        <v>6128220000</v>
      </c>
      <c r="G977">
        <v>4607358000</v>
      </c>
      <c r="H977">
        <v>4034802000</v>
      </c>
      <c r="I977">
        <v>3765524000</v>
      </c>
      <c r="J977">
        <v>3548886000</v>
      </c>
      <c r="K977">
        <v>3357044000</v>
      </c>
      <c r="L977">
        <v>3151432000</v>
      </c>
      <c r="M977">
        <v>2492136000</v>
      </c>
      <c r="N977">
        <v>2116352000</v>
      </c>
      <c r="O977">
        <v>661542000</v>
      </c>
      <c r="P977">
        <v>584</v>
      </c>
      <c r="Q977" t="s">
        <v>2205</v>
      </c>
    </row>
    <row r="978" spans="1:17" x14ac:dyDescent="0.3">
      <c r="A978" t="s">
        <v>17</v>
      </c>
      <c r="B978" t="str">
        <f>"601619"</f>
        <v>601619</v>
      </c>
      <c r="C978" t="s">
        <v>2206</v>
      </c>
      <c r="D978" t="s">
        <v>383</v>
      </c>
      <c r="F978">
        <v>407919833</v>
      </c>
      <c r="G978">
        <v>192945593</v>
      </c>
      <c r="H978">
        <v>234684149</v>
      </c>
      <c r="I978">
        <v>246753450</v>
      </c>
      <c r="J978">
        <v>128474625</v>
      </c>
      <c r="K978">
        <v>88497893</v>
      </c>
      <c r="P978">
        <v>184</v>
      </c>
      <c r="Q978" t="s">
        <v>2207</v>
      </c>
    </row>
    <row r="979" spans="1:17" x14ac:dyDescent="0.3">
      <c r="A979" t="s">
        <v>17</v>
      </c>
      <c r="B979" t="str">
        <f>"601628"</f>
        <v>601628</v>
      </c>
      <c r="C979" t="s">
        <v>2208</v>
      </c>
      <c r="D979" t="s">
        <v>660</v>
      </c>
      <c r="F979">
        <v>48502000000</v>
      </c>
      <c r="G979">
        <v>47078000000</v>
      </c>
      <c r="H979">
        <v>57702000000</v>
      </c>
      <c r="I979">
        <v>19869000000</v>
      </c>
      <c r="J979">
        <v>26825000000</v>
      </c>
      <c r="K979">
        <v>13528000000</v>
      </c>
      <c r="L979">
        <v>33837000000</v>
      </c>
      <c r="M979">
        <v>27553000000</v>
      </c>
      <c r="N979">
        <v>23689000000</v>
      </c>
      <c r="O979">
        <v>7428000000</v>
      </c>
      <c r="P979">
        <v>1729</v>
      </c>
      <c r="Q979" t="s">
        <v>2209</v>
      </c>
    </row>
    <row r="980" spans="1:17" x14ac:dyDescent="0.3">
      <c r="A980" t="s">
        <v>17</v>
      </c>
      <c r="B980" t="str">
        <f>"601633"</f>
        <v>601633</v>
      </c>
      <c r="C980" t="s">
        <v>2210</v>
      </c>
      <c r="D980" t="s">
        <v>247</v>
      </c>
      <c r="F980">
        <v>4944935070</v>
      </c>
      <c r="G980">
        <v>2587213985</v>
      </c>
      <c r="H980">
        <v>2917446118</v>
      </c>
      <c r="I980">
        <v>3926557080</v>
      </c>
      <c r="J980">
        <v>2879480753</v>
      </c>
      <c r="K980">
        <v>7208582917</v>
      </c>
      <c r="L980">
        <v>6208581115</v>
      </c>
      <c r="M980">
        <v>5586247870</v>
      </c>
      <c r="N980">
        <v>6172209374</v>
      </c>
      <c r="O980">
        <v>3841508844</v>
      </c>
      <c r="P980">
        <v>2066</v>
      </c>
      <c r="Q980" t="s">
        <v>2211</v>
      </c>
    </row>
    <row r="981" spans="1:17" x14ac:dyDescent="0.3">
      <c r="A981" t="s">
        <v>17</v>
      </c>
      <c r="B981" t="str">
        <f>"601636"</f>
        <v>601636</v>
      </c>
      <c r="C981" t="s">
        <v>2212</v>
      </c>
      <c r="D981" t="s">
        <v>666</v>
      </c>
      <c r="F981">
        <v>3658040579</v>
      </c>
      <c r="G981">
        <v>1215894688</v>
      </c>
      <c r="H981">
        <v>927249286</v>
      </c>
      <c r="I981">
        <v>959155180</v>
      </c>
      <c r="J981">
        <v>824909685</v>
      </c>
      <c r="K981">
        <v>432148006</v>
      </c>
      <c r="L981">
        <v>117332406</v>
      </c>
      <c r="M981">
        <v>167952581</v>
      </c>
      <c r="N981">
        <v>309620987</v>
      </c>
      <c r="O981">
        <v>115137399</v>
      </c>
      <c r="P981">
        <v>1517</v>
      </c>
      <c r="Q981" t="s">
        <v>2213</v>
      </c>
    </row>
    <row r="982" spans="1:17" x14ac:dyDescent="0.3">
      <c r="A982" t="s">
        <v>17</v>
      </c>
      <c r="B982" t="str">
        <f>"601658"</f>
        <v>601658</v>
      </c>
      <c r="C982" t="s">
        <v>2214</v>
      </c>
      <c r="D982" t="s">
        <v>2103</v>
      </c>
      <c r="F982">
        <v>64507000000</v>
      </c>
      <c r="G982">
        <v>52844000000</v>
      </c>
      <c r="H982">
        <v>54288000000</v>
      </c>
      <c r="I982">
        <v>46710000000</v>
      </c>
      <c r="J982">
        <v>40469000000</v>
      </c>
      <c r="L982">
        <v>30909570000</v>
      </c>
      <c r="P982">
        <v>1193</v>
      </c>
      <c r="Q982" t="s">
        <v>2215</v>
      </c>
    </row>
    <row r="983" spans="1:17" x14ac:dyDescent="0.3">
      <c r="A983" t="s">
        <v>17</v>
      </c>
      <c r="B983" t="str">
        <f>"601665"</f>
        <v>601665</v>
      </c>
      <c r="C983" t="s">
        <v>2216</v>
      </c>
      <c r="D983" t="s">
        <v>1838</v>
      </c>
      <c r="F983">
        <v>2107272000</v>
      </c>
      <c r="G983">
        <v>1848467000</v>
      </c>
      <c r="P983">
        <v>52</v>
      </c>
      <c r="Q983" t="s">
        <v>2217</v>
      </c>
    </row>
    <row r="984" spans="1:17" x14ac:dyDescent="0.3">
      <c r="A984" t="s">
        <v>17</v>
      </c>
      <c r="B984" t="str">
        <f>"601666"</f>
        <v>601666</v>
      </c>
      <c r="C984" t="s">
        <v>2218</v>
      </c>
      <c r="D984" t="s">
        <v>298</v>
      </c>
      <c r="F984">
        <v>1768272133</v>
      </c>
      <c r="G984">
        <v>1044433175</v>
      </c>
      <c r="H984">
        <v>887374585</v>
      </c>
      <c r="I984">
        <v>529466098</v>
      </c>
      <c r="J984">
        <v>1026509827</v>
      </c>
      <c r="K984">
        <v>343846134</v>
      </c>
      <c r="L984">
        <v>-1331242826</v>
      </c>
      <c r="M984">
        <v>86440688</v>
      </c>
      <c r="N984">
        <v>607213450</v>
      </c>
      <c r="O984">
        <v>943675956</v>
      </c>
      <c r="P984">
        <v>401</v>
      </c>
      <c r="Q984" t="s">
        <v>2219</v>
      </c>
    </row>
    <row r="985" spans="1:17" x14ac:dyDescent="0.3">
      <c r="A985" t="s">
        <v>17</v>
      </c>
      <c r="B985" t="str">
        <f>"601668"</f>
        <v>601668</v>
      </c>
      <c r="C985" t="s">
        <v>2220</v>
      </c>
      <c r="D985" t="s">
        <v>398</v>
      </c>
      <c r="F985">
        <v>37830104000</v>
      </c>
      <c r="G985">
        <v>31136838000</v>
      </c>
      <c r="H985">
        <v>29980121000</v>
      </c>
      <c r="I985">
        <v>27299468000</v>
      </c>
      <c r="J985">
        <v>25782179000</v>
      </c>
      <c r="K985">
        <v>24765623000</v>
      </c>
      <c r="L985">
        <v>19043552000</v>
      </c>
      <c r="M985">
        <v>16901840000</v>
      </c>
      <c r="N985">
        <v>13420007000</v>
      </c>
      <c r="O985">
        <v>10678725000</v>
      </c>
      <c r="P985">
        <v>10290</v>
      </c>
      <c r="Q985" t="s">
        <v>2221</v>
      </c>
    </row>
    <row r="986" spans="1:17" x14ac:dyDescent="0.3">
      <c r="A986" t="s">
        <v>17</v>
      </c>
      <c r="B986" t="str">
        <f>"601669"</f>
        <v>601669</v>
      </c>
      <c r="C986" t="s">
        <v>2222</v>
      </c>
      <c r="D986" t="s">
        <v>101</v>
      </c>
      <c r="F986">
        <v>6355815476</v>
      </c>
      <c r="G986">
        <v>5847615504</v>
      </c>
      <c r="H986">
        <v>5817680378</v>
      </c>
      <c r="I986">
        <v>6050930485</v>
      </c>
      <c r="J986">
        <v>5689493686</v>
      </c>
      <c r="K986">
        <v>5355657291</v>
      </c>
      <c r="L986">
        <v>4958494417</v>
      </c>
      <c r="M986">
        <v>3325624142</v>
      </c>
      <c r="N986">
        <v>3225886443</v>
      </c>
      <c r="O986">
        <v>2881144479</v>
      </c>
      <c r="P986">
        <v>752</v>
      </c>
      <c r="Q986" t="s">
        <v>2223</v>
      </c>
    </row>
    <row r="987" spans="1:17" x14ac:dyDescent="0.3">
      <c r="A987" t="s">
        <v>17</v>
      </c>
      <c r="B987" t="str">
        <f>"601677"</f>
        <v>601677</v>
      </c>
      <c r="C987" t="s">
        <v>2224</v>
      </c>
      <c r="D987" t="s">
        <v>504</v>
      </c>
      <c r="F987">
        <v>1401565355</v>
      </c>
      <c r="G987">
        <v>718340263</v>
      </c>
      <c r="H987">
        <v>700172654</v>
      </c>
      <c r="I987">
        <v>393568159</v>
      </c>
      <c r="J987">
        <v>282566772</v>
      </c>
      <c r="K987">
        <v>200768520</v>
      </c>
      <c r="L987">
        <v>129748456</v>
      </c>
      <c r="M987">
        <v>101476664</v>
      </c>
      <c r="N987">
        <v>55110616</v>
      </c>
      <c r="O987">
        <v>61503590</v>
      </c>
      <c r="P987">
        <v>370</v>
      </c>
      <c r="Q987" t="s">
        <v>2225</v>
      </c>
    </row>
    <row r="988" spans="1:17" x14ac:dyDescent="0.3">
      <c r="A988" t="s">
        <v>17</v>
      </c>
      <c r="B988" t="str">
        <f>"601678"</f>
        <v>601678</v>
      </c>
      <c r="C988" t="s">
        <v>2226</v>
      </c>
      <c r="D988" t="s">
        <v>175</v>
      </c>
      <c r="F988">
        <v>1410047176</v>
      </c>
      <c r="G988">
        <v>238403061</v>
      </c>
      <c r="H988">
        <v>345348859</v>
      </c>
      <c r="I988">
        <v>660900242</v>
      </c>
      <c r="J988">
        <v>559620892</v>
      </c>
      <c r="K988">
        <v>139619336</v>
      </c>
      <c r="L988">
        <v>341453166</v>
      </c>
      <c r="M988">
        <v>315715496</v>
      </c>
      <c r="N988">
        <v>194515387</v>
      </c>
      <c r="O988">
        <v>311835459</v>
      </c>
      <c r="P988">
        <v>353</v>
      </c>
      <c r="Q988" t="s">
        <v>2227</v>
      </c>
    </row>
    <row r="989" spans="1:17" x14ac:dyDescent="0.3">
      <c r="A989" t="s">
        <v>17</v>
      </c>
      <c r="B989" t="str">
        <f>"601686"</f>
        <v>601686</v>
      </c>
      <c r="C989" t="s">
        <v>2228</v>
      </c>
      <c r="D989" t="s">
        <v>2229</v>
      </c>
      <c r="F989">
        <v>575911946</v>
      </c>
      <c r="G989">
        <v>1102740700</v>
      </c>
      <c r="H989">
        <v>571350500</v>
      </c>
      <c r="P989">
        <v>57</v>
      </c>
      <c r="Q989" t="s">
        <v>2230</v>
      </c>
    </row>
    <row r="990" spans="1:17" x14ac:dyDescent="0.3">
      <c r="A990" t="s">
        <v>17</v>
      </c>
      <c r="B990" t="str">
        <f>"601688"</f>
        <v>601688</v>
      </c>
      <c r="C990" t="s">
        <v>2231</v>
      </c>
      <c r="D990" t="s">
        <v>80</v>
      </c>
      <c r="F990">
        <v>11048585977</v>
      </c>
      <c r="G990">
        <v>8838992581</v>
      </c>
      <c r="H990">
        <v>6440723943</v>
      </c>
      <c r="I990">
        <v>4479803439</v>
      </c>
      <c r="J990">
        <v>4707537875</v>
      </c>
      <c r="K990">
        <v>4810150883</v>
      </c>
      <c r="L990">
        <v>8639352162</v>
      </c>
      <c r="M990">
        <v>2644771673</v>
      </c>
      <c r="N990">
        <v>1855426508</v>
      </c>
      <c r="O990">
        <v>1345255939</v>
      </c>
      <c r="P990">
        <v>6874</v>
      </c>
      <c r="Q990" t="s">
        <v>2232</v>
      </c>
    </row>
    <row r="991" spans="1:17" x14ac:dyDescent="0.3">
      <c r="A991" t="s">
        <v>17</v>
      </c>
      <c r="B991" t="str">
        <f>"601689"</f>
        <v>601689</v>
      </c>
      <c r="C991" t="s">
        <v>2233</v>
      </c>
      <c r="D991" t="s">
        <v>348</v>
      </c>
      <c r="F991">
        <v>753326575</v>
      </c>
      <c r="G991">
        <v>387433068</v>
      </c>
      <c r="H991">
        <v>337412662</v>
      </c>
      <c r="I991">
        <v>617136977</v>
      </c>
      <c r="J991">
        <v>551083494</v>
      </c>
      <c r="K991">
        <v>423696183</v>
      </c>
      <c r="L991">
        <v>293203671</v>
      </c>
      <c r="M991">
        <v>315761209</v>
      </c>
      <c r="P991">
        <v>664</v>
      </c>
      <c r="Q991" t="s">
        <v>2234</v>
      </c>
    </row>
    <row r="992" spans="1:17" x14ac:dyDescent="0.3">
      <c r="A992" t="s">
        <v>17</v>
      </c>
      <c r="B992" t="str">
        <f>"601696"</f>
        <v>601696</v>
      </c>
      <c r="C992" t="s">
        <v>2235</v>
      </c>
      <c r="D992" t="s">
        <v>80</v>
      </c>
      <c r="F992">
        <v>943183690</v>
      </c>
      <c r="G992">
        <v>848108873</v>
      </c>
      <c r="H992">
        <v>775127747</v>
      </c>
      <c r="I992">
        <v>668651966</v>
      </c>
      <c r="P992">
        <v>516</v>
      </c>
      <c r="Q992" t="s">
        <v>2236</v>
      </c>
    </row>
    <row r="993" spans="1:17" x14ac:dyDescent="0.3">
      <c r="A993" t="s">
        <v>17</v>
      </c>
      <c r="B993" t="str">
        <f>"601698"</f>
        <v>601698</v>
      </c>
      <c r="C993" t="s">
        <v>2237</v>
      </c>
      <c r="D993" t="s">
        <v>284</v>
      </c>
      <c r="F993">
        <v>373724790</v>
      </c>
      <c r="G993">
        <v>335800942</v>
      </c>
      <c r="H993">
        <v>306164675</v>
      </c>
      <c r="I993">
        <v>250149833</v>
      </c>
      <c r="P993">
        <v>316</v>
      </c>
      <c r="Q993" t="s">
        <v>2238</v>
      </c>
    </row>
    <row r="994" spans="1:17" x14ac:dyDescent="0.3">
      <c r="A994" t="s">
        <v>17</v>
      </c>
      <c r="B994" t="str">
        <f>"601699"</f>
        <v>601699</v>
      </c>
      <c r="C994" t="s">
        <v>2239</v>
      </c>
      <c r="D994" t="s">
        <v>298</v>
      </c>
      <c r="F994">
        <v>5825570263</v>
      </c>
      <c r="G994">
        <v>1361010264</v>
      </c>
      <c r="H994">
        <v>2112559475</v>
      </c>
      <c r="I994">
        <v>2229044590</v>
      </c>
      <c r="J994">
        <v>1901097500</v>
      </c>
      <c r="K994">
        <v>90275153</v>
      </c>
      <c r="L994">
        <v>171498765</v>
      </c>
      <c r="M994">
        <v>635024255</v>
      </c>
      <c r="N994">
        <v>1246256484</v>
      </c>
      <c r="O994">
        <v>2340093706</v>
      </c>
      <c r="P994">
        <v>791</v>
      </c>
      <c r="Q994" t="s">
        <v>2240</v>
      </c>
    </row>
    <row r="995" spans="1:17" x14ac:dyDescent="0.3">
      <c r="A995" t="s">
        <v>17</v>
      </c>
      <c r="B995" t="str">
        <f>"601700"</f>
        <v>601700</v>
      </c>
      <c r="C995" t="s">
        <v>2241</v>
      </c>
      <c r="D995" t="s">
        <v>1164</v>
      </c>
      <c r="F995">
        <v>77847198</v>
      </c>
      <c r="G995">
        <v>110733524</v>
      </c>
      <c r="H995">
        <v>145155289</v>
      </c>
      <c r="I995">
        <v>39993641</v>
      </c>
      <c r="J995">
        <v>156752321</v>
      </c>
      <c r="K995">
        <v>174110613</v>
      </c>
      <c r="L995">
        <v>169582856</v>
      </c>
      <c r="M995">
        <v>167932762</v>
      </c>
      <c r="N995">
        <v>163205295</v>
      </c>
      <c r="O995">
        <v>109215429</v>
      </c>
      <c r="P995">
        <v>126</v>
      </c>
      <c r="Q995" t="s">
        <v>2242</v>
      </c>
    </row>
    <row r="996" spans="1:17" x14ac:dyDescent="0.3">
      <c r="A996" t="s">
        <v>17</v>
      </c>
      <c r="B996" t="str">
        <f>"601702"</f>
        <v>601702</v>
      </c>
      <c r="C996" t="s">
        <v>2243</v>
      </c>
      <c r="D996" t="s">
        <v>504</v>
      </c>
      <c r="F996">
        <v>363998183</v>
      </c>
      <c r="G996">
        <v>152770038</v>
      </c>
      <c r="H996">
        <v>105737105</v>
      </c>
      <c r="P996">
        <v>116</v>
      </c>
      <c r="Q996" t="s">
        <v>2244</v>
      </c>
    </row>
    <row r="997" spans="1:17" x14ac:dyDescent="0.3">
      <c r="A997" t="s">
        <v>17</v>
      </c>
      <c r="B997" t="str">
        <f>"601717"</f>
        <v>601717</v>
      </c>
      <c r="C997" t="s">
        <v>2245</v>
      </c>
      <c r="D997" t="s">
        <v>395</v>
      </c>
      <c r="F997">
        <v>1577200723</v>
      </c>
      <c r="G997">
        <v>1213098417</v>
      </c>
      <c r="H997">
        <v>1059646986</v>
      </c>
      <c r="I997">
        <v>685291271</v>
      </c>
      <c r="J997">
        <v>319158772</v>
      </c>
      <c r="K997">
        <v>128147401</v>
      </c>
      <c r="L997">
        <v>44715347</v>
      </c>
      <c r="M997">
        <v>261088721</v>
      </c>
      <c r="N997">
        <v>698314023</v>
      </c>
      <c r="O997">
        <v>1200655300</v>
      </c>
      <c r="P997">
        <v>318</v>
      </c>
      <c r="Q997" t="s">
        <v>2246</v>
      </c>
    </row>
    <row r="998" spans="1:17" x14ac:dyDescent="0.3">
      <c r="A998" t="s">
        <v>17</v>
      </c>
      <c r="B998" t="str">
        <f>"601718"</f>
        <v>601718</v>
      </c>
      <c r="C998" t="s">
        <v>2247</v>
      </c>
      <c r="D998" t="s">
        <v>255</v>
      </c>
      <c r="F998">
        <v>3012611</v>
      </c>
      <c r="G998">
        <v>29137311</v>
      </c>
      <c r="H998">
        <v>43803453</v>
      </c>
      <c r="I998">
        <v>170342597</v>
      </c>
      <c r="J998">
        <v>528513685</v>
      </c>
      <c r="K998">
        <v>769313742</v>
      </c>
      <c r="L998">
        <v>1054640440</v>
      </c>
      <c r="M998">
        <v>688046551</v>
      </c>
      <c r="N998">
        <v>604935584</v>
      </c>
      <c r="O998">
        <v>608153341</v>
      </c>
      <c r="P998">
        <v>180</v>
      </c>
      <c r="Q998" t="s">
        <v>2248</v>
      </c>
    </row>
    <row r="999" spans="1:17" x14ac:dyDescent="0.3">
      <c r="A999" t="s">
        <v>17</v>
      </c>
      <c r="B999" t="str">
        <f>"601727"</f>
        <v>601727</v>
      </c>
      <c r="C999" t="s">
        <v>2249</v>
      </c>
      <c r="D999" t="s">
        <v>973</v>
      </c>
      <c r="F999">
        <v>-4422309000</v>
      </c>
      <c r="G999">
        <v>2345034000</v>
      </c>
      <c r="H999">
        <v>2211837000</v>
      </c>
      <c r="I999">
        <v>2169116000</v>
      </c>
      <c r="J999">
        <v>1877447000</v>
      </c>
      <c r="K999">
        <v>1768712000</v>
      </c>
      <c r="L999">
        <v>1892220000</v>
      </c>
      <c r="M999">
        <v>1788819000</v>
      </c>
      <c r="N999">
        <v>2089935000</v>
      </c>
      <c r="O999">
        <v>2868440000</v>
      </c>
      <c r="P999">
        <v>551</v>
      </c>
      <c r="Q999" t="s">
        <v>2250</v>
      </c>
    </row>
    <row r="1000" spans="1:17" x14ac:dyDescent="0.3">
      <c r="A1000" t="s">
        <v>17</v>
      </c>
      <c r="B1000" t="str">
        <f>"601728"</f>
        <v>601728</v>
      </c>
      <c r="C1000" t="s">
        <v>2251</v>
      </c>
      <c r="D1000" t="s">
        <v>107</v>
      </c>
      <c r="F1000">
        <v>23326518964</v>
      </c>
      <c r="G1000">
        <v>18705620919</v>
      </c>
      <c r="P1000">
        <v>144</v>
      </c>
      <c r="Q1000" t="s">
        <v>2252</v>
      </c>
    </row>
    <row r="1001" spans="1:17" x14ac:dyDescent="0.3">
      <c r="A1001" t="s">
        <v>17</v>
      </c>
      <c r="B1001" t="str">
        <f>"601766"</f>
        <v>601766</v>
      </c>
      <c r="C1001" t="s">
        <v>2253</v>
      </c>
      <c r="D1001" t="s">
        <v>1012</v>
      </c>
      <c r="F1001">
        <v>6460595000</v>
      </c>
      <c r="G1001">
        <v>6793205000</v>
      </c>
      <c r="H1001">
        <v>8412632000</v>
      </c>
      <c r="I1001">
        <v>7531756000</v>
      </c>
      <c r="J1001">
        <v>6809208000</v>
      </c>
      <c r="K1001">
        <v>7520041000</v>
      </c>
      <c r="L1001">
        <v>7960768000</v>
      </c>
      <c r="M1001">
        <v>3973712555</v>
      </c>
      <c r="N1001">
        <v>2510322000</v>
      </c>
      <c r="O1001">
        <v>2852436000</v>
      </c>
      <c r="P1001">
        <v>1205</v>
      </c>
      <c r="Q1001" t="s">
        <v>2254</v>
      </c>
    </row>
    <row r="1002" spans="1:17" x14ac:dyDescent="0.3">
      <c r="A1002" t="s">
        <v>17</v>
      </c>
      <c r="B1002" t="str">
        <f>"601777"</f>
        <v>601777</v>
      </c>
      <c r="C1002" t="s">
        <v>2255</v>
      </c>
      <c r="D1002" t="s">
        <v>1654</v>
      </c>
      <c r="F1002">
        <v>49636107</v>
      </c>
      <c r="G1002">
        <v>-3445095186</v>
      </c>
      <c r="H1002">
        <v>-2633276715</v>
      </c>
      <c r="I1002">
        <v>134038977</v>
      </c>
      <c r="J1002">
        <v>163590437</v>
      </c>
      <c r="K1002">
        <v>186330571</v>
      </c>
      <c r="L1002">
        <v>269219285</v>
      </c>
      <c r="M1002">
        <v>320759667</v>
      </c>
      <c r="N1002">
        <v>245525046</v>
      </c>
      <c r="O1002">
        <v>286919276</v>
      </c>
      <c r="P1002">
        <v>154</v>
      </c>
      <c r="Q1002" t="s">
        <v>2256</v>
      </c>
    </row>
    <row r="1003" spans="1:17" x14ac:dyDescent="0.3">
      <c r="A1003" t="s">
        <v>17</v>
      </c>
      <c r="B1003" t="str">
        <f>"601778"</f>
        <v>601778</v>
      </c>
      <c r="C1003" t="s">
        <v>2257</v>
      </c>
      <c r="D1003" t="s">
        <v>86</v>
      </c>
      <c r="F1003">
        <v>354249619</v>
      </c>
      <c r="G1003">
        <v>401816236</v>
      </c>
      <c r="H1003">
        <v>497884223</v>
      </c>
      <c r="P1003">
        <v>221</v>
      </c>
      <c r="Q1003" t="s">
        <v>2258</v>
      </c>
    </row>
    <row r="1004" spans="1:17" x14ac:dyDescent="0.3">
      <c r="A1004" t="s">
        <v>17</v>
      </c>
      <c r="B1004" t="str">
        <f>"601788"</f>
        <v>601788</v>
      </c>
      <c r="C1004" t="s">
        <v>2259</v>
      </c>
      <c r="D1004" t="s">
        <v>80</v>
      </c>
      <c r="F1004">
        <v>3257187692</v>
      </c>
      <c r="G1004">
        <v>3310001215</v>
      </c>
      <c r="H1004">
        <v>2267122982</v>
      </c>
      <c r="I1004">
        <v>1176776114</v>
      </c>
      <c r="J1004">
        <v>2269674813</v>
      </c>
      <c r="K1004">
        <v>2386337935</v>
      </c>
      <c r="L1004">
        <v>5999694421</v>
      </c>
      <c r="M1004">
        <v>898579937</v>
      </c>
      <c r="N1004">
        <v>509914754</v>
      </c>
      <c r="O1004">
        <v>958846888</v>
      </c>
      <c r="P1004">
        <v>1149</v>
      </c>
      <c r="Q1004" t="s">
        <v>2260</v>
      </c>
    </row>
    <row r="1005" spans="1:17" x14ac:dyDescent="0.3">
      <c r="A1005" t="s">
        <v>17</v>
      </c>
      <c r="B1005" t="str">
        <f>"601789"</f>
        <v>601789</v>
      </c>
      <c r="C1005" t="s">
        <v>2261</v>
      </c>
      <c r="D1005" t="s">
        <v>398</v>
      </c>
      <c r="F1005">
        <v>285830296</v>
      </c>
      <c r="G1005">
        <v>171130113</v>
      </c>
      <c r="H1005">
        <v>156751753</v>
      </c>
      <c r="I1005">
        <v>152102624</v>
      </c>
      <c r="J1005">
        <v>141205430</v>
      </c>
      <c r="K1005">
        <v>131926412</v>
      </c>
      <c r="L1005">
        <v>144247674</v>
      </c>
      <c r="M1005">
        <v>137283860</v>
      </c>
      <c r="N1005">
        <v>141585659</v>
      </c>
      <c r="O1005">
        <v>80307136</v>
      </c>
      <c r="P1005">
        <v>147</v>
      </c>
      <c r="Q1005" t="s">
        <v>2262</v>
      </c>
    </row>
    <row r="1006" spans="1:17" x14ac:dyDescent="0.3">
      <c r="A1006" t="s">
        <v>17</v>
      </c>
      <c r="B1006" t="str">
        <f>"601798"</f>
        <v>601798</v>
      </c>
      <c r="C1006" t="s">
        <v>2263</v>
      </c>
      <c r="D1006" t="s">
        <v>395</v>
      </c>
      <c r="F1006">
        <v>-93483134</v>
      </c>
      <c r="G1006">
        <v>13033797</v>
      </c>
      <c r="H1006">
        <v>-5281429</v>
      </c>
      <c r="I1006">
        <v>-91121792</v>
      </c>
      <c r="J1006">
        <v>3977432</v>
      </c>
      <c r="K1006">
        <v>6628594</v>
      </c>
      <c r="L1006">
        <v>25670287</v>
      </c>
      <c r="M1006">
        <v>34440256</v>
      </c>
      <c r="N1006">
        <v>64013571</v>
      </c>
      <c r="O1006">
        <v>82322021</v>
      </c>
      <c r="P1006">
        <v>77</v>
      </c>
      <c r="Q1006" t="s">
        <v>2264</v>
      </c>
    </row>
    <row r="1007" spans="1:17" x14ac:dyDescent="0.3">
      <c r="A1007" t="s">
        <v>17</v>
      </c>
      <c r="B1007" t="str">
        <f>"601799"</f>
        <v>601799</v>
      </c>
      <c r="C1007" t="s">
        <v>2265</v>
      </c>
      <c r="D1007" t="s">
        <v>1415</v>
      </c>
      <c r="F1007">
        <v>738504004</v>
      </c>
      <c r="G1007">
        <v>706993709</v>
      </c>
      <c r="H1007">
        <v>531355046</v>
      </c>
      <c r="I1007">
        <v>439285809</v>
      </c>
      <c r="J1007">
        <v>323582317</v>
      </c>
      <c r="K1007">
        <v>240488259</v>
      </c>
      <c r="L1007">
        <v>201261178</v>
      </c>
      <c r="M1007">
        <v>177550494</v>
      </c>
      <c r="N1007">
        <v>135957875</v>
      </c>
      <c r="O1007">
        <v>120395982</v>
      </c>
      <c r="P1007">
        <v>1014</v>
      </c>
      <c r="Q1007" t="s">
        <v>2266</v>
      </c>
    </row>
    <row r="1008" spans="1:17" x14ac:dyDescent="0.3">
      <c r="A1008" t="s">
        <v>17</v>
      </c>
      <c r="B1008" t="str">
        <f>"601800"</f>
        <v>601800</v>
      </c>
      <c r="C1008" t="s">
        <v>2267</v>
      </c>
      <c r="D1008" t="s">
        <v>101</v>
      </c>
      <c r="F1008">
        <v>14964824087</v>
      </c>
      <c r="G1008">
        <v>10071759790</v>
      </c>
      <c r="H1008">
        <v>13340895483</v>
      </c>
      <c r="I1008">
        <v>12861357593</v>
      </c>
      <c r="J1008">
        <v>11728553258</v>
      </c>
      <c r="K1008">
        <v>11273640654</v>
      </c>
      <c r="L1008">
        <v>10056751495</v>
      </c>
      <c r="M1008">
        <v>9765094422</v>
      </c>
      <c r="N1008">
        <v>8057390655</v>
      </c>
      <c r="O1008">
        <v>6917308479</v>
      </c>
      <c r="P1008">
        <v>899</v>
      </c>
      <c r="Q1008" t="s">
        <v>2268</v>
      </c>
    </row>
    <row r="1009" spans="1:17" x14ac:dyDescent="0.3">
      <c r="A1009" t="s">
        <v>17</v>
      </c>
      <c r="B1009" t="str">
        <f>"601801"</f>
        <v>601801</v>
      </c>
      <c r="C1009" t="s">
        <v>2269</v>
      </c>
      <c r="D1009" t="s">
        <v>525</v>
      </c>
      <c r="F1009">
        <v>765704894</v>
      </c>
      <c r="G1009">
        <v>661784766</v>
      </c>
      <c r="H1009">
        <v>610940669</v>
      </c>
      <c r="I1009">
        <v>1092586863</v>
      </c>
      <c r="J1009">
        <v>1036806654</v>
      </c>
      <c r="K1009">
        <v>713414786</v>
      </c>
      <c r="L1009">
        <v>687857740</v>
      </c>
      <c r="M1009">
        <v>571938828</v>
      </c>
      <c r="N1009">
        <v>476781814</v>
      </c>
      <c r="O1009">
        <v>390260193</v>
      </c>
      <c r="P1009">
        <v>267</v>
      </c>
      <c r="Q1009" t="s">
        <v>2270</v>
      </c>
    </row>
    <row r="1010" spans="1:17" x14ac:dyDescent="0.3">
      <c r="A1010" t="s">
        <v>17</v>
      </c>
      <c r="B1010" t="str">
        <f>"601808"</f>
        <v>601808</v>
      </c>
      <c r="C1010" t="s">
        <v>2271</v>
      </c>
      <c r="D1010" t="s">
        <v>1758</v>
      </c>
      <c r="F1010">
        <v>1452570907</v>
      </c>
      <c r="G1010">
        <v>2154621559</v>
      </c>
      <c r="H1010">
        <v>2118752920</v>
      </c>
      <c r="I1010">
        <v>-276759271</v>
      </c>
      <c r="J1010">
        <v>-146361802</v>
      </c>
      <c r="K1010">
        <v>-9091736009</v>
      </c>
      <c r="L1010">
        <v>1249106039</v>
      </c>
      <c r="M1010">
        <v>6548709998</v>
      </c>
      <c r="N1010">
        <v>5362959793</v>
      </c>
      <c r="O1010">
        <v>3829312101</v>
      </c>
      <c r="P1010">
        <v>411</v>
      </c>
      <c r="Q1010" t="s">
        <v>2272</v>
      </c>
    </row>
    <row r="1011" spans="1:17" x14ac:dyDescent="0.3">
      <c r="A1011" t="s">
        <v>17</v>
      </c>
      <c r="B1011" t="str">
        <f>"601811"</f>
        <v>601811</v>
      </c>
      <c r="C1011" t="s">
        <v>2273</v>
      </c>
      <c r="D1011" t="s">
        <v>1536</v>
      </c>
      <c r="F1011">
        <v>707458602</v>
      </c>
      <c r="G1011">
        <v>758467623</v>
      </c>
      <c r="H1011">
        <v>747013781</v>
      </c>
      <c r="I1011">
        <v>599730815</v>
      </c>
      <c r="J1011">
        <v>675726117</v>
      </c>
      <c r="K1011">
        <v>481232195</v>
      </c>
      <c r="L1011">
        <v>470242956</v>
      </c>
      <c r="P1011">
        <v>276</v>
      </c>
      <c r="Q1011" t="s">
        <v>2274</v>
      </c>
    </row>
    <row r="1012" spans="1:17" x14ac:dyDescent="0.3">
      <c r="A1012" t="s">
        <v>17</v>
      </c>
      <c r="B1012" t="str">
        <f>"601816"</f>
        <v>601816</v>
      </c>
      <c r="C1012" t="s">
        <v>2275</v>
      </c>
      <c r="D1012" t="s">
        <v>301</v>
      </c>
      <c r="F1012">
        <v>4346888381</v>
      </c>
      <c r="G1012">
        <v>1848449646</v>
      </c>
      <c r="H1012">
        <v>9519964987</v>
      </c>
      <c r="P1012">
        <v>977</v>
      </c>
      <c r="Q1012" t="s">
        <v>2276</v>
      </c>
    </row>
    <row r="1013" spans="1:17" x14ac:dyDescent="0.3">
      <c r="A1013" t="s">
        <v>17</v>
      </c>
      <c r="B1013" t="str">
        <f>"601818"</f>
        <v>601818</v>
      </c>
      <c r="C1013" t="s">
        <v>2277</v>
      </c>
      <c r="D1013" t="s">
        <v>19</v>
      </c>
      <c r="F1013">
        <v>35085000000</v>
      </c>
      <c r="G1013">
        <v>29605000000</v>
      </c>
      <c r="H1013">
        <v>31399000000</v>
      </c>
      <c r="I1013">
        <v>27760000000</v>
      </c>
      <c r="J1013">
        <v>25433000000</v>
      </c>
      <c r="K1013">
        <v>24437000000</v>
      </c>
      <c r="L1013">
        <v>23875000000</v>
      </c>
      <c r="M1013">
        <v>23322000000</v>
      </c>
      <c r="N1013">
        <v>21664000000</v>
      </c>
      <c r="O1013">
        <v>19033092000</v>
      </c>
      <c r="P1013">
        <v>15856</v>
      </c>
      <c r="Q1013" t="s">
        <v>2278</v>
      </c>
    </row>
    <row r="1014" spans="1:17" x14ac:dyDescent="0.3">
      <c r="A1014" t="s">
        <v>17</v>
      </c>
      <c r="B1014" t="str">
        <f>"601825"</f>
        <v>601825</v>
      </c>
      <c r="C1014" t="s">
        <v>2279</v>
      </c>
      <c r="D1014" t="s">
        <v>1827</v>
      </c>
      <c r="F1014">
        <v>7667683000</v>
      </c>
      <c r="G1014">
        <v>6302583000</v>
      </c>
      <c r="P1014">
        <v>57</v>
      </c>
      <c r="Q1014" t="s">
        <v>2280</v>
      </c>
    </row>
    <row r="1015" spans="1:17" x14ac:dyDescent="0.3">
      <c r="A1015" t="s">
        <v>17</v>
      </c>
      <c r="B1015" t="str">
        <f>"601827"</f>
        <v>601827</v>
      </c>
      <c r="C1015" t="s">
        <v>2281</v>
      </c>
      <c r="D1015" t="s">
        <v>499</v>
      </c>
      <c r="F1015">
        <v>1095782737</v>
      </c>
      <c r="G1015">
        <v>613583182</v>
      </c>
      <c r="H1015">
        <v>488167026</v>
      </c>
      <c r="P1015">
        <v>143</v>
      </c>
      <c r="Q1015" t="s">
        <v>2282</v>
      </c>
    </row>
    <row r="1016" spans="1:17" x14ac:dyDescent="0.3">
      <c r="A1016" t="s">
        <v>17</v>
      </c>
      <c r="B1016" t="str">
        <f>"601828"</f>
        <v>601828</v>
      </c>
      <c r="C1016" t="s">
        <v>2283</v>
      </c>
      <c r="D1016" t="s">
        <v>271</v>
      </c>
      <c r="F1016">
        <v>2287140466</v>
      </c>
      <c r="G1016">
        <v>1730077520</v>
      </c>
      <c r="H1016">
        <v>3783470203</v>
      </c>
      <c r="I1016">
        <v>4160235624</v>
      </c>
      <c r="J1016">
        <v>2839751662</v>
      </c>
      <c r="K1016">
        <v>2506415963</v>
      </c>
      <c r="P1016">
        <v>351</v>
      </c>
      <c r="Q1016" t="s">
        <v>2284</v>
      </c>
    </row>
    <row r="1017" spans="1:17" x14ac:dyDescent="0.3">
      <c r="A1017" t="s">
        <v>17</v>
      </c>
      <c r="B1017" t="str">
        <f>"601838"</f>
        <v>601838</v>
      </c>
      <c r="C1017" t="s">
        <v>2285</v>
      </c>
      <c r="D1017" t="s">
        <v>1838</v>
      </c>
      <c r="F1017">
        <v>5130508000</v>
      </c>
      <c r="G1017">
        <v>4200170000</v>
      </c>
      <c r="H1017">
        <v>4007413000</v>
      </c>
      <c r="I1017">
        <v>3395795000</v>
      </c>
      <c r="J1017">
        <v>2809978000</v>
      </c>
      <c r="K1017">
        <v>2205545000</v>
      </c>
      <c r="P1017">
        <v>1326</v>
      </c>
      <c r="Q1017" t="s">
        <v>2286</v>
      </c>
    </row>
    <row r="1018" spans="1:17" x14ac:dyDescent="0.3">
      <c r="A1018" t="s">
        <v>17</v>
      </c>
      <c r="B1018" t="str">
        <f>"601857"</f>
        <v>601857</v>
      </c>
      <c r="C1018" t="s">
        <v>2287</v>
      </c>
      <c r="D1018" t="s">
        <v>74</v>
      </c>
      <c r="F1018">
        <v>75122000000</v>
      </c>
      <c r="G1018">
        <v>10064000000</v>
      </c>
      <c r="H1018">
        <v>37282000000</v>
      </c>
      <c r="I1018">
        <v>48121000000</v>
      </c>
      <c r="J1018">
        <v>17362000000</v>
      </c>
      <c r="K1018">
        <v>1724000000</v>
      </c>
      <c r="L1018">
        <v>30598000000</v>
      </c>
      <c r="M1018">
        <v>96044000000</v>
      </c>
      <c r="N1018">
        <v>95293000000</v>
      </c>
      <c r="O1018">
        <v>86954000000</v>
      </c>
      <c r="P1018">
        <v>1280</v>
      </c>
      <c r="Q1018" t="s">
        <v>2288</v>
      </c>
    </row>
    <row r="1019" spans="1:17" x14ac:dyDescent="0.3">
      <c r="A1019" t="s">
        <v>17</v>
      </c>
      <c r="B1019" t="str">
        <f>"601858"</f>
        <v>601858</v>
      </c>
      <c r="C1019" t="s">
        <v>2289</v>
      </c>
      <c r="D1019" t="s">
        <v>525</v>
      </c>
      <c r="F1019">
        <v>295486687</v>
      </c>
      <c r="G1019">
        <v>251314344</v>
      </c>
      <c r="H1019">
        <v>226379774</v>
      </c>
      <c r="I1019">
        <v>190180100</v>
      </c>
      <c r="J1019">
        <v>155575754</v>
      </c>
      <c r="K1019">
        <v>92087700</v>
      </c>
      <c r="L1019">
        <v>87921800</v>
      </c>
      <c r="P1019">
        <v>178</v>
      </c>
      <c r="Q1019" t="s">
        <v>2290</v>
      </c>
    </row>
    <row r="1020" spans="1:17" x14ac:dyDescent="0.3">
      <c r="A1020" t="s">
        <v>17</v>
      </c>
      <c r="B1020" t="str">
        <f>"601860"</f>
        <v>601860</v>
      </c>
      <c r="C1020" t="s">
        <v>2291</v>
      </c>
      <c r="D1020" t="s">
        <v>1827</v>
      </c>
      <c r="F1020">
        <v>1189053000</v>
      </c>
      <c r="G1020">
        <v>1158647000</v>
      </c>
      <c r="H1020">
        <v>1137804000</v>
      </c>
      <c r="I1020">
        <v>987469906</v>
      </c>
      <c r="J1020">
        <v>879268700</v>
      </c>
      <c r="K1020">
        <v>862421600</v>
      </c>
      <c r="L1020">
        <v>680462400</v>
      </c>
      <c r="P1020">
        <v>332</v>
      </c>
      <c r="Q1020" t="s">
        <v>2292</v>
      </c>
    </row>
    <row r="1021" spans="1:17" x14ac:dyDescent="0.3">
      <c r="A1021" t="s">
        <v>17</v>
      </c>
      <c r="B1021" t="str">
        <f>"601865"</f>
        <v>601865</v>
      </c>
      <c r="C1021" t="s">
        <v>2293</v>
      </c>
      <c r="D1021" t="s">
        <v>478</v>
      </c>
      <c r="F1021">
        <v>1716852020</v>
      </c>
      <c r="G1021">
        <v>811733308</v>
      </c>
      <c r="H1021">
        <v>507523407</v>
      </c>
      <c r="I1021">
        <v>289876200</v>
      </c>
      <c r="J1021">
        <v>289510600</v>
      </c>
      <c r="P1021">
        <v>925</v>
      </c>
      <c r="Q1021" t="s">
        <v>2294</v>
      </c>
    </row>
    <row r="1022" spans="1:17" x14ac:dyDescent="0.3">
      <c r="A1022" t="s">
        <v>17</v>
      </c>
      <c r="B1022" t="str">
        <f>"601866"</f>
        <v>601866</v>
      </c>
      <c r="C1022" t="s">
        <v>2295</v>
      </c>
      <c r="D1022" t="s">
        <v>69</v>
      </c>
      <c r="F1022">
        <v>3988316110</v>
      </c>
      <c r="G1022">
        <v>1672036317</v>
      </c>
      <c r="H1022">
        <v>1291108811</v>
      </c>
      <c r="I1022">
        <v>805545449</v>
      </c>
      <c r="J1022">
        <v>1139474628</v>
      </c>
      <c r="K1022">
        <v>-634917960</v>
      </c>
      <c r="L1022">
        <v>-1033872485</v>
      </c>
      <c r="M1022">
        <v>663568935</v>
      </c>
      <c r="N1022">
        <v>-1669626696</v>
      </c>
      <c r="O1022">
        <v>-289932777</v>
      </c>
      <c r="P1022">
        <v>336</v>
      </c>
      <c r="Q1022" t="s">
        <v>2296</v>
      </c>
    </row>
    <row r="1023" spans="1:17" x14ac:dyDescent="0.3">
      <c r="A1023" t="s">
        <v>17</v>
      </c>
      <c r="B1023" t="str">
        <f>"601868"</f>
        <v>601868</v>
      </c>
      <c r="C1023" t="s">
        <v>2297</v>
      </c>
      <c r="D1023" t="s">
        <v>101</v>
      </c>
      <c r="F1023">
        <v>3360559263</v>
      </c>
      <c r="P1023">
        <v>152</v>
      </c>
      <c r="Q1023" t="s">
        <v>2298</v>
      </c>
    </row>
    <row r="1024" spans="1:17" x14ac:dyDescent="0.3">
      <c r="A1024" t="s">
        <v>17</v>
      </c>
      <c r="B1024" t="str">
        <f>"601869"</f>
        <v>601869</v>
      </c>
      <c r="C1024" t="s">
        <v>2299</v>
      </c>
      <c r="D1024" t="s">
        <v>250</v>
      </c>
      <c r="F1024">
        <v>564153787</v>
      </c>
      <c r="G1024">
        <v>405917946</v>
      </c>
      <c r="H1024">
        <v>653231470</v>
      </c>
      <c r="I1024">
        <v>1237139624</v>
      </c>
      <c r="J1024">
        <v>930116503</v>
      </c>
      <c r="P1024">
        <v>403</v>
      </c>
      <c r="Q1024" t="s">
        <v>2300</v>
      </c>
    </row>
    <row r="1025" spans="1:17" x14ac:dyDescent="0.3">
      <c r="A1025" t="s">
        <v>17</v>
      </c>
      <c r="B1025" t="str">
        <f>"601872"</f>
        <v>601872</v>
      </c>
      <c r="C1025" t="s">
        <v>2301</v>
      </c>
      <c r="D1025" t="s">
        <v>69</v>
      </c>
      <c r="F1025">
        <v>1580338167</v>
      </c>
      <c r="G1025">
        <v>3980197965</v>
      </c>
      <c r="H1025">
        <v>722557015</v>
      </c>
      <c r="I1025">
        <v>439917588</v>
      </c>
      <c r="J1025">
        <v>701946985</v>
      </c>
      <c r="K1025">
        <v>1769269179</v>
      </c>
      <c r="L1025">
        <v>1626654349</v>
      </c>
      <c r="M1025">
        <v>313069648</v>
      </c>
      <c r="N1025">
        <v>-201162978</v>
      </c>
      <c r="O1025">
        <v>67804329</v>
      </c>
      <c r="P1025">
        <v>574</v>
      </c>
      <c r="Q1025" t="s">
        <v>2302</v>
      </c>
    </row>
    <row r="1026" spans="1:17" x14ac:dyDescent="0.3">
      <c r="A1026" t="s">
        <v>17</v>
      </c>
      <c r="B1026" t="str">
        <f>"601877"</f>
        <v>601877</v>
      </c>
      <c r="C1026" t="s">
        <v>2303</v>
      </c>
      <c r="D1026" t="s">
        <v>657</v>
      </c>
      <c r="F1026">
        <v>2778567790</v>
      </c>
      <c r="G1026">
        <v>3047914883</v>
      </c>
      <c r="H1026">
        <v>2864095342</v>
      </c>
      <c r="I1026">
        <v>2790023471</v>
      </c>
      <c r="J1026">
        <v>1967688604</v>
      </c>
      <c r="K1026">
        <v>1283025344</v>
      </c>
      <c r="L1026">
        <v>1272975024</v>
      </c>
      <c r="M1026">
        <v>1318156418</v>
      </c>
      <c r="N1026">
        <v>1100885337</v>
      </c>
      <c r="O1026">
        <v>910301822</v>
      </c>
      <c r="P1026">
        <v>34820</v>
      </c>
      <c r="Q1026" t="s">
        <v>2304</v>
      </c>
    </row>
    <row r="1027" spans="1:17" x14ac:dyDescent="0.3">
      <c r="A1027" t="s">
        <v>17</v>
      </c>
      <c r="B1027" t="str">
        <f>"601878"</f>
        <v>601878</v>
      </c>
      <c r="C1027" t="s">
        <v>2305</v>
      </c>
      <c r="D1027" t="s">
        <v>80</v>
      </c>
      <c r="F1027">
        <v>1588297770</v>
      </c>
      <c r="G1027">
        <v>1027294998</v>
      </c>
      <c r="H1027">
        <v>708902225</v>
      </c>
      <c r="I1027">
        <v>561896500</v>
      </c>
      <c r="J1027">
        <v>811777417</v>
      </c>
      <c r="K1027">
        <v>979509043</v>
      </c>
      <c r="N1027">
        <v>277135700</v>
      </c>
      <c r="P1027">
        <v>842</v>
      </c>
      <c r="Q1027" t="s">
        <v>2306</v>
      </c>
    </row>
    <row r="1028" spans="1:17" x14ac:dyDescent="0.3">
      <c r="A1028" t="s">
        <v>17</v>
      </c>
      <c r="B1028" t="str">
        <f>"601880"</f>
        <v>601880</v>
      </c>
      <c r="C1028" t="s">
        <v>2307</v>
      </c>
      <c r="D1028" t="s">
        <v>51</v>
      </c>
      <c r="F1028">
        <v>1412879104</v>
      </c>
      <c r="G1028">
        <v>711075634</v>
      </c>
      <c r="H1028">
        <v>540815887</v>
      </c>
      <c r="I1028">
        <v>441913637</v>
      </c>
      <c r="J1028">
        <v>380156641</v>
      </c>
      <c r="K1028">
        <v>345583731</v>
      </c>
      <c r="L1028">
        <v>371184822</v>
      </c>
      <c r="M1028">
        <v>418541516</v>
      </c>
      <c r="N1028">
        <v>566051836</v>
      </c>
      <c r="O1028">
        <v>423862272</v>
      </c>
      <c r="P1028">
        <v>189</v>
      </c>
      <c r="Q1028" t="s">
        <v>2308</v>
      </c>
    </row>
    <row r="1029" spans="1:17" x14ac:dyDescent="0.3">
      <c r="A1029" t="s">
        <v>17</v>
      </c>
      <c r="B1029" t="str">
        <f>"601881"</f>
        <v>601881</v>
      </c>
      <c r="C1029" t="s">
        <v>2309</v>
      </c>
      <c r="D1029" t="s">
        <v>80</v>
      </c>
      <c r="F1029">
        <v>7400639134</v>
      </c>
      <c r="G1029">
        <v>5650638803</v>
      </c>
      <c r="H1029">
        <v>3860235941</v>
      </c>
      <c r="I1029">
        <v>1869737199</v>
      </c>
      <c r="J1029">
        <v>3383440647</v>
      </c>
      <c r="K1029">
        <v>3549505600</v>
      </c>
      <c r="L1029">
        <v>7408978800</v>
      </c>
      <c r="P1029">
        <v>1598</v>
      </c>
      <c r="Q1029" t="s">
        <v>2310</v>
      </c>
    </row>
    <row r="1030" spans="1:17" x14ac:dyDescent="0.3">
      <c r="A1030" t="s">
        <v>17</v>
      </c>
      <c r="B1030" t="str">
        <f>"601882"</f>
        <v>601882</v>
      </c>
      <c r="C1030" t="s">
        <v>2311</v>
      </c>
      <c r="D1030" t="s">
        <v>2312</v>
      </c>
      <c r="F1030">
        <v>262822475</v>
      </c>
      <c r="G1030">
        <v>89566534</v>
      </c>
      <c r="H1030">
        <v>51569935</v>
      </c>
      <c r="I1030">
        <v>81933570</v>
      </c>
      <c r="J1030">
        <v>75347397</v>
      </c>
      <c r="K1030">
        <v>50931068</v>
      </c>
      <c r="L1030">
        <v>44265266</v>
      </c>
      <c r="P1030">
        <v>188</v>
      </c>
      <c r="Q1030" t="s">
        <v>2313</v>
      </c>
    </row>
    <row r="1031" spans="1:17" x14ac:dyDescent="0.3">
      <c r="A1031" t="s">
        <v>17</v>
      </c>
      <c r="B1031" t="str">
        <f>"601886"</f>
        <v>601886</v>
      </c>
      <c r="C1031" t="s">
        <v>2314</v>
      </c>
      <c r="D1031" t="s">
        <v>450</v>
      </c>
      <c r="F1031">
        <v>522578812</v>
      </c>
      <c r="G1031">
        <v>396101579</v>
      </c>
      <c r="H1031">
        <v>465677035</v>
      </c>
      <c r="I1031">
        <v>442380113</v>
      </c>
      <c r="J1031">
        <v>344173154</v>
      </c>
      <c r="K1031">
        <v>321281718</v>
      </c>
      <c r="L1031">
        <v>282017798</v>
      </c>
      <c r="M1031">
        <v>273559087</v>
      </c>
      <c r="N1031">
        <v>290708156</v>
      </c>
      <c r="O1031">
        <v>303882213</v>
      </c>
      <c r="P1031">
        <v>177</v>
      </c>
      <c r="Q1031" t="s">
        <v>2315</v>
      </c>
    </row>
    <row r="1032" spans="1:17" x14ac:dyDescent="0.3">
      <c r="A1032" t="s">
        <v>17</v>
      </c>
      <c r="B1032" t="str">
        <f>"601888"</f>
        <v>601888</v>
      </c>
      <c r="C1032" t="s">
        <v>2316</v>
      </c>
      <c r="D1032" t="s">
        <v>2317</v>
      </c>
      <c r="F1032">
        <v>8491003614</v>
      </c>
      <c r="G1032">
        <v>3164144459</v>
      </c>
      <c r="H1032">
        <v>4195606301</v>
      </c>
      <c r="I1032">
        <v>2705225476</v>
      </c>
      <c r="J1032">
        <v>1907967007</v>
      </c>
      <c r="K1032">
        <v>1460697030</v>
      </c>
      <c r="L1032">
        <v>1318613319</v>
      </c>
      <c r="M1032">
        <v>1192409978</v>
      </c>
      <c r="N1032">
        <v>1125166884</v>
      </c>
      <c r="O1032">
        <v>778716391</v>
      </c>
      <c r="P1032">
        <v>6129</v>
      </c>
      <c r="Q1032" t="s">
        <v>2318</v>
      </c>
    </row>
    <row r="1033" spans="1:17" x14ac:dyDescent="0.3">
      <c r="A1033" t="s">
        <v>17</v>
      </c>
      <c r="B1033" t="str">
        <f>"601890"</f>
        <v>601890</v>
      </c>
      <c r="C1033" t="s">
        <v>2319</v>
      </c>
      <c r="D1033" t="s">
        <v>167</v>
      </c>
      <c r="F1033">
        <v>97591028</v>
      </c>
      <c r="G1033">
        <v>67614392</v>
      </c>
      <c r="H1033">
        <v>69900793</v>
      </c>
      <c r="I1033">
        <v>-5095633</v>
      </c>
      <c r="J1033">
        <v>33735362</v>
      </c>
      <c r="K1033">
        <v>48378037</v>
      </c>
      <c r="L1033">
        <v>63055182</v>
      </c>
      <c r="M1033">
        <v>81189339</v>
      </c>
      <c r="N1033">
        <v>42592497</v>
      </c>
      <c r="O1033">
        <v>57020127</v>
      </c>
      <c r="P1033">
        <v>144</v>
      </c>
      <c r="Q1033" t="s">
        <v>2320</v>
      </c>
    </row>
    <row r="1034" spans="1:17" x14ac:dyDescent="0.3">
      <c r="A1034" t="s">
        <v>17</v>
      </c>
      <c r="B1034" t="str">
        <f>"601898"</f>
        <v>601898</v>
      </c>
      <c r="C1034" t="s">
        <v>2321</v>
      </c>
      <c r="D1034" t="s">
        <v>292</v>
      </c>
      <c r="F1034">
        <v>11855946000</v>
      </c>
      <c r="G1034">
        <v>4154393000</v>
      </c>
      <c r="H1034">
        <v>5761125000</v>
      </c>
      <c r="I1034">
        <v>4124682000</v>
      </c>
      <c r="J1034">
        <v>2432452000</v>
      </c>
      <c r="K1034">
        <v>893691000</v>
      </c>
      <c r="L1034">
        <v>-1666302000</v>
      </c>
      <c r="M1034">
        <v>659202000</v>
      </c>
      <c r="N1034">
        <v>3182008000</v>
      </c>
      <c r="O1034">
        <v>6845840000</v>
      </c>
      <c r="P1034">
        <v>446</v>
      </c>
      <c r="Q1034" t="s">
        <v>2322</v>
      </c>
    </row>
    <row r="1035" spans="1:17" x14ac:dyDescent="0.3">
      <c r="A1035" t="s">
        <v>17</v>
      </c>
      <c r="B1035" t="str">
        <f>"601899"</f>
        <v>601899</v>
      </c>
      <c r="C1035" t="s">
        <v>2323</v>
      </c>
      <c r="D1035" t="s">
        <v>263</v>
      </c>
      <c r="F1035">
        <v>11302418374</v>
      </c>
      <c r="G1035">
        <v>4572349849</v>
      </c>
      <c r="H1035">
        <v>3005845833</v>
      </c>
      <c r="I1035">
        <v>3352369065</v>
      </c>
      <c r="J1035">
        <v>2214183323</v>
      </c>
      <c r="K1035">
        <v>1424499725</v>
      </c>
      <c r="L1035">
        <v>1692042397</v>
      </c>
      <c r="M1035">
        <v>1969019486</v>
      </c>
      <c r="N1035">
        <v>1789376418</v>
      </c>
      <c r="O1035">
        <v>3618194909</v>
      </c>
      <c r="P1035">
        <v>2402</v>
      </c>
      <c r="Q1035" t="s">
        <v>2324</v>
      </c>
    </row>
    <row r="1036" spans="1:17" x14ac:dyDescent="0.3">
      <c r="A1036" t="s">
        <v>17</v>
      </c>
      <c r="B1036" t="str">
        <f>"601900"</f>
        <v>601900</v>
      </c>
      <c r="C1036" t="s">
        <v>2325</v>
      </c>
      <c r="D1036" t="s">
        <v>1536</v>
      </c>
      <c r="F1036">
        <v>698856464</v>
      </c>
      <c r="G1036">
        <v>521073883</v>
      </c>
      <c r="H1036">
        <v>607609708</v>
      </c>
      <c r="I1036">
        <v>483488503</v>
      </c>
      <c r="J1036">
        <v>445894088</v>
      </c>
      <c r="K1036">
        <v>346839349</v>
      </c>
      <c r="L1036">
        <v>341996168</v>
      </c>
      <c r="M1036">
        <v>287776376</v>
      </c>
      <c r="P1036">
        <v>244</v>
      </c>
      <c r="Q1036" t="s">
        <v>2326</v>
      </c>
    </row>
    <row r="1037" spans="1:17" x14ac:dyDescent="0.3">
      <c r="A1037" t="s">
        <v>17</v>
      </c>
      <c r="B1037" t="str">
        <f>"601901"</f>
        <v>601901</v>
      </c>
      <c r="C1037" t="s">
        <v>2327</v>
      </c>
      <c r="D1037" t="s">
        <v>80</v>
      </c>
      <c r="F1037">
        <v>1928277072</v>
      </c>
      <c r="G1037">
        <v>1482426507</v>
      </c>
      <c r="H1037">
        <v>1074962134</v>
      </c>
      <c r="I1037">
        <v>454564544</v>
      </c>
      <c r="J1037">
        <v>1330630363</v>
      </c>
      <c r="K1037">
        <v>2665247146</v>
      </c>
      <c r="L1037">
        <v>3927102500</v>
      </c>
      <c r="M1037">
        <v>1482238636</v>
      </c>
      <c r="N1037">
        <v>838404096</v>
      </c>
      <c r="O1037">
        <v>533049471</v>
      </c>
      <c r="P1037">
        <v>931</v>
      </c>
      <c r="Q1037" t="s">
        <v>2328</v>
      </c>
    </row>
    <row r="1038" spans="1:17" x14ac:dyDescent="0.3">
      <c r="A1038" t="s">
        <v>17</v>
      </c>
      <c r="B1038" t="str">
        <f>"601908"</f>
        <v>601908</v>
      </c>
      <c r="C1038" t="s">
        <v>2329</v>
      </c>
      <c r="D1038" t="s">
        <v>86</v>
      </c>
      <c r="F1038">
        <v>706943807</v>
      </c>
      <c r="G1038">
        <v>416265080</v>
      </c>
      <c r="H1038">
        <v>167177759</v>
      </c>
      <c r="I1038">
        <v>479720898</v>
      </c>
      <c r="J1038">
        <v>364729300</v>
      </c>
      <c r="K1038">
        <v>300792111</v>
      </c>
      <c r="L1038">
        <v>214363300</v>
      </c>
      <c r="M1038">
        <v>126381288</v>
      </c>
      <c r="N1038">
        <v>91592125</v>
      </c>
      <c r="O1038">
        <v>36576107</v>
      </c>
      <c r="P1038">
        <v>318</v>
      </c>
      <c r="Q1038" t="s">
        <v>2330</v>
      </c>
    </row>
    <row r="1039" spans="1:17" x14ac:dyDescent="0.3">
      <c r="A1039" t="s">
        <v>17</v>
      </c>
      <c r="B1039" t="str">
        <f>"601916"</f>
        <v>601916</v>
      </c>
      <c r="C1039" t="s">
        <v>2331</v>
      </c>
      <c r="D1039" t="s">
        <v>19</v>
      </c>
      <c r="F1039">
        <v>10578000000</v>
      </c>
      <c r="G1039">
        <v>10144000000</v>
      </c>
      <c r="H1039">
        <v>11238889000</v>
      </c>
      <c r="I1039">
        <v>9858136000</v>
      </c>
      <c r="J1039">
        <v>9079240000</v>
      </c>
      <c r="K1039">
        <v>8166865000</v>
      </c>
      <c r="L1039">
        <v>5636960000</v>
      </c>
      <c r="P1039">
        <v>537</v>
      </c>
      <c r="Q1039" t="s">
        <v>2332</v>
      </c>
    </row>
    <row r="1040" spans="1:17" x14ac:dyDescent="0.3">
      <c r="A1040" t="s">
        <v>17</v>
      </c>
      <c r="B1040" t="str">
        <f>"601918"</f>
        <v>601918</v>
      </c>
      <c r="C1040" t="s">
        <v>2333</v>
      </c>
      <c r="D1040" t="s">
        <v>292</v>
      </c>
      <c r="F1040">
        <v>1817777012</v>
      </c>
      <c r="G1040">
        <v>393404413</v>
      </c>
      <c r="H1040">
        <v>1936335042</v>
      </c>
      <c r="I1040">
        <v>907879038</v>
      </c>
      <c r="J1040">
        <v>169595786</v>
      </c>
      <c r="K1040">
        <v>248189220</v>
      </c>
      <c r="L1040">
        <v>-1287751872</v>
      </c>
      <c r="M1040">
        <v>-1082180916</v>
      </c>
      <c r="N1040">
        <v>-27800511</v>
      </c>
      <c r="O1040">
        <v>1066637196</v>
      </c>
      <c r="P1040">
        <v>237</v>
      </c>
      <c r="Q1040" t="s">
        <v>2334</v>
      </c>
    </row>
    <row r="1041" spans="1:17" x14ac:dyDescent="0.3">
      <c r="A1041" t="s">
        <v>17</v>
      </c>
      <c r="B1041" t="str">
        <f>"601919"</f>
        <v>601919</v>
      </c>
      <c r="C1041" t="s">
        <v>2335</v>
      </c>
      <c r="D1041" t="s">
        <v>69</v>
      </c>
      <c r="F1041">
        <v>67590339185</v>
      </c>
      <c r="G1041">
        <v>3860159559</v>
      </c>
      <c r="H1041">
        <v>2116273911</v>
      </c>
      <c r="I1041">
        <v>862585992</v>
      </c>
      <c r="J1041">
        <v>2735876568</v>
      </c>
      <c r="K1041">
        <v>-9220127196</v>
      </c>
      <c r="L1041">
        <v>188218771</v>
      </c>
      <c r="M1041">
        <v>-654306183</v>
      </c>
      <c r="N1041">
        <v>-2033662981</v>
      </c>
      <c r="O1041">
        <v>-6402792872</v>
      </c>
      <c r="P1041">
        <v>1358</v>
      </c>
      <c r="Q1041" t="s">
        <v>2336</v>
      </c>
    </row>
    <row r="1042" spans="1:17" x14ac:dyDescent="0.3">
      <c r="A1042" t="s">
        <v>17</v>
      </c>
      <c r="B1042" t="str">
        <f>"601921"</f>
        <v>601921</v>
      </c>
      <c r="C1042" t="s">
        <v>2337</v>
      </c>
      <c r="D1042" t="s">
        <v>1536</v>
      </c>
      <c r="F1042">
        <v>693487950</v>
      </c>
      <c r="G1042">
        <v>561726532</v>
      </c>
      <c r="P1042">
        <v>28</v>
      </c>
      <c r="Q1042" t="s">
        <v>2338</v>
      </c>
    </row>
    <row r="1043" spans="1:17" x14ac:dyDescent="0.3">
      <c r="A1043" t="s">
        <v>17</v>
      </c>
      <c r="B1043" t="str">
        <f>"601928"</f>
        <v>601928</v>
      </c>
      <c r="C1043" t="s">
        <v>2339</v>
      </c>
      <c r="D1043" t="s">
        <v>1536</v>
      </c>
      <c r="F1043">
        <v>1776475863</v>
      </c>
      <c r="G1043">
        <v>1087373303</v>
      </c>
      <c r="H1043">
        <v>1138168278</v>
      </c>
      <c r="I1043">
        <v>1103513361</v>
      </c>
      <c r="J1043">
        <v>873248266</v>
      </c>
      <c r="K1043">
        <v>850807637</v>
      </c>
      <c r="L1043">
        <v>787801146</v>
      </c>
      <c r="M1043">
        <v>734389697</v>
      </c>
      <c r="N1043">
        <v>631066878</v>
      </c>
      <c r="O1043">
        <v>693118830</v>
      </c>
      <c r="P1043">
        <v>551</v>
      </c>
      <c r="Q1043" t="s">
        <v>2340</v>
      </c>
    </row>
    <row r="1044" spans="1:17" x14ac:dyDescent="0.3">
      <c r="A1044" t="s">
        <v>17</v>
      </c>
      <c r="B1044" t="str">
        <f>"601929"</f>
        <v>601929</v>
      </c>
      <c r="C1044" t="s">
        <v>2341</v>
      </c>
      <c r="D1044" t="s">
        <v>95</v>
      </c>
      <c r="F1044">
        <v>57999505</v>
      </c>
      <c r="G1044">
        <v>40241713</v>
      </c>
      <c r="H1044">
        <v>109109708</v>
      </c>
      <c r="I1044">
        <v>178869251</v>
      </c>
      <c r="J1044">
        <v>215196228</v>
      </c>
      <c r="K1044">
        <v>234689973</v>
      </c>
      <c r="L1044">
        <v>287735410</v>
      </c>
      <c r="M1044">
        <v>372834074</v>
      </c>
      <c r="N1044">
        <v>153181466</v>
      </c>
      <c r="O1044">
        <v>115288377</v>
      </c>
      <c r="P1044">
        <v>159</v>
      </c>
      <c r="Q1044" t="s">
        <v>2342</v>
      </c>
    </row>
    <row r="1045" spans="1:17" x14ac:dyDescent="0.3">
      <c r="A1045" t="s">
        <v>17</v>
      </c>
      <c r="B1045" t="str">
        <f>"601933"</f>
        <v>601933</v>
      </c>
      <c r="C1045" t="s">
        <v>2343</v>
      </c>
      <c r="D1045" t="s">
        <v>798</v>
      </c>
      <c r="F1045">
        <v>-2177859356</v>
      </c>
      <c r="G1045">
        <v>2028375801</v>
      </c>
      <c r="H1045">
        <v>1538336381</v>
      </c>
      <c r="I1045">
        <v>1017847463</v>
      </c>
      <c r="J1045">
        <v>1392391491</v>
      </c>
      <c r="K1045">
        <v>815486769</v>
      </c>
      <c r="L1045">
        <v>597132693</v>
      </c>
      <c r="M1045">
        <v>648902918</v>
      </c>
      <c r="N1045">
        <v>549927875</v>
      </c>
      <c r="O1045">
        <v>335587164</v>
      </c>
      <c r="P1045">
        <v>2444</v>
      </c>
      <c r="Q1045" t="s">
        <v>2344</v>
      </c>
    </row>
    <row r="1046" spans="1:17" x14ac:dyDescent="0.3">
      <c r="A1046" t="s">
        <v>17</v>
      </c>
      <c r="B1046" t="str">
        <f>"601939"</f>
        <v>601939</v>
      </c>
      <c r="C1046" t="s">
        <v>2345</v>
      </c>
      <c r="D1046" t="s">
        <v>2103</v>
      </c>
      <c r="F1046">
        <v>232153000000</v>
      </c>
      <c r="G1046">
        <v>205832000000</v>
      </c>
      <c r="H1046">
        <v>225344000000</v>
      </c>
      <c r="I1046">
        <v>214108000000</v>
      </c>
      <c r="J1046">
        <v>201242000000</v>
      </c>
      <c r="K1046">
        <v>193835000000</v>
      </c>
      <c r="L1046">
        <v>191557000000</v>
      </c>
      <c r="M1046">
        <v>190298000000</v>
      </c>
      <c r="N1046">
        <v>176482000000</v>
      </c>
      <c r="O1046">
        <v>158191000000</v>
      </c>
      <c r="P1046">
        <v>19332</v>
      </c>
      <c r="Q1046" t="s">
        <v>2346</v>
      </c>
    </row>
    <row r="1047" spans="1:17" x14ac:dyDescent="0.3">
      <c r="A1047" t="s">
        <v>17</v>
      </c>
      <c r="B1047" t="str">
        <f>"601949"</f>
        <v>601949</v>
      </c>
      <c r="C1047" t="s">
        <v>2347</v>
      </c>
      <c r="D1047" t="s">
        <v>525</v>
      </c>
      <c r="F1047">
        <v>415868042</v>
      </c>
      <c r="G1047">
        <v>386248032</v>
      </c>
      <c r="H1047">
        <v>358187210</v>
      </c>
      <c r="I1047">
        <v>234717253</v>
      </c>
      <c r="J1047">
        <v>149423617</v>
      </c>
      <c r="K1047">
        <v>162147607</v>
      </c>
      <c r="P1047">
        <v>160</v>
      </c>
      <c r="Q1047" t="s">
        <v>2348</v>
      </c>
    </row>
    <row r="1048" spans="1:17" x14ac:dyDescent="0.3">
      <c r="A1048" t="s">
        <v>17</v>
      </c>
      <c r="B1048" t="str">
        <f>"601952"</f>
        <v>601952</v>
      </c>
      <c r="C1048" t="s">
        <v>2349</v>
      </c>
      <c r="D1048" t="s">
        <v>1210</v>
      </c>
      <c r="F1048">
        <v>542327967</v>
      </c>
      <c r="G1048">
        <v>522454653</v>
      </c>
      <c r="H1048">
        <v>387054803</v>
      </c>
      <c r="I1048">
        <v>445107716</v>
      </c>
      <c r="J1048">
        <v>387161590</v>
      </c>
      <c r="K1048">
        <v>340310054</v>
      </c>
      <c r="P1048">
        <v>313</v>
      </c>
      <c r="Q1048" t="s">
        <v>2350</v>
      </c>
    </row>
    <row r="1049" spans="1:17" x14ac:dyDescent="0.3">
      <c r="A1049" t="s">
        <v>17</v>
      </c>
      <c r="B1049" t="str">
        <f>"601956"</f>
        <v>601956</v>
      </c>
      <c r="C1049" t="s">
        <v>2351</v>
      </c>
      <c r="D1049" t="s">
        <v>1253</v>
      </c>
      <c r="F1049">
        <v>22982323</v>
      </c>
      <c r="G1049">
        <v>78171053</v>
      </c>
      <c r="P1049">
        <v>23</v>
      </c>
      <c r="Q1049" t="s">
        <v>2352</v>
      </c>
    </row>
    <row r="1050" spans="1:17" x14ac:dyDescent="0.3">
      <c r="A1050" t="s">
        <v>17</v>
      </c>
      <c r="B1050" t="str">
        <f>"601958"</f>
        <v>601958</v>
      </c>
      <c r="C1050" t="s">
        <v>2353</v>
      </c>
      <c r="D1050" t="s">
        <v>2354</v>
      </c>
      <c r="F1050">
        <v>421005711</v>
      </c>
      <c r="G1050">
        <v>115041196</v>
      </c>
      <c r="H1050">
        <v>446387653</v>
      </c>
      <c r="I1050">
        <v>226924876</v>
      </c>
      <c r="J1050">
        <v>37896750</v>
      </c>
      <c r="K1050">
        <v>-34951273</v>
      </c>
      <c r="L1050">
        <v>3090049</v>
      </c>
      <c r="M1050">
        <v>174600561</v>
      </c>
      <c r="N1050">
        <v>143418863</v>
      </c>
      <c r="O1050">
        <v>391216157</v>
      </c>
      <c r="P1050">
        <v>244</v>
      </c>
      <c r="Q1050" t="s">
        <v>2355</v>
      </c>
    </row>
    <row r="1051" spans="1:17" x14ac:dyDescent="0.3">
      <c r="A1051" t="s">
        <v>17</v>
      </c>
      <c r="B1051" t="str">
        <f>"601963"</f>
        <v>601963</v>
      </c>
      <c r="C1051" t="s">
        <v>2356</v>
      </c>
      <c r="D1051" t="s">
        <v>1838</v>
      </c>
      <c r="F1051">
        <v>4068971000</v>
      </c>
      <c r="G1051">
        <v>3893656000</v>
      </c>
      <c r="H1051">
        <v>3720395000</v>
      </c>
      <c r="I1051">
        <v>3330991000</v>
      </c>
      <c r="J1051">
        <v>3296579000</v>
      </c>
      <c r="K1051">
        <v>2960079000</v>
      </c>
      <c r="L1051">
        <v>2674513000</v>
      </c>
      <c r="M1051">
        <v>2423314000</v>
      </c>
      <c r="P1051">
        <v>149</v>
      </c>
      <c r="Q1051" t="s">
        <v>2357</v>
      </c>
    </row>
    <row r="1052" spans="1:17" x14ac:dyDescent="0.3">
      <c r="A1052" t="s">
        <v>17</v>
      </c>
      <c r="B1052" t="str">
        <f>"601965"</f>
        <v>601965</v>
      </c>
      <c r="C1052" t="s">
        <v>2358</v>
      </c>
      <c r="D1052" t="s">
        <v>2359</v>
      </c>
      <c r="F1052">
        <v>495938493</v>
      </c>
      <c r="G1052">
        <v>340663532</v>
      </c>
      <c r="H1052">
        <v>286801993</v>
      </c>
      <c r="I1052">
        <v>257619545</v>
      </c>
      <c r="J1052">
        <v>218098452</v>
      </c>
      <c r="K1052">
        <v>200727263</v>
      </c>
      <c r="L1052">
        <v>145535995</v>
      </c>
      <c r="M1052">
        <v>312646421</v>
      </c>
      <c r="N1052">
        <v>224771360</v>
      </c>
      <c r="O1052">
        <v>205990482</v>
      </c>
      <c r="P1052">
        <v>307</v>
      </c>
      <c r="Q1052" t="s">
        <v>2360</v>
      </c>
    </row>
    <row r="1053" spans="1:17" x14ac:dyDescent="0.3">
      <c r="A1053" t="s">
        <v>17</v>
      </c>
      <c r="B1053" t="str">
        <f>"601966"</f>
        <v>601966</v>
      </c>
      <c r="C1053" t="s">
        <v>2361</v>
      </c>
      <c r="D1053" t="s">
        <v>422</v>
      </c>
      <c r="F1053">
        <v>928692291</v>
      </c>
      <c r="G1053">
        <v>1598613293</v>
      </c>
      <c r="H1053">
        <v>1214396366</v>
      </c>
      <c r="I1053">
        <v>883959918</v>
      </c>
      <c r="J1053">
        <v>719870437</v>
      </c>
      <c r="K1053">
        <v>776453860</v>
      </c>
      <c r="L1053">
        <v>208712823</v>
      </c>
      <c r="P1053">
        <v>927</v>
      </c>
      <c r="Q1053" t="s">
        <v>2362</v>
      </c>
    </row>
    <row r="1054" spans="1:17" x14ac:dyDescent="0.3">
      <c r="A1054" t="s">
        <v>17</v>
      </c>
      <c r="B1054" t="str">
        <f>"601968"</f>
        <v>601968</v>
      </c>
      <c r="C1054" t="s">
        <v>2363</v>
      </c>
      <c r="D1054" t="s">
        <v>2364</v>
      </c>
      <c r="F1054">
        <v>203881980</v>
      </c>
      <c r="G1054">
        <v>146865263</v>
      </c>
      <c r="H1054">
        <v>73764338</v>
      </c>
      <c r="I1054">
        <v>28664360</v>
      </c>
      <c r="J1054">
        <v>-19952758</v>
      </c>
      <c r="K1054">
        <v>12494058</v>
      </c>
      <c r="L1054">
        <v>63173162</v>
      </c>
      <c r="M1054">
        <v>93586724</v>
      </c>
      <c r="P1054">
        <v>108</v>
      </c>
      <c r="Q1054" t="s">
        <v>2365</v>
      </c>
    </row>
    <row r="1055" spans="1:17" x14ac:dyDescent="0.3">
      <c r="A1055" t="s">
        <v>17</v>
      </c>
      <c r="B1055" t="str">
        <f>"601969"</f>
        <v>601969</v>
      </c>
      <c r="C1055" t="s">
        <v>2366</v>
      </c>
      <c r="D1055" t="s">
        <v>2367</v>
      </c>
      <c r="F1055">
        <v>977716860</v>
      </c>
      <c r="G1055">
        <v>63319410</v>
      </c>
      <c r="H1055">
        <v>111368280</v>
      </c>
      <c r="I1055">
        <v>-536231498</v>
      </c>
      <c r="J1055">
        <v>32138669</v>
      </c>
      <c r="K1055">
        <v>-135179213</v>
      </c>
      <c r="L1055">
        <v>-26917778</v>
      </c>
      <c r="M1055">
        <v>318813080</v>
      </c>
      <c r="N1055">
        <v>785549106</v>
      </c>
      <c r="P1055">
        <v>154</v>
      </c>
      <c r="Q1055" t="s">
        <v>2368</v>
      </c>
    </row>
    <row r="1056" spans="1:17" x14ac:dyDescent="0.3">
      <c r="A1056" t="s">
        <v>17</v>
      </c>
      <c r="B1056" t="str">
        <f>"601975"</f>
        <v>601975</v>
      </c>
      <c r="C1056" t="s">
        <v>2369</v>
      </c>
      <c r="D1056" t="s">
        <v>69</v>
      </c>
      <c r="F1056">
        <v>262163122</v>
      </c>
      <c r="G1056">
        <v>1381405379</v>
      </c>
      <c r="H1056">
        <v>532462491</v>
      </c>
      <c r="I1056">
        <v>220458200</v>
      </c>
      <c r="N1056">
        <v>-984708342</v>
      </c>
      <c r="O1056">
        <v>-940611037</v>
      </c>
      <c r="P1056">
        <v>270</v>
      </c>
      <c r="Q1056" t="s">
        <v>2370</v>
      </c>
    </row>
    <row r="1057" spans="1:17" x14ac:dyDescent="0.3">
      <c r="A1057" t="s">
        <v>17</v>
      </c>
      <c r="B1057" t="str">
        <f>"601985"</f>
        <v>601985</v>
      </c>
      <c r="C1057" t="s">
        <v>2371</v>
      </c>
      <c r="D1057" t="s">
        <v>2372</v>
      </c>
      <c r="F1057">
        <v>6506829991</v>
      </c>
      <c r="G1057">
        <v>4907918702</v>
      </c>
      <c r="H1057">
        <v>3683912278</v>
      </c>
      <c r="I1057">
        <v>3849551707</v>
      </c>
      <c r="J1057">
        <v>4104103248</v>
      </c>
      <c r="K1057">
        <v>3761461652</v>
      </c>
      <c r="L1057">
        <v>3444174638</v>
      </c>
      <c r="M1057">
        <v>1766343680</v>
      </c>
      <c r="P1057">
        <v>998</v>
      </c>
      <c r="Q1057" t="s">
        <v>2373</v>
      </c>
    </row>
    <row r="1058" spans="1:17" x14ac:dyDescent="0.3">
      <c r="A1058" t="s">
        <v>17</v>
      </c>
      <c r="B1058" t="str">
        <f>"601988"</f>
        <v>601988</v>
      </c>
      <c r="C1058" t="s">
        <v>2374</v>
      </c>
      <c r="D1058" t="s">
        <v>2103</v>
      </c>
      <c r="F1058">
        <v>163523000000</v>
      </c>
      <c r="G1058">
        <v>145711000000</v>
      </c>
      <c r="H1058">
        <v>159579000000</v>
      </c>
      <c r="I1058">
        <v>153274000000</v>
      </c>
      <c r="J1058">
        <v>145506000000</v>
      </c>
      <c r="K1058">
        <v>134813000000</v>
      </c>
      <c r="L1058">
        <v>131545000000</v>
      </c>
      <c r="M1058">
        <v>131133000000</v>
      </c>
      <c r="N1058">
        <v>120210000000</v>
      </c>
      <c r="O1058">
        <v>106363000000</v>
      </c>
      <c r="P1058">
        <v>4259</v>
      </c>
      <c r="Q1058" t="s">
        <v>2375</v>
      </c>
    </row>
    <row r="1059" spans="1:17" x14ac:dyDescent="0.3">
      <c r="A1059" t="s">
        <v>17</v>
      </c>
      <c r="B1059" t="str">
        <f>"601989"</f>
        <v>601989</v>
      </c>
      <c r="C1059" t="s">
        <v>2376</v>
      </c>
      <c r="D1059" t="s">
        <v>167</v>
      </c>
      <c r="F1059">
        <v>55322764</v>
      </c>
      <c r="G1059">
        <v>-112221540</v>
      </c>
      <c r="H1059">
        <v>1221942821</v>
      </c>
      <c r="I1059">
        <v>1415059167</v>
      </c>
      <c r="J1059">
        <v>1105222783</v>
      </c>
      <c r="K1059">
        <v>846784903</v>
      </c>
      <c r="L1059">
        <v>-441446664</v>
      </c>
      <c r="M1059">
        <v>2198356803</v>
      </c>
      <c r="N1059">
        <v>2627138903</v>
      </c>
      <c r="O1059">
        <v>3622580725</v>
      </c>
      <c r="P1059">
        <v>669</v>
      </c>
      <c r="Q1059" t="s">
        <v>2377</v>
      </c>
    </row>
    <row r="1060" spans="1:17" x14ac:dyDescent="0.3">
      <c r="A1060" t="s">
        <v>17</v>
      </c>
      <c r="B1060" t="str">
        <f>"601990"</f>
        <v>601990</v>
      </c>
      <c r="C1060" t="s">
        <v>2378</v>
      </c>
      <c r="D1060" t="s">
        <v>80</v>
      </c>
      <c r="F1060">
        <v>883175333</v>
      </c>
      <c r="G1060">
        <v>715287391</v>
      </c>
      <c r="H1060">
        <v>651925415</v>
      </c>
      <c r="I1060">
        <v>226018991</v>
      </c>
      <c r="J1060">
        <v>318966865</v>
      </c>
      <c r="K1060">
        <v>483171500</v>
      </c>
      <c r="P1060">
        <v>722</v>
      </c>
      <c r="Q1060" t="s">
        <v>2379</v>
      </c>
    </row>
    <row r="1061" spans="1:17" x14ac:dyDescent="0.3">
      <c r="A1061" t="s">
        <v>17</v>
      </c>
      <c r="B1061" t="str">
        <f>"601991"</f>
        <v>601991</v>
      </c>
      <c r="C1061" t="s">
        <v>2380</v>
      </c>
      <c r="D1061" t="s">
        <v>41</v>
      </c>
      <c r="F1061">
        <v>13455000</v>
      </c>
      <c r="G1061">
        <v>2670204000</v>
      </c>
      <c r="H1061">
        <v>1472279000</v>
      </c>
      <c r="I1061">
        <v>1761558000</v>
      </c>
      <c r="J1061">
        <v>1909298000</v>
      </c>
      <c r="K1061">
        <v>-3145374000</v>
      </c>
      <c r="L1061">
        <v>3586968000</v>
      </c>
      <c r="M1061">
        <v>3664110000</v>
      </c>
      <c r="N1061">
        <v>3674058000</v>
      </c>
      <c r="O1061">
        <v>1804944000</v>
      </c>
      <c r="P1061">
        <v>283</v>
      </c>
      <c r="Q1061" t="s">
        <v>2381</v>
      </c>
    </row>
    <row r="1062" spans="1:17" x14ac:dyDescent="0.3">
      <c r="A1062" t="s">
        <v>17</v>
      </c>
      <c r="B1062" t="str">
        <f>"601992"</f>
        <v>601992</v>
      </c>
      <c r="C1062" t="s">
        <v>2382</v>
      </c>
      <c r="D1062" t="s">
        <v>731</v>
      </c>
      <c r="F1062">
        <v>2716299876</v>
      </c>
      <c r="G1062">
        <v>2716180064</v>
      </c>
      <c r="H1062">
        <v>3716227626</v>
      </c>
      <c r="I1062">
        <v>3103194348</v>
      </c>
      <c r="J1062">
        <v>2604374836</v>
      </c>
      <c r="K1062">
        <v>2270454635</v>
      </c>
      <c r="L1062">
        <v>1061771081</v>
      </c>
      <c r="M1062">
        <v>1740806322</v>
      </c>
      <c r="N1062">
        <v>1735083350</v>
      </c>
      <c r="O1062">
        <v>1808250838</v>
      </c>
      <c r="P1062">
        <v>368</v>
      </c>
      <c r="Q1062" t="s">
        <v>2383</v>
      </c>
    </row>
    <row r="1063" spans="1:17" x14ac:dyDescent="0.3">
      <c r="A1063" t="s">
        <v>17</v>
      </c>
      <c r="B1063" t="str">
        <f>"601995"</f>
        <v>601995</v>
      </c>
      <c r="C1063" t="s">
        <v>2384</v>
      </c>
      <c r="D1063" t="s">
        <v>80</v>
      </c>
      <c r="F1063">
        <v>7453848765</v>
      </c>
      <c r="G1063">
        <v>4891277978</v>
      </c>
      <c r="H1063">
        <v>3139316708</v>
      </c>
      <c r="I1063">
        <v>2720718630</v>
      </c>
      <c r="J1063">
        <v>1953217317</v>
      </c>
      <c r="P1063">
        <v>986</v>
      </c>
      <c r="Q1063" t="s">
        <v>2385</v>
      </c>
    </row>
    <row r="1064" spans="1:17" x14ac:dyDescent="0.3">
      <c r="A1064" t="s">
        <v>17</v>
      </c>
      <c r="B1064" t="str">
        <f>"601996"</f>
        <v>601996</v>
      </c>
      <c r="C1064" t="s">
        <v>2386</v>
      </c>
      <c r="D1064" t="s">
        <v>178</v>
      </c>
      <c r="F1064">
        <v>101222290</v>
      </c>
      <c r="G1064">
        <v>107308394</v>
      </c>
      <c r="H1064">
        <v>132558139</v>
      </c>
      <c r="I1064">
        <v>109990086</v>
      </c>
      <c r="J1064">
        <v>123489783</v>
      </c>
      <c r="K1064">
        <v>72371467</v>
      </c>
      <c r="L1064">
        <v>49861572</v>
      </c>
      <c r="M1064">
        <v>70260942</v>
      </c>
      <c r="N1064">
        <v>66003854</v>
      </c>
      <c r="O1064">
        <v>57506759</v>
      </c>
      <c r="P1064">
        <v>143</v>
      </c>
      <c r="Q1064" t="s">
        <v>2387</v>
      </c>
    </row>
    <row r="1065" spans="1:17" x14ac:dyDescent="0.3">
      <c r="A1065" t="s">
        <v>17</v>
      </c>
      <c r="B1065" t="str">
        <f>"601997"</f>
        <v>601997</v>
      </c>
      <c r="C1065" t="s">
        <v>2388</v>
      </c>
      <c r="D1065" t="s">
        <v>1838</v>
      </c>
      <c r="F1065">
        <v>4350795000</v>
      </c>
      <c r="G1065">
        <v>4264961000</v>
      </c>
      <c r="H1065">
        <v>4306419000</v>
      </c>
      <c r="I1065">
        <v>3733573000</v>
      </c>
      <c r="J1065">
        <v>3187197000</v>
      </c>
      <c r="K1065">
        <v>2698092000</v>
      </c>
      <c r="L1065">
        <v>2451004000</v>
      </c>
      <c r="O1065">
        <v>1279602747.1300001</v>
      </c>
      <c r="P1065">
        <v>2050</v>
      </c>
      <c r="Q1065" t="s">
        <v>2389</v>
      </c>
    </row>
    <row r="1066" spans="1:17" x14ac:dyDescent="0.3">
      <c r="A1066" t="s">
        <v>17</v>
      </c>
      <c r="B1066" t="str">
        <f>"601998"</f>
        <v>601998</v>
      </c>
      <c r="C1066" t="s">
        <v>2390</v>
      </c>
      <c r="D1066" t="s">
        <v>19</v>
      </c>
      <c r="F1066">
        <v>41756000000</v>
      </c>
      <c r="G1066">
        <v>36918000000</v>
      </c>
      <c r="H1066">
        <v>40752000000</v>
      </c>
      <c r="I1066">
        <v>36799000000</v>
      </c>
      <c r="J1066">
        <v>34738000000</v>
      </c>
      <c r="K1066">
        <v>34543000000</v>
      </c>
      <c r="L1066">
        <v>32926000000</v>
      </c>
      <c r="M1066">
        <v>32280000000</v>
      </c>
      <c r="N1066">
        <v>30860000000</v>
      </c>
      <c r="O1066">
        <v>27226000000</v>
      </c>
      <c r="P1066">
        <v>1903</v>
      </c>
      <c r="Q1066" t="s">
        <v>2391</v>
      </c>
    </row>
    <row r="1067" spans="1:17" x14ac:dyDescent="0.3">
      <c r="A1067" t="s">
        <v>17</v>
      </c>
      <c r="B1067" t="str">
        <f>"601999"</f>
        <v>601999</v>
      </c>
      <c r="C1067" t="s">
        <v>2392</v>
      </c>
      <c r="D1067" t="s">
        <v>525</v>
      </c>
      <c r="F1067">
        <v>91617013</v>
      </c>
      <c r="G1067">
        <v>118615967</v>
      </c>
      <c r="H1067">
        <v>100409248</v>
      </c>
      <c r="I1067">
        <v>121304127</v>
      </c>
      <c r="J1067">
        <v>109226178</v>
      </c>
      <c r="K1067">
        <v>83672173</v>
      </c>
      <c r="L1067">
        <v>58723857</v>
      </c>
      <c r="M1067">
        <v>46483032</v>
      </c>
      <c r="N1067">
        <v>50849196</v>
      </c>
      <c r="O1067">
        <v>48654190</v>
      </c>
      <c r="P1067">
        <v>82</v>
      </c>
      <c r="Q1067" t="s">
        <v>2393</v>
      </c>
    </row>
    <row r="1068" spans="1:17" x14ac:dyDescent="0.3">
      <c r="A1068" t="s">
        <v>17</v>
      </c>
      <c r="B1068" t="str">
        <f>"603000"</f>
        <v>603000</v>
      </c>
      <c r="C1068" t="s">
        <v>2394</v>
      </c>
      <c r="D1068" t="s">
        <v>522</v>
      </c>
      <c r="F1068">
        <v>79184614</v>
      </c>
      <c r="G1068">
        <v>95628819</v>
      </c>
      <c r="H1068">
        <v>93668347</v>
      </c>
      <c r="I1068">
        <v>67759171</v>
      </c>
      <c r="J1068">
        <v>16120127</v>
      </c>
      <c r="K1068">
        <v>75122958</v>
      </c>
      <c r="L1068">
        <v>147635693</v>
      </c>
      <c r="M1068">
        <v>179630624</v>
      </c>
      <c r="N1068">
        <v>169205713</v>
      </c>
      <c r="O1068">
        <v>128330104</v>
      </c>
      <c r="P1068">
        <v>323</v>
      </c>
      <c r="Q1068" t="s">
        <v>2395</v>
      </c>
    </row>
    <row r="1069" spans="1:17" x14ac:dyDescent="0.3">
      <c r="A1069" t="s">
        <v>17</v>
      </c>
      <c r="B1069" t="str">
        <f>"603001"</f>
        <v>603001</v>
      </c>
      <c r="C1069" t="s">
        <v>2396</v>
      </c>
      <c r="D1069" t="s">
        <v>330</v>
      </c>
      <c r="F1069">
        <v>45238972</v>
      </c>
      <c r="G1069">
        <v>9309647</v>
      </c>
      <c r="H1069">
        <v>105932255</v>
      </c>
      <c r="I1069">
        <v>172183543</v>
      </c>
      <c r="J1069">
        <v>191849149</v>
      </c>
      <c r="K1069">
        <v>255819095</v>
      </c>
      <c r="L1069">
        <v>270012063</v>
      </c>
      <c r="M1069">
        <v>185547543</v>
      </c>
      <c r="N1069">
        <v>257615508</v>
      </c>
      <c r="O1069">
        <v>367367212</v>
      </c>
      <c r="P1069">
        <v>148</v>
      </c>
      <c r="Q1069" t="s">
        <v>2397</v>
      </c>
    </row>
    <row r="1070" spans="1:17" x14ac:dyDescent="0.3">
      <c r="A1070" t="s">
        <v>17</v>
      </c>
      <c r="B1070" t="str">
        <f>"603002"</f>
        <v>603002</v>
      </c>
      <c r="C1070" t="s">
        <v>2398</v>
      </c>
      <c r="D1070" t="s">
        <v>2399</v>
      </c>
      <c r="F1070">
        <v>301653303</v>
      </c>
      <c r="G1070">
        <v>78584993</v>
      </c>
      <c r="H1070">
        <v>45013149</v>
      </c>
      <c r="I1070">
        <v>48128859</v>
      </c>
      <c r="J1070">
        <v>36791084</v>
      </c>
      <c r="K1070">
        <v>19051901</v>
      </c>
      <c r="L1070">
        <v>40535077</v>
      </c>
      <c r="M1070">
        <v>49100561</v>
      </c>
      <c r="N1070">
        <v>48098331</v>
      </c>
      <c r="O1070">
        <v>36094322</v>
      </c>
      <c r="P1070">
        <v>117</v>
      </c>
      <c r="Q1070" t="s">
        <v>2400</v>
      </c>
    </row>
    <row r="1071" spans="1:17" x14ac:dyDescent="0.3">
      <c r="A1071" t="s">
        <v>17</v>
      </c>
      <c r="B1071" t="str">
        <f>"603003"</f>
        <v>603003</v>
      </c>
      <c r="C1071" t="s">
        <v>2401</v>
      </c>
      <c r="D1071" t="s">
        <v>316</v>
      </c>
      <c r="F1071">
        <v>12261562</v>
      </c>
      <c r="G1071">
        <v>17099638</v>
      </c>
      <c r="H1071">
        <v>-29960578</v>
      </c>
      <c r="I1071">
        <v>46837700</v>
      </c>
      <c r="J1071">
        <v>43311683</v>
      </c>
      <c r="K1071">
        <v>627009</v>
      </c>
      <c r="L1071">
        <v>-66084148</v>
      </c>
      <c r="M1071">
        <v>2650128</v>
      </c>
      <c r="N1071">
        <v>-56320319</v>
      </c>
      <c r="O1071">
        <v>45215512</v>
      </c>
      <c r="P1071">
        <v>88</v>
      </c>
      <c r="Q1071" t="s">
        <v>2402</v>
      </c>
    </row>
    <row r="1072" spans="1:17" x14ac:dyDescent="0.3">
      <c r="A1072" t="s">
        <v>17</v>
      </c>
      <c r="B1072" t="str">
        <f>"603005"</f>
        <v>603005</v>
      </c>
      <c r="C1072" t="s">
        <v>2403</v>
      </c>
      <c r="D1072" t="s">
        <v>1180</v>
      </c>
      <c r="F1072">
        <v>413611463</v>
      </c>
      <c r="G1072">
        <v>268122415</v>
      </c>
      <c r="H1072">
        <v>51916060</v>
      </c>
      <c r="I1072">
        <v>30403526</v>
      </c>
      <c r="J1072">
        <v>64676679</v>
      </c>
      <c r="K1072">
        <v>30262474</v>
      </c>
      <c r="L1072">
        <v>95653930</v>
      </c>
      <c r="M1072">
        <v>135569865</v>
      </c>
      <c r="P1072">
        <v>3661</v>
      </c>
      <c r="Q1072" t="s">
        <v>2404</v>
      </c>
    </row>
    <row r="1073" spans="1:17" x14ac:dyDescent="0.3">
      <c r="A1073" t="s">
        <v>17</v>
      </c>
      <c r="B1073" t="str">
        <f>"603006"</f>
        <v>603006</v>
      </c>
      <c r="C1073" t="s">
        <v>2405</v>
      </c>
      <c r="D1073" t="s">
        <v>985</v>
      </c>
      <c r="F1073">
        <v>109838732</v>
      </c>
      <c r="G1073">
        <v>60762616</v>
      </c>
      <c r="H1073">
        <v>70265246</v>
      </c>
      <c r="I1073">
        <v>66142703</v>
      </c>
      <c r="J1073">
        <v>80062118</v>
      </c>
      <c r="K1073">
        <v>93737111</v>
      </c>
      <c r="L1073">
        <v>35148503</v>
      </c>
      <c r="M1073">
        <v>49950085</v>
      </c>
      <c r="N1073">
        <v>48940781</v>
      </c>
      <c r="P1073">
        <v>106</v>
      </c>
      <c r="Q1073" t="s">
        <v>2406</v>
      </c>
    </row>
    <row r="1074" spans="1:17" x14ac:dyDescent="0.3">
      <c r="A1074" t="s">
        <v>17</v>
      </c>
      <c r="B1074" t="str">
        <f>"603007"</f>
        <v>603007</v>
      </c>
      <c r="C1074" t="s">
        <v>2407</v>
      </c>
      <c r="D1074" t="s">
        <v>2408</v>
      </c>
      <c r="F1074">
        <v>-82802661</v>
      </c>
      <c r="G1074">
        <v>6008987</v>
      </c>
      <c r="H1074">
        <v>76935861</v>
      </c>
      <c r="I1074">
        <v>98170191</v>
      </c>
      <c r="J1074">
        <v>79857812</v>
      </c>
      <c r="K1074">
        <v>61805361</v>
      </c>
      <c r="L1074">
        <v>51463246</v>
      </c>
      <c r="P1074">
        <v>81</v>
      </c>
      <c r="Q1074" t="s">
        <v>2409</v>
      </c>
    </row>
    <row r="1075" spans="1:17" x14ac:dyDescent="0.3">
      <c r="A1075" t="s">
        <v>17</v>
      </c>
      <c r="B1075" t="str">
        <f>"603008"</f>
        <v>603008</v>
      </c>
      <c r="C1075" t="s">
        <v>2410</v>
      </c>
      <c r="D1075" t="s">
        <v>757</v>
      </c>
      <c r="F1075">
        <v>373762657</v>
      </c>
      <c r="G1075">
        <v>180153257</v>
      </c>
      <c r="H1075">
        <v>287448805</v>
      </c>
      <c r="I1075">
        <v>159398610</v>
      </c>
      <c r="J1075">
        <v>204390883</v>
      </c>
      <c r="K1075">
        <v>145756859</v>
      </c>
      <c r="L1075">
        <v>112193158</v>
      </c>
      <c r="M1075">
        <v>86439544</v>
      </c>
      <c r="N1075">
        <v>78565054</v>
      </c>
      <c r="O1075">
        <v>63170636</v>
      </c>
      <c r="P1075">
        <v>300</v>
      </c>
      <c r="Q1075" t="s">
        <v>2411</v>
      </c>
    </row>
    <row r="1076" spans="1:17" x14ac:dyDescent="0.3">
      <c r="A1076" t="s">
        <v>17</v>
      </c>
      <c r="B1076" t="str">
        <f>"603009"</f>
        <v>603009</v>
      </c>
      <c r="C1076" t="s">
        <v>2412</v>
      </c>
      <c r="D1076" t="s">
        <v>348</v>
      </c>
      <c r="F1076">
        <v>51389983</v>
      </c>
      <c r="G1076">
        <v>10425866</v>
      </c>
      <c r="H1076">
        <v>25765926</v>
      </c>
      <c r="I1076">
        <v>51031963</v>
      </c>
      <c r="J1076">
        <v>40021417</v>
      </c>
      <c r="K1076">
        <v>38159902</v>
      </c>
      <c r="L1076">
        <v>31410631</v>
      </c>
      <c r="M1076">
        <v>31796286</v>
      </c>
      <c r="N1076">
        <v>27533410</v>
      </c>
      <c r="P1076">
        <v>84</v>
      </c>
      <c r="Q1076" t="s">
        <v>2413</v>
      </c>
    </row>
    <row r="1077" spans="1:17" x14ac:dyDescent="0.3">
      <c r="A1077" t="s">
        <v>17</v>
      </c>
      <c r="B1077" t="str">
        <f>"603010"</f>
        <v>603010</v>
      </c>
      <c r="C1077" t="s">
        <v>2414</v>
      </c>
      <c r="D1077" t="s">
        <v>1192</v>
      </c>
      <c r="F1077">
        <v>624670376</v>
      </c>
      <c r="G1077">
        <v>230155106</v>
      </c>
      <c r="H1077">
        <v>140666632</v>
      </c>
      <c r="I1077">
        <v>135885593</v>
      </c>
      <c r="J1077">
        <v>77832949</v>
      </c>
      <c r="K1077">
        <v>108601881</v>
      </c>
      <c r="L1077">
        <v>59418996</v>
      </c>
      <c r="M1077">
        <v>34012798</v>
      </c>
      <c r="N1077">
        <v>43985644</v>
      </c>
      <c r="P1077">
        <v>279</v>
      </c>
      <c r="Q1077" t="s">
        <v>2415</v>
      </c>
    </row>
    <row r="1078" spans="1:17" x14ac:dyDescent="0.3">
      <c r="A1078" t="s">
        <v>17</v>
      </c>
      <c r="B1078" t="str">
        <f>"603011"</f>
        <v>603011</v>
      </c>
      <c r="C1078" t="s">
        <v>2416</v>
      </c>
      <c r="D1078" t="s">
        <v>741</v>
      </c>
      <c r="F1078">
        <v>49780296</v>
      </c>
      <c r="G1078">
        <v>27653720</v>
      </c>
      <c r="H1078">
        <v>16013543</v>
      </c>
      <c r="I1078">
        <v>38182802</v>
      </c>
      <c r="J1078">
        <v>37139715</v>
      </c>
      <c r="K1078">
        <v>39067869</v>
      </c>
      <c r="L1078">
        <v>18633295</v>
      </c>
      <c r="M1078">
        <v>20019907</v>
      </c>
      <c r="N1078">
        <v>24666073</v>
      </c>
      <c r="P1078">
        <v>82</v>
      </c>
      <c r="Q1078" t="s">
        <v>2417</v>
      </c>
    </row>
    <row r="1079" spans="1:17" x14ac:dyDescent="0.3">
      <c r="A1079" t="s">
        <v>17</v>
      </c>
      <c r="B1079" t="str">
        <f>"603012"</f>
        <v>603012</v>
      </c>
      <c r="C1079" t="s">
        <v>2418</v>
      </c>
      <c r="D1079" t="s">
        <v>395</v>
      </c>
      <c r="F1079">
        <v>225851886</v>
      </c>
      <c r="G1079">
        <v>257248121</v>
      </c>
      <c r="H1079">
        <v>218996191</v>
      </c>
      <c r="I1079">
        <v>154500660</v>
      </c>
      <c r="J1079">
        <v>102587446</v>
      </c>
      <c r="K1079">
        <v>83488116</v>
      </c>
      <c r="L1079">
        <v>102638325</v>
      </c>
      <c r="M1079">
        <v>129040368</v>
      </c>
      <c r="P1079">
        <v>135</v>
      </c>
      <c r="Q1079" t="s">
        <v>2419</v>
      </c>
    </row>
    <row r="1080" spans="1:17" x14ac:dyDescent="0.3">
      <c r="A1080" t="s">
        <v>17</v>
      </c>
      <c r="B1080" t="str">
        <f>"603013"</f>
        <v>603013</v>
      </c>
      <c r="C1080" t="s">
        <v>2420</v>
      </c>
      <c r="D1080" t="s">
        <v>348</v>
      </c>
      <c r="F1080">
        <v>459762889</v>
      </c>
      <c r="G1080">
        <v>400773724</v>
      </c>
      <c r="H1080">
        <v>290302559</v>
      </c>
      <c r="I1080">
        <v>233625656</v>
      </c>
      <c r="J1080">
        <v>243236487</v>
      </c>
      <c r="P1080">
        <v>236</v>
      </c>
      <c r="Q1080" t="s">
        <v>2421</v>
      </c>
    </row>
    <row r="1081" spans="1:17" x14ac:dyDescent="0.3">
      <c r="A1081" t="s">
        <v>17</v>
      </c>
      <c r="B1081" t="str">
        <f>"603015"</f>
        <v>603015</v>
      </c>
      <c r="C1081" t="s">
        <v>2422</v>
      </c>
      <c r="D1081" t="s">
        <v>2423</v>
      </c>
      <c r="F1081">
        <v>79977271</v>
      </c>
      <c r="G1081">
        <v>46788032</v>
      </c>
      <c r="H1081">
        <v>15913221</v>
      </c>
      <c r="I1081">
        <v>52830262</v>
      </c>
      <c r="J1081">
        <v>53761951</v>
      </c>
      <c r="K1081">
        <v>36534049</v>
      </c>
      <c r="L1081">
        <v>59616539</v>
      </c>
      <c r="M1081">
        <v>75455068</v>
      </c>
      <c r="P1081">
        <v>91</v>
      </c>
      <c r="Q1081" t="s">
        <v>2424</v>
      </c>
    </row>
    <row r="1082" spans="1:17" x14ac:dyDescent="0.3">
      <c r="A1082" t="s">
        <v>17</v>
      </c>
      <c r="B1082" t="str">
        <f>"603016"</f>
        <v>603016</v>
      </c>
      <c r="C1082" t="s">
        <v>2425</v>
      </c>
      <c r="D1082" t="s">
        <v>657</v>
      </c>
      <c r="F1082">
        <v>40839989</v>
      </c>
      <c r="G1082">
        <v>47172841</v>
      </c>
      <c r="H1082">
        <v>46597209</v>
      </c>
      <c r="I1082">
        <v>47121540</v>
      </c>
      <c r="J1082">
        <v>33987697</v>
      </c>
      <c r="K1082">
        <v>48947379</v>
      </c>
      <c r="L1082">
        <v>50399107</v>
      </c>
      <c r="P1082">
        <v>93</v>
      </c>
      <c r="Q1082" t="s">
        <v>2426</v>
      </c>
    </row>
    <row r="1083" spans="1:17" x14ac:dyDescent="0.3">
      <c r="A1083" t="s">
        <v>17</v>
      </c>
      <c r="B1083" t="str">
        <f>"603017"</f>
        <v>603017</v>
      </c>
      <c r="C1083" t="s">
        <v>2427</v>
      </c>
      <c r="D1083" t="s">
        <v>1272</v>
      </c>
      <c r="F1083">
        <v>96320715</v>
      </c>
      <c r="G1083">
        <v>148602262</v>
      </c>
      <c r="H1083">
        <v>132423187</v>
      </c>
      <c r="I1083">
        <v>114666749</v>
      </c>
      <c r="J1083">
        <v>108330249</v>
      </c>
      <c r="K1083">
        <v>80995463</v>
      </c>
      <c r="L1083">
        <v>57443563</v>
      </c>
      <c r="M1083">
        <v>63341547</v>
      </c>
      <c r="N1083">
        <v>53173560</v>
      </c>
      <c r="P1083">
        <v>121</v>
      </c>
      <c r="Q1083" t="s">
        <v>2428</v>
      </c>
    </row>
    <row r="1084" spans="1:17" x14ac:dyDescent="0.3">
      <c r="A1084" t="s">
        <v>17</v>
      </c>
      <c r="B1084" t="str">
        <f>"603018"</f>
        <v>603018</v>
      </c>
      <c r="C1084" t="s">
        <v>2429</v>
      </c>
      <c r="D1084" t="s">
        <v>1272</v>
      </c>
      <c r="F1084">
        <v>310471066</v>
      </c>
      <c r="G1084">
        <v>329482906</v>
      </c>
      <c r="H1084">
        <v>291862501</v>
      </c>
      <c r="I1084">
        <v>242227583</v>
      </c>
      <c r="J1084">
        <v>179208610</v>
      </c>
      <c r="K1084">
        <v>124107982</v>
      </c>
      <c r="L1084">
        <v>94438173</v>
      </c>
      <c r="M1084">
        <v>104307095</v>
      </c>
      <c r="N1084">
        <v>78434061</v>
      </c>
      <c r="P1084">
        <v>400</v>
      </c>
      <c r="Q1084" t="s">
        <v>2430</v>
      </c>
    </row>
    <row r="1085" spans="1:17" x14ac:dyDescent="0.3">
      <c r="A1085" t="s">
        <v>17</v>
      </c>
      <c r="B1085" t="str">
        <f>"603019"</f>
        <v>603019</v>
      </c>
      <c r="C1085" t="s">
        <v>2431</v>
      </c>
      <c r="D1085" t="s">
        <v>236</v>
      </c>
      <c r="F1085">
        <v>467194115</v>
      </c>
      <c r="G1085">
        <v>323938264</v>
      </c>
      <c r="H1085">
        <v>249585026</v>
      </c>
      <c r="I1085">
        <v>173836658</v>
      </c>
      <c r="J1085">
        <v>75702434</v>
      </c>
      <c r="K1085">
        <v>74560984</v>
      </c>
      <c r="L1085">
        <v>46805121</v>
      </c>
      <c r="M1085">
        <v>29612926</v>
      </c>
      <c r="N1085">
        <v>19175379</v>
      </c>
      <c r="P1085">
        <v>1206</v>
      </c>
      <c r="Q1085" t="s">
        <v>2432</v>
      </c>
    </row>
    <row r="1086" spans="1:17" x14ac:dyDescent="0.3">
      <c r="A1086" t="s">
        <v>17</v>
      </c>
      <c r="B1086" t="str">
        <f>"603020"</f>
        <v>603020</v>
      </c>
      <c r="C1086" t="s">
        <v>2433</v>
      </c>
      <c r="D1086" t="s">
        <v>677</v>
      </c>
      <c r="F1086">
        <v>161092075</v>
      </c>
      <c r="G1086">
        <v>136459228</v>
      </c>
      <c r="H1086">
        <v>122276791</v>
      </c>
      <c r="I1086">
        <v>96401473</v>
      </c>
      <c r="J1086">
        <v>132630820</v>
      </c>
      <c r="K1086">
        <v>156009705</v>
      </c>
      <c r="L1086">
        <v>146551583</v>
      </c>
      <c r="M1086">
        <v>126210832</v>
      </c>
      <c r="P1086">
        <v>195</v>
      </c>
      <c r="Q1086" t="s">
        <v>2434</v>
      </c>
    </row>
    <row r="1087" spans="1:17" x14ac:dyDescent="0.3">
      <c r="A1087" t="s">
        <v>17</v>
      </c>
      <c r="B1087" t="str">
        <f>"603021"</f>
        <v>603021</v>
      </c>
      <c r="C1087" t="s">
        <v>2435</v>
      </c>
      <c r="D1087" t="s">
        <v>2436</v>
      </c>
      <c r="F1087">
        <v>-114418274</v>
      </c>
      <c r="G1087">
        <v>2635891</v>
      </c>
      <c r="H1087">
        <v>-24920177</v>
      </c>
      <c r="I1087">
        <v>4033159</v>
      </c>
      <c r="J1087">
        <v>34514918</v>
      </c>
      <c r="K1087">
        <v>48754228</v>
      </c>
      <c r="L1087">
        <v>42758293</v>
      </c>
      <c r="M1087">
        <v>50528682</v>
      </c>
      <c r="P1087">
        <v>59</v>
      </c>
      <c r="Q1087" t="s">
        <v>2437</v>
      </c>
    </row>
    <row r="1088" spans="1:17" x14ac:dyDescent="0.3">
      <c r="A1088" t="s">
        <v>17</v>
      </c>
      <c r="B1088" t="str">
        <f>"603022"</f>
        <v>603022</v>
      </c>
      <c r="C1088" t="s">
        <v>2438</v>
      </c>
      <c r="D1088" t="s">
        <v>2439</v>
      </c>
      <c r="F1088">
        <v>21222163</v>
      </c>
      <c r="G1088">
        <v>27525379</v>
      </c>
      <c r="H1088">
        <v>25603291</v>
      </c>
      <c r="I1088">
        <v>31843998</v>
      </c>
      <c r="J1088">
        <v>20828818</v>
      </c>
      <c r="K1088">
        <v>29207250</v>
      </c>
      <c r="L1088">
        <v>22008300</v>
      </c>
      <c r="M1088">
        <v>36312224</v>
      </c>
      <c r="P1088">
        <v>51</v>
      </c>
      <c r="Q1088" t="s">
        <v>2440</v>
      </c>
    </row>
    <row r="1089" spans="1:17" x14ac:dyDescent="0.3">
      <c r="A1089" t="s">
        <v>17</v>
      </c>
      <c r="B1089" t="str">
        <f>"603023"</f>
        <v>603023</v>
      </c>
      <c r="C1089" t="s">
        <v>2441</v>
      </c>
      <c r="D1089" t="s">
        <v>1415</v>
      </c>
      <c r="F1089">
        <v>754658</v>
      </c>
      <c r="G1089">
        <v>8823137</v>
      </c>
      <c r="H1089">
        <v>20224411</v>
      </c>
      <c r="I1089">
        <v>36197876</v>
      </c>
      <c r="J1089">
        <v>33155872</v>
      </c>
      <c r="K1089">
        <v>62374651</v>
      </c>
      <c r="L1089">
        <v>52881533</v>
      </c>
      <c r="M1089">
        <v>65475706</v>
      </c>
      <c r="P1089">
        <v>150</v>
      </c>
      <c r="Q1089" t="s">
        <v>2442</v>
      </c>
    </row>
    <row r="1090" spans="1:17" x14ac:dyDescent="0.3">
      <c r="A1090" t="s">
        <v>17</v>
      </c>
      <c r="B1090" t="str">
        <f>"603025"</f>
        <v>603025</v>
      </c>
      <c r="C1090" t="s">
        <v>2443</v>
      </c>
      <c r="D1090" t="s">
        <v>2423</v>
      </c>
      <c r="F1090">
        <v>295968260</v>
      </c>
      <c r="G1090">
        <v>117918621</v>
      </c>
      <c r="H1090">
        <v>208575674</v>
      </c>
      <c r="I1090">
        <v>325748832</v>
      </c>
      <c r="J1090">
        <v>297120996</v>
      </c>
      <c r="K1090">
        <v>161719344</v>
      </c>
      <c r="L1090">
        <v>147847136</v>
      </c>
      <c r="M1090">
        <v>184140876</v>
      </c>
      <c r="P1090">
        <v>434</v>
      </c>
      <c r="Q1090" t="s">
        <v>2444</v>
      </c>
    </row>
    <row r="1091" spans="1:17" x14ac:dyDescent="0.3">
      <c r="A1091" t="s">
        <v>17</v>
      </c>
      <c r="B1091" t="str">
        <f>"603026"</f>
        <v>603026</v>
      </c>
      <c r="C1091" t="s">
        <v>2445</v>
      </c>
      <c r="D1091" t="s">
        <v>1786</v>
      </c>
      <c r="F1091">
        <v>741429913</v>
      </c>
      <c r="G1091">
        <v>57665125</v>
      </c>
      <c r="H1091">
        <v>302749187</v>
      </c>
      <c r="I1091">
        <v>169892217</v>
      </c>
      <c r="J1091">
        <v>132842775</v>
      </c>
      <c r="K1091">
        <v>136140241</v>
      </c>
      <c r="L1091">
        <v>45047952</v>
      </c>
      <c r="M1091">
        <v>75190439</v>
      </c>
      <c r="P1091">
        <v>420</v>
      </c>
      <c r="Q1091" t="s">
        <v>2446</v>
      </c>
    </row>
    <row r="1092" spans="1:17" x14ac:dyDescent="0.3">
      <c r="A1092" t="s">
        <v>17</v>
      </c>
      <c r="B1092" t="str">
        <f>"603027"</f>
        <v>603027</v>
      </c>
      <c r="C1092" t="s">
        <v>2447</v>
      </c>
      <c r="D1092" t="s">
        <v>433</v>
      </c>
      <c r="F1092">
        <v>131904809</v>
      </c>
      <c r="G1092">
        <v>223911545</v>
      </c>
      <c r="H1092">
        <v>136802580</v>
      </c>
      <c r="I1092">
        <v>173952307</v>
      </c>
      <c r="J1092">
        <v>104566956</v>
      </c>
      <c r="K1092">
        <v>72089057</v>
      </c>
      <c r="L1092">
        <v>51017512</v>
      </c>
      <c r="P1092">
        <v>1883</v>
      </c>
      <c r="Q1092" t="s">
        <v>2448</v>
      </c>
    </row>
    <row r="1093" spans="1:17" x14ac:dyDescent="0.3">
      <c r="A1093" t="s">
        <v>17</v>
      </c>
      <c r="B1093" t="str">
        <f>"603028"</f>
        <v>603028</v>
      </c>
      <c r="C1093" t="s">
        <v>2449</v>
      </c>
      <c r="D1093" t="s">
        <v>274</v>
      </c>
      <c r="F1093">
        <v>33980654</v>
      </c>
      <c r="G1093">
        <v>26680954</v>
      </c>
      <c r="H1093">
        <v>7597682</v>
      </c>
      <c r="I1093">
        <v>12105623</v>
      </c>
      <c r="J1093">
        <v>24046752</v>
      </c>
      <c r="K1093">
        <v>29410978</v>
      </c>
      <c r="L1093">
        <v>35016216</v>
      </c>
      <c r="P1093">
        <v>52</v>
      </c>
      <c r="Q1093" t="s">
        <v>2450</v>
      </c>
    </row>
    <row r="1094" spans="1:17" x14ac:dyDescent="0.3">
      <c r="A1094" t="s">
        <v>17</v>
      </c>
      <c r="B1094" t="str">
        <f>"603029"</f>
        <v>603029</v>
      </c>
      <c r="C1094" t="s">
        <v>2451</v>
      </c>
      <c r="D1094" t="s">
        <v>741</v>
      </c>
      <c r="F1094">
        <v>5562185</v>
      </c>
      <c r="G1094">
        <v>-7472578</v>
      </c>
      <c r="H1094">
        <v>-1529147</v>
      </c>
      <c r="I1094">
        <v>-4904386</v>
      </c>
      <c r="J1094">
        <v>-2821446</v>
      </c>
      <c r="K1094">
        <v>17781291</v>
      </c>
      <c r="L1094">
        <v>23253427</v>
      </c>
      <c r="P1094">
        <v>62</v>
      </c>
      <c r="Q1094" t="s">
        <v>2452</v>
      </c>
    </row>
    <row r="1095" spans="1:17" x14ac:dyDescent="0.3">
      <c r="A1095" t="s">
        <v>17</v>
      </c>
      <c r="B1095" t="str">
        <f>"603030"</f>
        <v>603030</v>
      </c>
      <c r="C1095" t="s">
        <v>2453</v>
      </c>
      <c r="D1095" t="s">
        <v>450</v>
      </c>
      <c r="F1095">
        <v>-173084458</v>
      </c>
      <c r="G1095">
        <v>104681417</v>
      </c>
      <c r="H1095">
        <v>159284655</v>
      </c>
      <c r="I1095">
        <v>126591638</v>
      </c>
      <c r="J1095">
        <v>48624547</v>
      </c>
      <c r="K1095">
        <v>30028896</v>
      </c>
      <c r="L1095">
        <v>28523717</v>
      </c>
      <c r="M1095">
        <v>24226339</v>
      </c>
      <c r="P1095">
        <v>126</v>
      </c>
      <c r="Q1095" t="s">
        <v>2454</v>
      </c>
    </row>
    <row r="1096" spans="1:17" x14ac:dyDescent="0.3">
      <c r="A1096" t="s">
        <v>17</v>
      </c>
      <c r="B1096" t="str">
        <f>"603031"</f>
        <v>603031</v>
      </c>
      <c r="C1096" t="s">
        <v>2455</v>
      </c>
      <c r="D1096" t="s">
        <v>798</v>
      </c>
      <c r="F1096">
        <v>-17366525</v>
      </c>
      <c r="G1096">
        <v>3828891</v>
      </c>
      <c r="H1096">
        <v>10981215</v>
      </c>
      <c r="I1096">
        <v>8998858</v>
      </c>
      <c r="J1096">
        <v>23897842</v>
      </c>
      <c r="K1096">
        <v>31086446</v>
      </c>
      <c r="L1096">
        <v>25771288</v>
      </c>
      <c r="P1096">
        <v>70</v>
      </c>
      <c r="Q1096" t="s">
        <v>2456</v>
      </c>
    </row>
    <row r="1097" spans="1:17" x14ac:dyDescent="0.3">
      <c r="A1097" t="s">
        <v>17</v>
      </c>
      <c r="B1097" t="str">
        <f>"603032"</f>
        <v>603032</v>
      </c>
      <c r="C1097" t="s">
        <v>2457</v>
      </c>
      <c r="D1097" t="s">
        <v>1133</v>
      </c>
      <c r="F1097">
        <v>65044062</v>
      </c>
      <c r="G1097">
        <v>775045</v>
      </c>
      <c r="H1097">
        <v>8568349</v>
      </c>
      <c r="I1097">
        <v>5537428</v>
      </c>
      <c r="J1097">
        <v>21351994</v>
      </c>
      <c r="K1097">
        <v>42465378</v>
      </c>
      <c r="L1097">
        <v>35331325</v>
      </c>
      <c r="P1097">
        <v>73</v>
      </c>
      <c r="Q1097" t="s">
        <v>2458</v>
      </c>
    </row>
    <row r="1098" spans="1:17" x14ac:dyDescent="0.3">
      <c r="A1098" t="s">
        <v>17</v>
      </c>
      <c r="B1098" t="str">
        <f>"603033"</f>
        <v>603033</v>
      </c>
      <c r="C1098" t="s">
        <v>2459</v>
      </c>
      <c r="D1098" t="s">
        <v>2460</v>
      </c>
      <c r="F1098">
        <v>127324092</v>
      </c>
      <c r="G1098">
        <v>118445770</v>
      </c>
      <c r="H1098">
        <v>177754638</v>
      </c>
      <c r="I1098">
        <v>72172511</v>
      </c>
      <c r="J1098">
        <v>29786806</v>
      </c>
      <c r="K1098">
        <v>58285007</v>
      </c>
      <c r="P1098">
        <v>99</v>
      </c>
      <c r="Q1098" t="s">
        <v>2461</v>
      </c>
    </row>
    <row r="1099" spans="1:17" x14ac:dyDescent="0.3">
      <c r="A1099" t="s">
        <v>17</v>
      </c>
      <c r="B1099" t="str">
        <f>"603035"</f>
        <v>603035</v>
      </c>
      <c r="C1099" t="s">
        <v>2462</v>
      </c>
      <c r="D1099" t="s">
        <v>191</v>
      </c>
      <c r="F1099">
        <v>277709949</v>
      </c>
      <c r="G1099">
        <v>221894755</v>
      </c>
      <c r="H1099">
        <v>206435907</v>
      </c>
      <c r="I1099">
        <v>312025377</v>
      </c>
      <c r="J1099">
        <v>164257753</v>
      </c>
      <c r="K1099">
        <v>158952250</v>
      </c>
      <c r="L1099">
        <v>157246499</v>
      </c>
      <c r="P1099">
        <v>244</v>
      </c>
      <c r="Q1099" t="s">
        <v>2463</v>
      </c>
    </row>
    <row r="1100" spans="1:17" x14ac:dyDescent="0.3">
      <c r="A1100" t="s">
        <v>17</v>
      </c>
      <c r="B1100" t="str">
        <f>"603036"</f>
        <v>603036</v>
      </c>
      <c r="C1100" t="s">
        <v>2464</v>
      </c>
      <c r="D1100" t="s">
        <v>395</v>
      </c>
      <c r="F1100">
        <v>40639875</v>
      </c>
      <c r="G1100">
        <v>50704587</v>
      </c>
      <c r="H1100">
        <v>48265856</v>
      </c>
      <c r="I1100">
        <v>25503766</v>
      </c>
      <c r="J1100">
        <v>29095458</v>
      </c>
      <c r="K1100">
        <v>47674812</v>
      </c>
      <c r="P1100">
        <v>61</v>
      </c>
      <c r="Q1100" t="s">
        <v>2465</v>
      </c>
    </row>
    <row r="1101" spans="1:17" x14ac:dyDescent="0.3">
      <c r="A1101" t="s">
        <v>17</v>
      </c>
      <c r="B1101" t="str">
        <f>"603037"</f>
        <v>603037</v>
      </c>
      <c r="C1101" t="s">
        <v>2466</v>
      </c>
      <c r="D1101" t="s">
        <v>348</v>
      </c>
      <c r="F1101">
        <v>64630643</v>
      </c>
      <c r="G1101">
        <v>49482504</v>
      </c>
      <c r="H1101">
        <v>74089254</v>
      </c>
      <c r="I1101">
        <v>102754575</v>
      </c>
      <c r="J1101">
        <v>89002642</v>
      </c>
      <c r="K1101">
        <v>64648814</v>
      </c>
      <c r="P1101">
        <v>230</v>
      </c>
      <c r="Q1101" t="s">
        <v>2467</v>
      </c>
    </row>
    <row r="1102" spans="1:17" x14ac:dyDescent="0.3">
      <c r="A1102" t="s">
        <v>17</v>
      </c>
      <c r="B1102" t="str">
        <f>"603038"</f>
        <v>603038</v>
      </c>
      <c r="C1102" t="s">
        <v>2468</v>
      </c>
      <c r="D1102" t="s">
        <v>722</v>
      </c>
      <c r="F1102">
        <v>32308802</v>
      </c>
      <c r="G1102">
        <v>9490467</v>
      </c>
      <c r="H1102">
        <v>64330940</v>
      </c>
      <c r="I1102">
        <v>57100077</v>
      </c>
      <c r="J1102">
        <v>72156701</v>
      </c>
      <c r="K1102">
        <v>73284689</v>
      </c>
      <c r="L1102">
        <v>50238602</v>
      </c>
      <c r="P1102">
        <v>70</v>
      </c>
      <c r="Q1102" t="s">
        <v>2469</v>
      </c>
    </row>
    <row r="1103" spans="1:17" x14ac:dyDescent="0.3">
      <c r="A1103" t="s">
        <v>17</v>
      </c>
      <c r="B1103" t="str">
        <f>"603039"</f>
        <v>603039</v>
      </c>
      <c r="C1103" t="s">
        <v>2470</v>
      </c>
      <c r="D1103" t="s">
        <v>1189</v>
      </c>
      <c r="F1103">
        <v>167327863</v>
      </c>
      <c r="G1103">
        <v>78494392</v>
      </c>
      <c r="H1103">
        <v>71586538</v>
      </c>
      <c r="I1103">
        <v>59208457</v>
      </c>
      <c r="J1103">
        <v>48796976</v>
      </c>
      <c r="K1103">
        <v>37448498</v>
      </c>
      <c r="L1103">
        <v>15705593</v>
      </c>
      <c r="P1103">
        <v>609</v>
      </c>
      <c r="Q1103" t="s">
        <v>2471</v>
      </c>
    </row>
    <row r="1104" spans="1:17" x14ac:dyDescent="0.3">
      <c r="A1104" t="s">
        <v>17</v>
      </c>
      <c r="B1104" t="str">
        <f>"603040"</f>
        <v>603040</v>
      </c>
      <c r="C1104" t="s">
        <v>2472</v>
      </c>
      <c r="D1104" t="s">
        <v>348</v>
      </c>
      <c r="F1104">
        <v>98311314</v>
      </c>
      <c r="G1104">
        <v>106417300</v>
      </c>
      <c r="H1104">
        <v>87087337</v>
      </c>
      <c r="I1104">
        <v>78961178</v>
      </c>
      <c r="J1104">
        <v>73447886</v>
      </c>
      <c r="K1104">
        <v>33370853</v>
      </c>
      <c r="L1104">
        <v>31625175</v>
      </c>
      <c r="P1104">
        <v>619</v>
      </c>
      <c r="Q1104" t="s">
        <v>2473</v>
      </c>
    </row>
    <row r="1105" spans="1:17" x14ac:dyDescent="0.3">
      <c r="A1105" t="s">
        <v>17</v>
      </c>
      <c r="B1105" t="str">
        <f>"603041"</f>
        <v>603041</v>
      </c>
      <c r="C1105" t="s">
        <v>2474</v>
      </c>
      <c r="D1105" t="s">
        <v>528</v>
      </c>
      <c r="F1105">
        <v>46334954</v>
      </c>
      <c r="G1105">
        <v>90331144</v>
      </c>
      <c r="H1105">
        <v>55633222</v>
      </c>
      <c r="I1105">
        <v>31378073</v>
      </c>
      <c r="J1105">
        <v>42158257</v>
      </c>
      <c r="K1105">
        <v>56588245</v>
      </c>
      <c r="P1105">
        <v>98</v>
      </c>
      <c r="Q1105" t="s">
        <v>2475</v>
      </c>
    </row>
    <row r="1106" spans="1:17" x14ac:dyDescent="0.3">
      <c r="A1106" t="s">
        <v>17</v>
      </c>
      <c r="B1106" t="str">
        <f>"603042"</f>
        <v>603042</v>
      </c>
      <c r="C1106" t="s">
        <v>2476</v>
      </c>
      <c r="D1106" t="s">
        <v>250</v>
      </c>
      <c r="F1106">
        <v>1031629</v>
      </c>
      <c r="G1106">
        <v>6384381</v>
      </c>
      <c r="H1106">
        <v>-2503485</v>
      </c>
      <c r="I1106">
        <v>-4213781</v>
      </c>
      <c r="J1106">
        <v>60779086</v>
      </c>
      <c r="K1106">
        <v>63034829</v>
      </c>
      <c r="P1106">
        <v>122</v>
      </c>
      <c r="Q1106" t="s">
        <v>2477</v>
      </c>
    </row>
    <row r="1107" spans="1:17" x14ac:dyDescent="0.3">
      <c r="A1107" t="s">
        <v>17</v>
      </c>
      <c r="B1107" t="str">
        <f>"603043"</f>
        <v>603043</v>
      </c>
      <c r="C1107" t="s">
        <v>2478</v>
      </c>
      <c r="D1107" t="s">
        <v>2479</v>
      </c>
      <c r="F1107">
        <v>443651283</v>
      </c>
      <c r="G1107">
        <v>359503221</v>
      </c>
      <c r="H1107">
        <v>324970280</v>
      </c>
      <c r="I1107">
        <v>297815207</v>
      </c>
      <c r="J1107">
        <v>198708489</v>
      </c>
      <c r="K1107">
        <v>176524891</v>
      </c>
      <c r="P1107">
        <v>1509</v>
      </c>
      <c r="Q1107" t="s">
        <v>2480</v>
      </c>
    </row>
    <row r="1108" spans="1:17" x14ac:dyDescent="0.3">
      <c r="A1108" t="s">
        <v>17</v>
      </c>
      <c r="B1108" t="str">
        <f>"603045"</f>
        <v>603045</v>
      </c>
      <c r="C1108" t="s">
        <v>2481</v>
      </c>
      <c r="D1108" t="s">
        <v>581</v>
      </c>
      <c r="F1108">
        <v>41987465</v>
      </c>
      <c r="G1108">
        <v>28490482</v>
      </c>
      <c r="H1108">
        <v>50695879</v>
      </c>
      <c r="I1108">
        <v>37143965</v>
      </c>
      <c r="J1108">
        <v>39859724</v>
      </c>
      <c r="P1108">
        <v>54</v>
      </c>
      <c r="Q1108" t="s">
        <v>2482</v>
      </c>
    </row>
    <row r="1109" spans="1:17" x14ac:dyDescent="0.3">
      <c r="A1109" t="s">
        <v>17</v>
      </c>
      <c r="B1109" t="str">
        <f>"603048"</f>
        <v>603048</v>
      </c>
      <c r="C1109" t="s">
        <v>2483</v>
      </c>
      <c r="D1109" t="s">
        <v>985</v>
      </c>
      <c r="F1109">
        <v>87979119</v>
      </c>
      <c r="G1109">
        <v>87437668</v>
      </c>
      <c r="P1109">
        <v>16</v>
      </c>
      <c r="Q1109" t="s">
        <v>2484</v>
      </c>
    </row>
    <row r="1110" spans="1:17" x14ac:dyDescent="0.3">
      <c r="A1110" t="s">
        <v>17</v>
      </c>
      <c r="B1110" t="str">
        <f>"603050"</f>
        <v>603050</v>
      </c>
      <c r="C1110" t="s">
        <v>2485</v>
      </c>
      <c r="D1110" t="s">
        <v>610</v>
      </c>
      <c r="F1110">
        <v>80834517</v>
      </c>
      <c r="G1110">
        <v>59141083</v>
      </c>
      <c r="H1110">
        <v>42836860</v>
      </c>
      <c r="I1110">
        <v>42274371</v>
      </c>
      <c r="J1110">
        <v>28444207</v>
      </c>
      <c r="K1110">
        <v>22694408</v>
      </c>
      <c r="P1110">
        <v>124</v>
      </c>
      <c r="Q1110" t="s">
        <v>2486</v>
      </c>
    </row>
    <row r="1111" spans="1:17" x14ac:dyDescent="0.3">
      <c r="A1111" t="s">
        <v>17</v>
      </c>
      <c r="B1111" t="str">
        <f>"603053"</f>
        <v>603053</v>
      </c>
      <c r="C1111" t="s">
        <v>2487</v>
      </c>
      <c r="D1111" t="s">
        <v>749</v>
      </c>
      <c r="F1111">
        <v>445285096</v>
      </c>
      <c r="G1111">
        <v>371438153</v>
      </c>
      <c r="H1111">
        <v>413824489</v>
      </c>
      <c r="I1111">
        <v>395513700</v>
      </c>
      <c r="P1111">
        <v>118</v>
      </c>
      <c r="Q1111" t="s">
        <v>2488</v>
      </c>
    </row>
    <row r="1112" spans="1:17" x14ac:dyDescent="0.3">
      <c r="A1112" t="s">
        <v>17</v>
      </c>
      <c r="B1112" t="str">
        <f>"603055"</f>
        <v>603055</v>
      </c>
      <c r="C1112" t="s">
        <v>2489</v>
      </c>
      <c r="D1112" t="s">
        <v>366</v>
      </c>
      <c r="F1112">
        <v>377204330</v>
      </c>
      <c r="G1112">
        <v>92491827</v>
      </c>
      <c r="H1112">
        <v>193085024</v>
      </c>
      <c r="I1112">
        <v>338808448</v>
      </c>
      <c r="J1112">
        <v>271875973</v>
      </c>
      <c r="K1112">
        <v>137175698</v>
      </c>
      <c r="P1112">
        <v>145</v>
      </c>
      <c r="Q1112" t="s">
        <v>2490</v>
      </c>
    </row>
    <row r="1113" spans="1:17" x14ac:dyDescent="0.3">
      <c r="A1113" t="s">
        <v>17</v>
      </c>
      <c r="B1113" t="str">
        <f>"603056"</f>
        <v>603056</v>
      </c>
      <c r="C1113" t="s">
        <v>2491</v>
      </c>
      <c r="D1113" t="s">
        <v>2492</v>
      </c>
      <c r="F1113">
        <v>27883951</v>
      </c>
      <c r="G1113">
        <v>296484236</v>
      </c>
      <c r="H1113">
        <v>111534841</v>
      </c>
      <c r="I1113">
        <v>458964028</v>
      </c>
      <c r="J1113">
        <v>357661893</v>
      </c>
      <c r="P1113">
        <v>412</v>
      </c>
      <c r="Q1113" t="s">
        <v>2493</v>
      </c>
    </row>
    <row r="1114" spans="1:17" x14ac:dyDescent="0.3">
      <c r="A1114" t="s">
        <v>17</v>
      </c>
      <c r="B1114" t="str">
        <f>"603058"</f>
        <v>603058</v>
      </c>
      <c r="C1114" t="s">
        <v>2494</v>
      </c>
      <c r="D1114" t="s">
        <v>2156</v>
      </c>
      <c r="F1114">
        <v>134404116</v>
      </c>
      <c r="G1114">
        <v>109019379</v>
      </c>
      <c r="H1114">
        <v>87733250</v>
      </c>
      <c r="I1114">
        <v>89875450</v>
      </c>
      <c r="J1114">
        <v>58122393</v>
      </c>
      <c r="K1114">
        <v>67264000</v>
      </c>
      <c r="L1114">
        <v>71205100</v>
      </c>
      <c r="P1114">
        <v>121</v>
      </c>
      <c r="Q1114" t="s">
        <v>2495</v>
      </c>
    </row>
    <row r="1115" spans="1:17" x14ac:dyDescent="0.3">
      <c r="A1115" t="s">
        <v>17</v>
      </c>
      <c r="B1115" t="str">
        <f>"603059"</f>
        <v>603059</v>
      </c>
      <c r="C1115" t="s">
        <v>2496</v>
      </c>
      <c r="D1115" t="s">
        <v>569</v>
      </c>
      <c r="F1115">
        <v>40444625</v>
      </c>
      <c r="G1115">
        <v>71935381</v>
      </c>
      <c r="H1115">
        <v>87389437</v>
      </c>
      <c r="I1115">
        <v>77126822</v>
      </c>
      <c r="J1115">
        <v>64741913</v>
      </c>
      <c r="P1115">
        <v>99</v>
      </c>
      <c r="Q1115" t="s">
        <v>2497</v>
      </c>
    </row>
    <row r="1116" spans="1:17" x14ac:dyDescent="0.3">
      <c r="A1116" t="s">
        <v>17</v>
      </c>
      <c r="B1116" t="str">
        <f>"603060"</f>
        <v>603060</v>
      </c>
      <c r="C1116" t="s">
        <v>2498</v>
      </c>
      <c r="D1116" t="s">
        <v>2499</v>
      </c>
      <c r="F1116">
        <v>91036100</v>
      </c>
      <c r="G1116">
        <v>115306502</v>
      </c>
      <c r="H1116">
        <v>126466321</v>
      </c>
      <c r="I1116">
        <v>139399741</v>
      </c>
      <c r="J1116">
        <v>106673425</v>
      </c>
      <c r="K1116">
        <v>85007905</v>
      </c>
      <c r="L1116">
        <v>68857787</v>
      </c>
      <c r="P1116">
        <v>507</v>
      </c>
      <c r="Q1116" t="s">
        <v>2500</v>
      </c>
    </row>
    <row r="1117" spans="1:17" x14ac:dyDescent="0.3">
      <c r="A1117" t="s">
        <v>17</v>
      </c>
      <c r="B1117" t="str">
        <f>"603063"</f>
        <v>603063</v>
      </c>
      <c r="C1117" t="s">
        <v>2501</v>
      </c>
      <c r="D1117" t="s">
        <v>950</v>
      </c>
      <c r="F1117">
        <v>177077367</v>
      </c>
      <c r="G1117">
        <v>245830032</v>
      </c>
      <c r="H1117">
        <v>55592796</v>
      </c>
      <c r="I1117">
        <v>43375848</v>
      </c>
      <c r="J1117">
        <v>179110124</v>
      </c>
      <c r="K1117">
        <v>166118233</v>
      </c>
      <c r="P1117">
        <v>212</v>
      </c>
      <c r="Q1117" t="s">
        <v>2502</v>
      </c>
    </row>
    <row r="1118" spans="1:17" x14ac:dyDescent="0.3">
      <c r="A1118" t="s">
        <v>17</v>
      </c>
      <c r="B1118" t="str">
        <f>"603066"</f>
        <v>603066</v>
      </c>
      <c r="C1118" t="s">
        <v>2503</v>
      </c>
      <c r="D1118" t="s">
        <v>537</v>
      </c>
      <c r="F1118">
        <v>84854860</v>
      </c>
      <c r="G1118">
        <v>77240149</v>
      </c>
      <c r="H1118">
        <v>72296895</v>
      </c>
      <c r="I1118">
        <v>71925278</v>
      </c>
      <c r="J1118">
        <v>62403012</v>
      </c>
      <c r="K1118">
        <v>58415594</v>
      </c>
      <c r="L1118">
        <v>39302534</v>
      </c>
      <c r="M1118">
        <v>32551024</v>
      </c>
      <c r="P1118">
        <v>116</v>
      </c>
      <c r="Q1118" t="s">
        <v>2504</v>
      </c>
    </row>
    <row r="1119" spans="1:17" x14ac:dyDescent="0.3">
      <c r="A1119" t="s">
        <v>17</v>
      </c>
      <c r="B1119" t="str">
        <f>"603067"</f>
        <v>603067</v>
      </c>
      <c r="C1119" t="s">
        <v>2505</v>
      </c>
      <c r="D1119" t="s">
        <v>736</v>
      </c>
      <c r="F1119">
        <v>247468610</v>
      </c>
      <c r="G1119">
        <v>126717159</v>
      </c>
      <c r="H1119">
        <v>118357703</v>
      </c>
      <c r="I1119">
        <v>118062486</v>
      </c>
      <c r="J1119">
        <v>58836433</v>
      </c>
      <c r="K1119">
        <v>73202781</v>
      </c>
      <c r="L1119">
        <v>34969034</v>
      </c>
      <c r="P1119">
        <v>136</v>
      </c>
      <c r="Q1119" t="s">
        <v>2506</v>
      </c>
    </row>
    <row r="1120" spans="1:17" x14ac:dyDescent="0.3">
      <c r="A1120" t="s">
        <v>17</v>
      </c>
      <c r="B1120" t="str">
        <f>"603068"</f>
        <v>603068</v>
      </c>
      <c r="C1120" t="s">
        <v>2507</v>
      </c>
      <c r="D1120" t="s">
        <v>401</v>
      </c>
      <c r="F1120">
        <v>49469886</v>
      </c>
      <c r="G1120">
        <v>57960776</v>
      </c>
      <c r="H1120">
        <v>163833216</v>
      </c>
      <c r="I1120">
        <v>73297914</v>
      </c>
      <c r="P1120">
        <v>345</v>
      </c>
      <c r="Q1120" t="s">
        <v>2508</v>
      </c>
    </row>
    <row r="1121" spans="1:17" x14ac:dyDescent="0.3">
      <c r="A1121" t="s">
        <v>17</v>
      </c>
      <c r="B1121" t="str">
        <f>"603069"</f>
        <v>603069</v>
      </c>
      <c r="C1121" t="s">
        <v>2509</v>
      </c>
      <c r="D1121" t="s">
        <v>1133</v>
      </c>
      <c r="F1121">
        <v>-54953981</v>
      </c>
      <c r="G1121">
        <v>-105231818</v>
      </c>
      <c r="H1121">
        <v>33597486</v>
      </c>
      <c r="I1121">
        <v>50857177</v>
      </c>
      <c r="J1121">
        <v>47263323</v>
      </c>
      <c r="K1121">
        <v>52879656</v>
      </c>
      <c r="L1121">
        <v>56248296</v>
      </c>
      <c r="P1121">
        <v>98</v>
      </c>
      <c r="Q1121" t="s">
        <v>2510</v>
      </c>
    </row>
    <row r="1122" spans="1:17" x14ac:dyDescent="0.3">
      <c r="A1122" t="s">
        <v>17</v>
      </c>
      <c r="B1122" t="str">
        <f>"603071"</f>
        <v>603071</v>
      </c>
      <c r="C1122" t="s">
        <v>2511</v>
      </c>
      <c r="D1122" t="s">
        <v>351</v>
      </c>
      <c r="F1122">
        <v>696055477</v>
      </c>
      <c r="G1122">
        <v>314917549</v>
      </c>
      <c r="P1122">
        <v>19</v>
      </c>
      <c r="Q1122" t="s">
        <v>2512</v>
      </c>
    </row>
    <row r="1123" spans="1:17" x14ac:dyDescent="0.3">
      <c r="A1123" t="s">
        <v>17</v>
      </c>
      <c r="B1123" t="str">
        <f>"603076"</f>
        <v>603076</v>
      </c>
      <c r="C1123" t="s">
        <v>2513</v>
      </c>
      <c r="D1123" t="s">
        <v>741</v>
      </c>
      <c r="F1123">
        <v>66932940</v>
      </c>
      <c r="G1123">
        <v>77325315</v>
      </c>
      <c r="H1123">
        <v>50391438</v>
      </c>
      <c r="I1123">
        <v>56126508</v>
      </c>
      <c r="J1123">
        <v>52948550</v>
      </c>
      <c r="K1123">
        <v>52950106</v>
      </c>
      <c r="P1123">
        <v>87</v>
      </c>
      <c r="Q1123" t="s">
        <v>2514</v>
      </c>
    </row>
    <row r="1124" spans="1:17" x14ac:dyDescent="0.3">
      <c r="A1124" t="s">
        <v>17</v>
      </c>
      <c r="B1124" t="str">
        <f>"603077"</f>
        <v>603077</v>
      </c>
      <c r="C1124" t="s">
        <v>2515</v>
      </c>
      <c r="D1124" t="s">
        <v>2516</v>
      </c>
      <c r="F1124">
        <v>2013363990</v>
      </c>
      <c r="G1124">
        <v>-198866671</v>
      </c>
      <c r="H1124">
        <v>464933196</v>
      </c>
      <c r="I1124">
        <v>448437450</v>
      </c>
      <c r="J1124">
        <v>344199436</v>
      </c>
      <c r="K1124">
        <v>185416243</v>
      </c>
      <c r="L1124">
        <v>165274808</v>
      </c>
      <c r="M1124">
        <v>692809672</v>
      </c>
      <c r="N1124">
        <v>42038099</v>
      </c>
      <c r="O1124">
        <v>320381953</v>
      </c>
      <c r="P1124">
        <v>265</v>
      </c>
      <c r="Q1124" t="s">
        <v>2517</v>
      </c>
    </row>
    <row r="1125" spans="1:17" x14ac:dyDescent="0.3">
      <c r="A1125" t="s">
        <v>17</v>
      </c>
      <c r="B1125" t="str">
        <f>"603078"</f>
        <v>603078</v>
      </c>
      <c r="C1125" t="s">
        <v>2518</v>
      </c>
      <c r="D1125" t="s">
        <v>2399</v>
      </c>
      <c r="F1125">
        <v>27811958</v>
      </c>
      <c r="G1125">
        <v>42656403</v>
      </c>
      <c r="H1125">
        <v>32966008</v>
      </c>
      <c r="I1125">
        <v>29501818</v>
      </c>
      <c r="J1125">
        <v>43115506</v>
      </c>
      <c r="K1125">
        <v>50567962</v>
      </c>
      <c r="P1125">
        <v>226</v>
      </c>
      <c r="Q1125" t="s">
        <v>2519</v>
      </c>
    </row>
    <row r="1126" spans="1:17" x14ac:dyDescent="0.3">
      <c r="A1126" t="s">
        <v>17</v>
      </c>
      <c r="B1126" t="str">
        <f>"603079"</f>
        <v>603079</v>
      </c>
      <c r="C1126" t="s">
        <v>2520</v>
      </c>
      <c r="D1126" t="s">
        <v>496</v>
      </c>
      <c r="F1126">
        <v>63971068</v>
      </c>
      <c r="G1126">
        <v>200406149</v>
      </c>
      <c r="H1126">
        <v>44653784</v>
      </c>
      <c r="I1126">
        <v>51712206</v>
      </c>
      <c r="J1126">
        <v>57603684</v>
      </c>
      <c r="K1126">
        <v>54230421</v>
      </c>
      <c r="P1126">
        <v>239</v>
      </c>
      <c r="Q1126" t="s">
        <v>2521</v>
      </c>
    </row>
    <row r="1127" spans="1:17" x14ac:dyDescent="0.3">
      <c r="A1127" t="s">
        <v>17</v>
      </c>
      <c r="B1127" t="str">
        <f>"603080"</f>
        <v>603080</v>
      </c>
      <c r="C1127" t="s">
        <v>2522</v>
      </c>
      <c r="D1127" t="s">
        <v>749</v>
      </c>
      <c r="F1127">
        <v>79369093</v>
      </c>
      <c r="G1127">
        <v>31384775</v>
      </c>
      <c r="H1127">
        <v>33074398</v>
      </c>
      <c r="I1127">
        <v>57921863</v>
      </c>
      <c r="J1127">
        <v>49455989</v>
      </c>
      <c r="K1127">
        <v>79289334</v>
      </c>
      <c r="P1127">
        <v>93</v>
      </c>
      <c r="Q1127" t="s">
        <v>2523</v>
      </c>
    </row>
    <row r="1128" spans="1:17" x14ac:dyDescent="0.3">
      <c r="A1128" t="s">
        <v>17</v>
      </c>
      <c r="B1128" t="str">
        <f>"603081"</f>
        <v>603081</v>
      </c>
      <c r="C1128" t="s">
        <v>2524</v>
      </c>
      <c r="D1128" t="s">
        <v>450</v>
      </c>
      <c r="F1128">
        <v>241684701</v>
      </c>
      <c r="G1128">
        <v>209970526</v>
      </c>
      <c r="H1128">
        <v>183833348</v>
      </c>
      <c r="I1128">
        <v>156179571</v>
      </c>
      <c r="J1128">
        <v>158269569</v>
      </c>
      <c r="K1128">
        <v>131450698</v>
      </c>
      <c r="P1128">
        <v>144</v>
      </c>
      <c r="Q1128" t="s">
        <v>2525</v>
      </c>
    </row>
    <row r="1129" spans="1:17" x14ac:dyDescent="0.3">
      <c r="A1129" t="s">
        <v>17</v>
      </c>
      <c r="B1129" t="str">
        <f>"603083"</f>
        <v>603083</v>
      </c>
      <c r="C1129" t="s">
        <v>2526</v>
      </c>
      <c r="D1129" t="s">
        <v>786</v>
      </c>
      <c r="F1129">
        <v>40605043</v>
      </c>
      <c r="G1129">
        <v>-125675242</v>
      </c>
      <c r="H1129">
        <v>-9227383</v>
      </c>
      <c r="I1129">
        <v>56368461</v>
      </c>
      <c r="J1129">
        <v>55095793</v>
      </c>
      <c r="K1129">
        <v>39346264</v>
      </c>
      <c r="P1129">
        <v>272</v>
      </c>
      <c r="Q1129" t="s">
        <v>2527</v>
      </c>
    </row>
    <row r="1130" spans="1:17" x14ac:dyDescent="0.3">
      <c r="A1130" t="s">
        <v>17</v>
      </c>
      <c r="B1130" t="str">
        <f>"603085"</f>
        <v>603085</v>
      </c>
      <c r="C1130" t="s">
        <v>2528</v>
      </c>
      <c r="D1130" t="s">
        <v>191</v>
      </c>
      <c r="F1130">
        <v>50646997</v>
      </c>
      <c r="G1130">
        <v>42339619</v>
      </c>
      <c r="H1130">
        <v>25314075</v>
      </c>
      <c r="I1130">
        <v>40674607</v>
      </c>
      <c r="J1130">
        <v>49089622</v>
      </c>
      <c r="K1130">
        <v>25729830</v>
      </c>
      <c r="L1130">
        <v>24758138</v>
      </c>
      <c r="M1130">
        <v>22743319</v>
      </c>
      <c r="P1130">
        <v>81</v>
      </c>
      <c r="Q1130" t="s">
        <v>2529</v>
      </c>
    </row>
    <row r="1131" spans="1:17" x14ac:dyDescent="0.3">
      <c r="A1131" t="s">
        <v>17</v>
      </c>
      <c r="B1131" t="str">
        <f>"603086"</f>
        <v>603086</v>
      </c>
      <c r="C1131" t="s">
        <v>2530</v>
      </c>
      <c r="D1131" t="s">
        <v>853</v>
      </c>
      <c r="F1131">
        <v>83769439</v>
      </c>
      <c r="G1131">
        <v>122378058</v>
      </c>
      <c r="H1131">
        <v>150516766</v>
      </c>
      <c r="I1131">
        <v>179301174</v>
      </c>
      <c r="J1131">
        <v>78327890</v>
      </c>
      <c r="K1131">
        <v>75049676</v>
      </c>
      <c r="P1131">
        <v>124</v>
      </c>
      <c r="Q1131" t="s">
        <v>2531</v>
      </c>
    </row>
    <row r="1132" spans="1:17" x14ac:dyDescent="0.3">
      <c r="A1132" t="s">
        <v>17</v>
      </c>
      <c r="B1132" t="str">
        <f>"603087"</f>
        <v>603087</v>
      </c>
      <c r="C1132" t="s">
        <v>2532</v>
      </c>
      <c r="D1132" t="s">
        <v>1379</v>
      </c>
      <c r="F1132">
        <v>871410498</v>
      </c>
      <c r="G1132">
        <v>686204874</v>
      </c>
      <c r="H1132">
        <v>661484161</v>
      </c>
      <c r="P1132">
        <v>677</v>
      </c>
      <c r="Q1132" t="s">
        <v>2533</v>
      </c>
    </row>
    <row r="1133" spans="1:17" x14ac:dyDescent="0.3">
      <c r="A1133" t="s">
        <v>17</v>
      </c>
      <c r="B1133" t="str">
        <f>"603088"</f>
        <v>603088</v>
      </c>
      <c r="C1133" t="s">
        <v>2534</v>
      </c>
      <c r="D1133" t="s">
        <v>2312</v>
      </c>
      <c r="F1133">
        <v>61300119</v>
      </c>
      <c r="G1133">
        <v>42567444</v>
      </c>
      <c r="H1133">
        <v>38239576</v>
      </c>
      <c r="I1133">
        <v>31034006</v>
      </c>
      <c r="J1133">
        <v>21641450</v>
      </c>
      <c r="K1133">
        <v>21038575</v>
      </c>
      <c r="L1133">
        <v>19984808</v>
      </c>
      <c r="M1133">
        <v>24743211</v>
      </c>
      <c r="N1133">
        <v>23264321</v>
      </c>
      <c r="P1133">
        <v>106</v>
      </c>
      <c r="Q1133" t="s">
        <v>2535</v>
      </c>
    </row>
    <row r="1134" spans="1:17" x14ac:dyDescent="0.3">
      <c r="A1134" t="s">
        <v>17</v>
      </c>
      <c r="B1134" t="str">
        <f>"603089"</f>
        <v>603089</v>
      </c>
      <c r="C1134" t="s">
        <v>2536</v>
      </c>
      <c r="D1134" t="s">
        <v>348</v>
      </c>
      <c r="F1134">
        <v>59519500</v>
      </c>
      <c r="G1134">
        <v>36299253</v>
      </c>
      <c r="H1134">
        <v>76167297</v>
      </c>
      <c r="I1134">
        <v>63576762</v>
      </c>
      <c r="J1134">
        <v>62019015</v>
      </c>
      <c r="K1134">
        <v>67718593</v>
      </c>
      <c r="L1134">
        <v>55548461</v>
      </c>
      <c r="P1134">
        <v>111</v>
      </c>
      <c r="Q1134" t="s">
        <v>2537</v>
      </c>
    </row>
    <row r="1135" spans="1:17" x14ac:dyDescent="0.3">
      <c r="A1135" t="s">
        <v>17</v>
      </c>
      <c r="B1135" t="str">
        <f>"603090"</f>
        <v>603090</v>
      </c>
      <c r="C1135" t="s">
        <v>2538</v>
      </c>
      <c r="D1135" t="s">
        <v>560</v>
      </c>
      <c r="F1135">
        <v>16095222</v>
      </c>
      <c r="G1135">
        <v>16815374</v>
      </c>
      <c r="H1135">
        <v>25577009</v>
      </c>
      <c r="I1135">
        <v>25353348</v>
      </c>
      <c r="J1135">
        <v>21983392</v>
      </c>
      <c r="K1135">
        <v>29000436</v>
      </c>
      <c r="L1135">
        <v>28553585</v>
      </c>
      <c r="P1135">
        <v>51</v>
      </c>
      <c r="Q1135" t="s">
        <v>2539</v>
      </c>
    </row>
    <row r="1136" spans="1:17" x14ac:dyDescent="0.3">
      <c r="A1136" t="s">
        <v>17</v>
      </c>
      <c r="B1136" t="str">
        <f>"603093"</f>
        <v>603093</v>
      </c>
      <c r="C1136" t="s">
        <v>2540</v>
      </c>
      <c r="D1136" t="s">
        <v>1843</v>
      </c>
      <c r="F1136">
        <v>170574762</v>
      </c>
      <c r="G1136">
        <v>67217748</v>
      </c>
      <c r="H1136">
        <v>81050479</v>
      </c>
      <c r="I1136">
        <v>70971313</v>
      </c>
      <c r="P1136">
        <v>84</v>
      </c>
      <c r="Q1136" t="s">
        <v>2541</v>
      </c>
    </row>
    <row r="1137" spans="1:17" x14ac:dyDescent="0.3">
      <c r="A1137" t="s">
        <v>17</v>
      </c>
      <c r="B1137" t="str">
        <f>"603095"</f>
        <v>603095</v>
      </c>
      <c r="C1137" t="s">
        <v>2542</v>
      </c>
      <c r="D1137" t="s">
        <v>534</v>
      </c>
      <c r="F1137">
        <v>161360933</v>
      </c>
      <c r="G1137">
        <v>86437740</v>
      </c>
      <c r="H1137">
        <v>136807870</v>
      </c>
      <c r="I1137">
        <v>148772985</v>
      </c>
      <c r="P1137">
        <v>64</v>
      </c>
      <c r="Q1137" t="s">
        <v>2543</v>
      </c>
    </row>
    <row r="1138" spans="1:17" x14ac:dyDescent="0.3">
      <c r="A1138" t="s">
        <v>17</v>
      </c>
      <c r="B1138" t="str">
        <f>"603096"</f>
        <v>603096</v>
      </c>
      <c r="C1138" t="s">
        <v>2544</v>
      </c>
      <c r="D1138" t="s">
        <v>525</v>
      </c>
      <c r="F1138">
        <v>131033777</v>
      </c>
      <c r="G1138">
        <v>172679047</v>
      </c>
      <c r="H1138">
        <v>200226908</v>
      </c>
      <c r="I1138">
        <v>187093506</v>
      </c>
      <c r="J1138">
        <v>177418283</v>
      </c>
      <c r="K1138">
        <v>115669144</v>
      </c>
      <c r="P1138">
        <v>222</v>
      </c>
      <c r="Q1138" t="s">
        <v>2545</v>
      </c>
    </row>
    <row r="1139" spans="1:17" x14ac:dyDescent="0.3">
      <c r="A1139" t="s">
        <v>17</v>
      </c>
      <c r="B1139" t="str">
        <f>"603098"</f>
        <v>603098</v>
      </c>
      <c r="C1139" t="s">
        <v>2546</v>
      </c>
      <c r="D1139" t="s">
        <v>978</v>
      </c>
      <c r="F1139">
        <v>85167760</v>
      </c>
      <c r="G1139">
        <v>139696282</v>
      </c>
      <c r="H1139">
        <v>193513108</v>
      </c>
      <c r="I1139">
        <v>157537566</v>
      </c>
      <c r="J1139">
        <v>141085022</v>
      </c>
      <c r="K1139">
        <v>140080000</v>
      </c>
      <c r="P1139">
        <v>158</v>
      </c>
      <c r="Q1139" t="s">
        <v>2547</v>
      </c>
    </row>
    <row r="1140" spans="1:17" x14ac:dyDescent="0.3">
      <c r="A1140" t="s">
        <v>17</v>
      </c>
      <c r="B1140" t="str">
        <f>"603099"</f>
        <v>603099</v>
      </c>
      <c r="C1140" t="s">
        <v>2548</v>
      </c>
      <c r="D1140" t="s">
        <v>119</v>
      </c>
      <c r="F1140">
        <v>-26709715</v>
      </c>
      <c r="G1140">
        <v>-39701221</v>
      </c>
      <c r="H1140">
        <v>82139152</v>
      </c>
      <c r="I1140">
        <v>77060558</v>
      </c>
      <c r="J1140">
        <v>72908639</v>
      </c>
      <c r="K1140">
        <v>90137346</v>
      </c>
      <c r="L1140">
        <v>115882077</v>
      </c>
      <c r="M1140">
        <v>93774392</v>
      </c>
      <c r="N1140">
        <v>76755690</v>
      </c>
      <c r="P1140">
        <v>97</v>
      </c>
      <c r="Q1140" t="s">
        <v>2549</v>
      </c>
    </row>
    <row r="1141" spans="1:17" x14ac:dyDescent="0.3">
      <c r="A1141" t="s">
        <v>17</v>
      </c>
      <c r="B1141" t="str">
        <f>"603100"</f>
        <v>603100</v>
      </c>
      <c r="C1141" t="s">
        <v>2550</v>
      </c>
      <c r="D1141" t="s">
        <v>2551</v>
      </c>
      <c r="F1141">
        <v>416336976</v>
      </c>
      <c r="G1141">
        <v>196655809</v>
      </c>
      <c r="H1141">
        <v>150965796</v>
      </c>
      <c r="I1141">
        <v>158790840</v>
      </c>
      <c r="J1141">
        <v>110765454</v>
      </c>
      <c r="K1141">
        <v>95418823</v>
      </c>
      <c r="L1141">
        <v>114754485</v>
      </c>
      <c r="M1141">
        <v>126972328</v>
      </c>
      <c r="N1141">
        <v>111042633</v>
      </c>
      <c r="P1141">
        <v>194</v>
      </c>
      <c r="Q1141" t="s">
        <v>2552</v>
      </c>
    </row>
    <row r="1142" spans="1:17" x14ac:dyDescent="0.3">
      <c r="A1142" t="s">
        <v>17</v>
      </c>
      <c r="B1142" t="str">
        <f>"603101"</f>
        <v>603101</v>
      </c>
      <c r="C1142" t="s">
        <v>2553</v>
      </c>
      <c r="D1142" t="s">
        <v>633</v>
      </c>
      <c r="F1142">
        <v>67245879</v>
      </c>
      <c r="G1142">
        <v>-3540201</v>
      </c>
      <c r="H1142">
        <v>34236637</v>
      </c>
      <c r="I1142">
        <v>95959996</v>
      </c>
      <c r="J1142">
        <v>94092727</v>
      </c>
      <c r="K1142">
        <v>60524908</v>
      </c>
      <c r="L1142">
        <v>66218335</v>
      </c>
      <c r="P1142">
        <v>69</v>
      </c>
      <c r="Q1142" t="s">
        <v>2554</v>
      </c>
    </row>
    <row r="1143" spans="1:17" x14ac:dyDescent="0.3">
      <c r="A1143" t="s">
        <v>17</v>
      </c>
      <c r="B1143" t="str">
        <f>"603102"</f>
        <v>603102</v>
      </c>
      <c r="C1143" t="s">
        <v>2555</v>
      </c>
      <c r="F1143">
        <v>117955774</v>
      </c>
      <c r="P1143">
        <v>13</v>
      </c>
      <c r="Q1143" t="s">
        <v>2556</v>
      </c>
    </row>
    <row r="1144" spans="1:17" x14ac:dyDescent="0.3">
      <c r="A1144" t="s">
        <v>17</v>
      </c>
      <c r="B1144" t="str">
        <f>"603103"</f>
        <v>603103</v>
      </c>
      <c r="C1144" t="s">
        <v>2557</v>
      </c>
      <c r="D1144" t="s">
        <v>2558</v>
      </c>
      <c r="F1144">
        <v>64943767</v>
      </c>
      <c r="G1144">
        <v>-368040458</v>
      </c>
      <c r="H1144">
        <v>260452961</v>
      </c>
      <c r="I1144">
        <v>323130163</v>
      </c>
      <c r="J1144">
        <v>305083786</v>
      </c>
      <c r="K1144">
        <v>330607733</v>
      </c>
      <c r="P1144">
        <v>240</v>
      </c>
      <c r="Q1144" t="s">
        <v>2559</v>
      </c>
    </row>
    <row r="1145" spans="1:17" x14ac:dyDescent="0.3">
      <c r="A1145" t="s">
        <v>17</v>
      </c>
      <c r="B1145" t="str">
        <f>"603105"</f>
        <v>603105</v>
      </c>
      <c r="C1145" t="s">
        <v>2560</v>
      </c>
      <c r="D1145" t="s">
        <v>86</v>
      </c>
      <c r="F1145">
        <v>95314785</v>
      </c>
      <c r="G1145">
        <v>75004883</v>
      </c>
      <c r="H1145">
        <v>45074421</v>
      </c>
      <c r="I1145">
        <v>71875355</v>
      </c>
      <c r="J1145">
        <v>54976974</v>
      </c>
      <c r="P1145">
        <v>144</v>
      </c>
      <c r="Q1145" t="s">
        <v>2561</v>
      </c>
    </row>
    <row r="1146" spans="1:17" x14ac:dyDescent="0.3">
      <c r="A1146" t="s">
        <v>17</v>
      </c>
      <c r="B1146" t="str">
        <f>"603106"</f>
        <v>603106</v>
      </c>
      <c r="C1146" t="s">
        <v>2562</v>
      </c>
      <c r="D1146" t="s">
        <v>236</v>
      </c>
      <c r="F1146">
        <v>19540344</v>
      </c>
      <c r="G1146">
        <v>11823766</v>
      </c>
      <c r="H1146">
        <v>-27189286</v>
      </c>
      <c r="I1146">
        <v>50021867</v>
      </c>
      <c r="J1146">
        <v>123419991</v>
      </c>
      <c r="K1146">
        <v>119511182</v>
      </c>
      <c r="P1146">
        <v>2938</v>
      </c>
      <c r="Q1146" t="s">
        <v>2563</v>
      </c>
    </row>
    <row r="1147" spans="1:17" x14ac:dyDescent="0.3">
      <c r="A1147" t="s">
        <v>17</v>
      </c>
      <c r="B1147" t="str">
        <f>"603108"</f>
        <v>603108</v>
      </c>
      <c r="C1147" t="s">
        <v>2564</v>
      </c>
      <c r="D1147" t="s">
        <v>2565</v>
      </c>
      <c r="F1147">
        <v>325510480</v>
      </c>
      <c r="G1147">
        <v>235791380</v>
      </c>
      <c r="H1147">
        <v>291984144</v>
      </c>
      <c r="I1147">
        <v>243212416</v>
      </c>
      <c r="J1147">
        <v>167589240</v>
      </c>
      <c r="K1147">
        <v>84780667</v>
      </c>
      <c r="L1147">
        <v>61471530</v>
      </c>
      <c r="M1147">
        <v>44479003</v>
      </c>
      <c r="P1147">
        <v>336</v>
      </c>
      <c r="Q1147" t="s">
        <v>2566</v>
      </c>
    </row>
    <row r="1148" spans="1:17" x14ac:dyDescent="0.3">
      <c r="A1148" t="s">
        <v>17</v>
      </c>
      <c r="B1148" t="str">
        <f>"603109"</f>
        <v>603109</v>
      </c>
      <c r="C1148" t="s">
        <v>2567</v>
      </c>
      <c r="D1148" t="s">
        <v>985</v>
      </c>
      <c r="F1148">
        <v>147492488</v>
      </c>
      <c r="G1148">
        <v>96605285</v>
      </c>
      <c r="H1148">
        <v>85613662</v>
      </c>
      <c r="I1148">
        <v>105706597</v>
      </c>
      <c r="P1148">
        <v>80</v>
      </c>
      <c r="Q1148" t="s">
        <v>2568</v>
      </c>
    </row>
    <row r="1149" spans="1:17" x14ac:dyDescent="0.3">
      <c r="A1149" t="s">
        <v>17</v>
      </c>
      <c r="B1149" t="str">
        <f>"603110"</f>
        <v>603110</v>
      </c>
      <c r="C1149" t="s">
        <v>2569</v>
      </c>
      <c r="D1149" t="s">
        <v>2570</v>
      </c>
      <c r="F1149">
        <v>60291928</v>
      </c>
      <c r="G1149">
        <v>43121346</v>
      </c>
      <c r="H1149">
        <v>40374462</v>
      </c>
      <c r="I1149">
        <v>28563718</v>
      </c>
      <c r="J1149">
        <v>44668542</v>
      </c>
      <c r="K1149">
        <v>41035266</v>
      </c>
      <c r="P1149">
        <v>71</v>
      </c>
      <c r="Q1149" t="s">
        <v>2571</v>
      </c>
    </row>
    <row r="1150" spans="1:17" x14ac:dyDescent="0.3">
      <c r="A1150" t="s">
        <v>17</v>
      </c>
      <c r="B1150" t="str">
        <f>"603111"</f>
        <v>603111</v>
      </c>
      <c r="C1150" t="s">
        <v>2572</v>
      </c>
      <c r="D1150" t="s">
        <v>1012</v>
      </c>
      <c r="F1150">
        <v>328847562</v>
      </c>
      <c r="G1150">
        <v>390338100</v>
      </c>
      <c r="H1150">
        <v>213712411</v>
      </c>
      <c r="I1150">
        <v>-532164067</v>
      </c>
      <c r="J1150">
        <v>175772662</v>
      </c>
      <c r="K1150">
        <v>173204777</v>
      </c>
      <c r="L1150">
        <v>140630553</v>
      </c>
      <c r="M1150">
        <v>107617787</v>
      </c>
      <c r="N1150">
        <v>68594082</v>
      </c>
      <c r="P1150">
        <v>440</v>
      </c>
      <c r="Q1150" t="s">
        <v>2573</v>
      </c>
    </row>
    <row r="1151" spans="1:17" x14ac:dyDescent="0.3">
      <c r="A1151" t="s">
        <v>17</v>
      </c>
      <c r="B1151" t="str">
        <f>"603112"</f>
        <v>603112</v>
      </c>
      <c r="C1151" t="s">
        <v>2574</v>
      </c>
      <c r="D1151" t="s">
        <v>1253</v>
      </c>
      <c r="F1151">
        <v>261975240</v>
      </c>
      <c r="G1151">
        <v>147090919</v>
      </c>
      <c r="H1151">
        <v>108095816</v>
      </c>
      <c r="P1151">
        <v>48</v>
      </c>
      <c r="Q1151" t="s">
        <v>2575</v>
      </c>
    </row>
    <row r="1152" spans="1:17" x14ac:dyDescent="0.3">
      <c r="A1152" t="s">
        <v>17</v>
      </c>
      <c r="B1152" t="str">
        <f>"603113"</f>
        <v>603113</v>
      </c>
      <c r="C1152" t="s">
        <v>2576</v>
      </c>
      <c r="D1152" t="s">
        <v>885</v>
      </c>
      <c r="F1152">
        <v>1130741670</v>
      </c>
      <c r="G1152">
        <v>640635371</v>
      </c>
      <c r="H1152">
        <v>592818324</v>
      </c>
      <c r="I1152">
        <v>922475169</v>
      </c>
      <c r="J1152">
        <v>598509758</v>
      </c>
      <c r="K1152">
        <v>208678478</v>
      </c>
      <c r="P1152">
        <v>302</v>
      </c>
      <c r="Q1152" t="s">
        <v>2577</v>
      </c>
    </row>
    <row r="1153" spans="1:17" x14ac:dyDescent="0.3">
      <c r="A1153" t="s">
        <v>17</v>
      </c>
      <c r="B1153" t="str">
        <f>"603115"</f>
        <v>603115</v>
      </c>
      <c r="C1153" t="s">
        <v>2578</v>
      </c>
      <c r="D1153" t="s">
        <v>504</v>
      </c>
      <c r="F1153">
        <v>158967856</v>
      </c>
      <c r="G1153">
        <v>90869886</v>
      </c>
      <c r="H1153">
        <v>98258788</v>
      </c>
      <c r="I1153">
        <v>108115859</v>
      </c>
      <c r="P1153">
        <v>88</v>
      </c>
      <c r="Q1153" t="s">
        <v>2579</v>
      </c>
    </row>
    <row r="1154" spans="1:17" x14ac:dyDescent="0.3">
      <c r="A1154" t="s">
        <v>17</v>
      </c>
      <c r="B1154" t="str">
        <f>"603116"</f>
        <v>603116</v>
      </c>
      <c r="C1154" t="s">
        <v>2580</v>
      </c>
      <c r="D1154" t="s">
        <v>330</v>
      </c>
      <c r="F1154">
        <v>39089824</v>
      </c>
      <c r="G1154">
        <v>59664443</v>
      </c>
      <c r="H1154">
        <v>114239540</v>
      </c>
      <c r="I1154">
        <v>233353447</v>
      </c>
      <c r="J1154">
        <v>260935234</v>
      </c>
      <c r="K1154">
        <v>203920954</v>
      </c>
      <c r="L1154">
        <v>208943826</v>
      </c>
      <c r="M1154">
        <v>212834238</v>
      </c>
      <c r="P1154">
        <v>102</v>
      </c>
      <c r="Q1154" t="s">
        <v>2581</v>
      </c>
    </row>
    <row r="1155" spans="1:17" x14ac:dyDescent="0.3">
      <c r="A1155" t="s">
        <v>17</v>
      </c>
      <c r="B1155" t="str">
        <f>"603117"</f>
        <v>603117</v>
      </c>
      <c r="C1155" t="s">
        <v>2582</v>
      </c>
      <c r="D1155" t="s">
        <v>287</v>
      </c>
      <c r="F1155">
        <v>34685885</v>
      </c>
      <c r="G1155">
        <v>37212033</v>
      </c>
      <c r="H1155">
        <v>66519475</v>
      </c>
      <c r="I1155">
        <v>82636361</v>
      </c>
      <c r="J1155">
        <v>82007312</v>
      </c>
      <c r="K1155">
        <v>70438171</v>
      </c>
      <c r="L1155">
        <v>55376387</v>
      </c>
      <c r="M1155">
        <v>84106674</v>
      </c>
      <c r="P1155">
        <v>64</v>
      </c>
      <c r="Q1155" t="s">
        <v>2583</v>
      </c>
    </row>
    <row r="1156" spans="1:17" x14ac:dyDescent="0.3">
      <c r="A1156" t="s">
        <v>17</v>
      </c>
      <c r="B1156" t="str">
        <f>"603118"</f>
        <v>603118</v>
      </c>
      <c r="C1156" t="s">
        <v>2584</v>
      </c>
      <c r="D1156" t="s">
        <v>786</v>
      </c>
      <c r="F1156">
        <v>291182342</v>
      </c>
      <c r="G1156">
        <v>298346798</v>
      </c>
      <c r="H1156">
        <v>265558832</v>
      </c>
      <c r="I1156">
        <v>116346513</v>
      </c>
      <c r="J1156">
        <v>136924987</v>
      </c>
      <c r="K1156">
        <v>264310318</v>
      </c>
      <c r="L1156">
        <v>184569461</v>
      </c>
      <c r="M1156">
        <v>161413077</v>
      </c>
      <c r="P1156">
        <v>243</v>
      </c>
      <c r="Q1156" t="s">
        <v>2585</v>
      </c>
    </row>
    <row r="1157" spans="1:17" x14ac:dyDescent="0.3">
      <c r="A1157" t="s">
        <v>17</v>
      </c>
      <c r="B1157" t="str">
        <f>"603121"</f>
        <v>603121</v>
      </c>
      <c r="C1157" t="s">
        <v>2586</v>
      </c>
      <c r="D1157" t="s">
        <v>348</v>
      </c>
      <c r="F1157">
        <v>61118797</v>
      </c>
      <c r="G1157">
        <v>49188141</v>
      </c>
      <c r="H1157">
        <v>75941966</v>
      </c>
      <c r="I1157">
        <v>60775942</v>
      </c>
      <c r="P1157">
        <v>77</v>
      </c>
      <c r="Q1157" t="s">
        <v>2587</v>
      </c>
    </row>
    <row r="1158" spans="1:17" x14ac:dyDescent="0.3">
      <c r="A1158" t="s">
        <v>17</v>
      </c>
      <c r="B1158" t="str">
        <f>"603122"</f>
        <v>603122</v>
      </c>
      <c r="C1158" t="s">
        <v>2588</v>
      </c>
      <c r="F1158">
        <v>53801752</v>
      </c>
      <c r="G1158">
        <v>44108306</v>
      </c>
      <c r="P1158">
        <v>12</v>
      </c>
      <c r="Q1158" t="s">
        <v>2589</v>
      </c>
    </row>
    <row r="1159" spans="1:17" x14ac:dyDescent="0.3">
      <c r="A1159" t="s">
        <v>17</v>
      </c>
      <c r="B1159" t="str">
        <f>"603123"</f>
        <v>603123</v>
      </c>
      <c r="C1159" t="s">
        <v>2590</v>
      </c>
      <c r="D1159" t="s">
        <v>633</v>
      </c>
      <c r="F1159">
        <v>113009530</v>
      </c>
      <c r="G1159">
        <v>-32643489</v>
      </c>
      <c r="H1159">
        <v>132765917</v>
      </c>
      <c r="I1159">
        <v>90950975</v>
      </c>
      <c r="J1159">
        <v>73607074</v>
      </c>
      <c r="K1159">
        <v>56975941</v>
      </c>
      <c r="L1159">
        <v>93086092</v>
      </c>
      <c r="M1159">
        <v>70672795</v>
      </c>
      <c r="N1159">
        <v>105114065</v>
      </c>
      <c r="O1159">
        <v>114686223</v>
      </c>
      <c r="P1159">
        <v>100</v>
      </c>
      <c r="Q1159" t="s">
        <v>2591</v>
      </c>
    </row>
    <row r="1160" spans="1:17" x14ac:dyDescent="0.3">
      <c r="A1160" t="s">
        <v>17</v>
      </c>
      <c r="B1160" t="str">
        <f>"603126"</f>
        <v>603126</v>
      </c>
      <c r="C1160" t="s">
        <v>2592</v>
      </c>
      <c r="D1160" t="s">
        <v>499</v>
      </c>
      <c r="F1160">
        <v>106705530</v>
      </c>
      <c r="G1160">
        <v>48783611</v>
      </c>
      <c r="H1160">
        <v>67140324</v>
      </c>
      <c r="I1160">
        <v>91854996</v>
      </c>
      <c r="J1160">
        <v>97206306</v>
      </c>
      <c r="K1160">
        <v>95312073</v>
      </c>
      <c r="L1160">
        <v>62106241</v>
      </c>
      <c r="M1160">
        <v>87757173</v>
      </c>
      <c r="N1160">
        <v>88514389</v>
      </c>
      <c r="P1160">
        <v>195</v>
      </c>
      <c r="Q1160" t="s">
        <v>2593</v>
      </c>
    </row>
    <row r="1161" spans="1:17" x14ac:dyDescent="0.3">
      <c r="A1161" t="s">
        <v>17</v>
      </c>
      <c r="B1161" t="str">
        <f>"603127"</f>
        <v>603127</v>
      </c>
      <c r="C1161" t="s">
        <v>2594</v>
      </c>
      <c r="D1161" t="s">
        <v>1461</v>
      </c>
      <c r="F1161">
        <v>248006161</v>
      </c>
      <c r="G1161">
        <v>118284074</v>
      </c>
      <c r="H1161">
        <v>76483113</v>
      </c>
      <c r="I1161">
        <v>57222539</v>
      </c>
      <c r="J1161">
        <v>34659759</v>
      </c>
      <c r="K1161">
        <v>11966569</v>
      </c>
      <c r="P1161">
        <v>1812</v>
      </c>
      <c r="Q1161" t="s">
        <v>2595</v>
      </c>
    </row>
    <row r="1162" spans="1:17" x14ac:dyDescent="0.3">
      <c r="A1162" t="s">
        <v>17</v>
      </c>
      <c r="B1162" t="str">
        <f>"603128"</f>
        <v>603128</v>
      </c>
      <c r="C1162" t="s">
        <v>2596</v>
      </c>
      <c r="D1162" t="s">
        <v>287</v>
      </c>
      <c r="F1162">
        <v>669783228</v>
      </c>
      <c r="G1162">
        <v>403683847</v>
      </c>
      <c r="H1162">
        <v>255696598</v>
      </c>
      <c r="I1162">
        <v>255570699</v>
      </c>
      <c r="J1162">
        <v>214578427</v>
      </c>
      <c r="K1162">
        <v>214786542</v>
      </c>
      <c r="L1162">
        <v>103223975</v>
      </c>
      <c r="M1162">
        <v>79952803</v>
      </c>
      <c r="N1162">
        <v>59047887</v>
      </c>
      <c r="O1162">
        <v>64165311</v>
      </c>
      <c r="P1162">
        <v>273</v>
      </c>
      <c r="Q1162" t="s">
        <v>2597</v>
      </c>
    </row>
    <row r="1163" spans="1:17" x14ac:dyDescent="0.3">
      <c r="A1163" t="s">
        <v>17</v>
      </c>
      <c r="B1163" t="str">
        <f>"603129"</f>
        <v>603129</v>
      </c>
      <c r="C1163" t="s">
        <v>2598</v>
      </c>
      <c r="D1163" t="s">
        <v>1654</v>
      </c>
      <c r="F1163">
        <v>320029467</v>
      </c>
      <c r="G1163">
        <v>296610348</v>
      </c>
      <c r="H1163">
        <v>141253537</v>
      </c>
      <c r="I1163">
        <v>97196439</v>
      </c>
      <c r="J1163">
        <v>84451843</v>
      </c>
      <c r="K1163">
        <v>62434539</v>
      </c>
      <c r="P1163">
        <v>625</v>
      </c>
      <c r="Q1163" t="s">
        <v>2599</v>
      </c>
    </row>
    <row r="1164" spans="1:17" x14ac:dyDescent="0.3">
      <c r="A1164" t="s">
        <v>17</v>
      </c>
      <c r="B1164" t="str">
        <f>"603131"</f>
        <v>603131</v>
      </c>
      <c r="C1164" t="s">
        <v>2600</v>
      </c>
      <c r="D1164" t="s">
        <v>560</v>
      </c>
      <c r="F1164">
        <v>89838955</v>
      </c>
      <c r="G1164">
        <v>54120211</v>
      </c>
      <c r="H1164">
        <v>41463751</v>
      </c>
      <c r="I1164">
        <v>45195602</v>
      </c>
      <c r="J1164">
        <v>61918393</v>
      </c>
      <c r="K1164">
        <v>50349138</v>
      </c>
      <c r="L1164">
        <v>38616479</v>
      </c>
      <c r="P1164">
        <v>143</v>
      </c>
      <c r="Q1164" t="s">
        <v>2601</v>
      </c>
    </row>
    <row r="1165" spans="1:17" x14ac:dyDescent="0.3">
      <c r="A1165" t="s">
        <v>17</v>
      </c>
      <c r="B1165" t="str">
        <f>"603133"</f>
        <v>603133</v>
      </c>
      <c r="C1165" t="s">
        <v>2602</v>
      </c>
      <c r="D1165" t="s">
        <v>313</v>
      </c>
      <c r="F1165">
        <v>-382890950</v>
      </c>
      <c r="G1165">
        <v>-54879936</v>
      </c>
      <c r="H1165">
        <v>-14845517</v>
      </c>
      <c r="I1165">
        <v>46680963</v>
      </c>
      <c r="J1165">
        <v>43056447</v>
      </c>
      <c r="K1165">
        <v>53959243</v>
      </c>
      <c r="P1165">
        <v>138</v>
      </c>
      <c r="Q1165" t="s">
        <v>2603</v>
      </c>
    </row>
    <row r="1166" spans="1:17" x14ac:dyDescent="0.3">
      <c r="A1166" t="s">
        <v>17</v>
      </c>
      <c r="B1166" t="str">
        <f>"603136"</f>
        <v>603136</v>
      </c>
      <c r="C1166" t="s">
        <v>2604</v>
      </c>
      <c r="D1166" t="s">
        <v>333</v>
      </c>
      <c r="F1166">
        <v>43910476</v>
      </c>
      <c r="G1166">
        <v>27755673</v>
      </c>
      <c r="H1166">
        <v>114941382</v>
      </c>
      <c r="I1166">
        <v>94615790</v>
      </c>
      <c r="J1166">
        <v>78282446</v>
      </c>
      <c r="K1166">
        <v>64688253</v>
      </c>
      <c r="P1166">
        <v>194</v>
      </c>
      <c r="Q1166" t="s">
        <v>2605</v>
      </c>
    </row>
    <row r="1167" spans="1:17" x14ac:dyDescent="0.3">
      <c r="A1167" t="s">
        <v>17</v>
      </c>
      <c r="B1167" t="str">
        <f>"603138"</f>
        <v>603138</v>
      </c>
      <c r="C1167" t="s">
        <v>2606</v>
      </c>
      <c r="D1167" t="s">
        <v>316</v>
      </c>
      <c r="F1167">
        <v>8223812</v>
      </c>
      <c r="G1167">
        <v>19964563</v>
      </c>
      <c r="H1167">
        <v>33213104</v>
      </c>
      <c r="I1167">
        <v>41689312</v>
      </c>
      <c r="J1167">
        <v>44349014</v>
      </c>
      <c r="K1167">
        <v>31342165</v>
      </c>
      <c r="P1167">
        <v>147</v>
      </c>
      <c r="Q1167" t="s">
        <v>2607</v>
      </c>
    </row>
    <row r="1168" spans="1:17" x14ac:dyDescent="0.3">
      <c r="A1168" t="s">
        <v>17</v>
      </c>
      <c r="B1168" t="str">
        <f>"603139"</f>
        <v>603139</v>
      </c>
      <c r="C1168" t="s">
        <v>2608</v>
      </c>
      <c r="D1168" t="s">
        <v>188</v>
      </c>
      <c r="F1168">
        <v>21627454</v>
      </c>
      <c r="G1168">
        <v>29553981</v>
      </c>
      <c r="H1168">
        <v>32326640</v>
      </c>
      <c r="I1168">
        <v>32837570</v>
      </c>
      <c r="J1168">
        <v>36348949</v>
      </c>
      <c r="K1168">
        <v>35485156</v>
      </c>
      <c r="P1168">
        <v>97</v>
      </c>
      <c r="Q1168" t="s">
        <v>2609</v>
      </c>
    </row>
    <row r="1169" spans="1:17" x14ac:dyDescent="0.3">
      <c r="A1169" t="s">
        <v>17</v>
      </c>
      <c r="B1169" t="str">
        <f>"603150"</f>
        <v>603150</v>
      </c>
      <c r="C1169" t="s">
        <v>2610</v>
      </c>
      <c r="F1169">
        <v>99660151</v>
      </c>
      <c r="P1169">
        <v>5</v>
      </c>
      <c r="Q1169" t="s">
        <v>2611</v>
      </c>
    </row>
    <row r="1170" spans="1:17" x14ac:dyDescent="0.3">
      <c r="A1170" t="s">
        <v>17</v>
      </c>
      <c r="B1170" t="str">
        <f>"603155"</f>
        <v>603155</v>
      </c>
      <c r="C1170" t="s">
        <v>2612</v>
      </c>
      <c r="D1170" t="s">
        <v>1205</v>
      </c>
      <c r="F1170">
        <v>229355400</v>
      </c>
      <c r="G1170">
        <v>122225532</v>
      </c>
      <c r="H1170">
        <v>175967857</v>
      </c>
      <c r="P1170">
        <v>76</v>
      </c>
      <c r="Q1170" t="s">
        <v>2613</v>
      </c>
    </row>
    <row r="1171" spans="1:17" x14ac:dyDescent="0.3">
      <c r="A1171" t="s">
        <v>17</v>
      </c>
      <c r="B1171" t="str">
        <f>"603156"</f>
        <v>603156</v>
      </c>
      <c r="C1171" t="s">
        <v>2614</v>
      </c>
      <c r="D1171" t="s">
        <v>440</v>
      </c>
      <c r="F1171">
        <v>1630449758</v>
      </c>
      <c r="G1171">
        <v>1168439380</v>
      </c>
      <c r="H1171">
        <v>1730577058</v>
      </c>
      <c r="I1171">
        <v>1740833314</v>
      </c>
      <c r="J1171">
        <v>1568185304</v>
      </c>
      <c r="K1171">
        <v>1905062436</v>
      </c>
      <c r="P1171">
        <v>1235</v>
      </c>
      <c r="Q1171" t="s">
        <v>2615</v>
      </c>
    </row>
    <row r="1172" spans="1:17" x14ac:dyDescent="0.3">
      <c r="A1172" t="s">
        <v>17</v>
      </c>
      <c r="B1172" t="str">
        <f>"603157"</f>
        <v>603157</v>
      </c>
      <c r="C1172" t="s">
        <v>2616</v>
      </c>
      <c r="D1172" t="s">
        <v>255</v>
      </c>
      <c r="F1172">
        <v>-288625000</v>
      </c>
      <c r="G1172">
        <v>-783331000</v>
      </c>
      <c r="H1172">
        <v>-824662000</v>
      </c>
      <c r="I1172">
        <v>239247000</v>
      </c>
      <c r="J1172">
        <v>339730000</v>
      </c>
      <c r="K1172">
        <v>325099000</v>
      </c>
      <c r="P1172">
        <v>88</v>
      </c>
      <c r="Q1172" t="s">
        <v>2617</v>
      </c>
    </row>
    <row r="1173" spans="1:17" x14ac:dyDescent="0.3">
      <c r="A1173" t="s">
        <v>17</v>
      </c>
      <c r="B1173" t="str">
        <f>"603158"</f>
        <v>603158</v>
      </c>
      <c r="C1173" t="s">
        <v>2618</v>
      </c>
      <c r="D1173" t="s">
        <v>348</v>
      </c>
      <c r="F1173">
        <v>102244519</v>
      </c>
      <c r="G1173">
        <v>99980599</v>
      </c>
      <c r="H1173">
        <v>78826116</v>
      </c>
      <c r="I1173">
        <v>82353068</v>
      </c>
      <c r="J1173">
        <v>92486442</v>
      </c>
      <c r="K1173">
        <v>80189538</v>
      </c>
      <c r="L1173">
        <v>67332420</v>
      </c>
      <c r="M1173">
        <v>62414309</v>
      </c>
      <c r="P1173">
        <v>145</v>
      </c>
      <c r="Q1173" t="s">
        <v>2619</v>
      </c>
    </row>
    <row r="1174" spans="1:17" x14ac:dyDescent="0.3">
      <c r="A1174" t="s">
        <v>17</v>
      </c>
      <c r="B1174" t="str">
        <f>"603159"</f>
        <v>603159</v>
      </c>
      <c r="C1174" t="s">
        <v>2620</v>
      </c>
      <c r="D1174" t="s">
        <v>741</v>
      </c>
      <c r="F1174">
        <v>27618280</v>
      </c>
      <c r="G1174">
        <v>27388461</v>
      </c>
      <c r="H1174">
        <v>11704181</v>
      </c>
      <c r="I1174">
        <v>29791288</v>
      </c>
      <c r="J1174">
        <v>31988721</v>
      </c>
      <c r="K1174">
        <v>27248166</v>
      </c>
      <c r="L1174">
        <v>26120792</v>
      </c>
      <c r="P1174">
        <v>62</v>
      </c>
      <c r="Q1174" t="s">
        <v>2621</v>
      </c>
    </row>
    <row r="1175" spans="1:17" x14ac:dyDescent="0.3">
      <c r="A1175" t="s">
        <v>17</v>
      </c>
      <c r="B1175" t="str">
        <f>"603160"</f>
        <v>603160</v>
      </c>
      <c r="C1175" t="s">
        <v>2622</v>
      </c>
      <c r="D1175" t="s">
        <v>401</v>
      </c>
      <c r="F1175">
        <v>615440192</v>
      </c>
      <c r="G1175">
        <v>1100082610</v>
      </c>
      <c r="H1175">
        <v>1712310162</v>
      </c>
      <c r="I1175">
        <v>318734454</v>
      </c>
      <c r="J1175">
        <v>762631319</v>
      </c>
      <c r="K1175">
        <v>602259029</v>
      </c>
      <c r="L1175">
        <v>224513589</v>
      </c>
      <c r="P1175">
        <v>2243</v>
      </c>
      <c r="Q1175" t="s">
        <v>2623</v>
      </c>
    </row>
    <row r="1176" spans="1:17" x14ac:dyDescent="0.3">
      <c r="A1176" t="s">
        <v>17</v>
      </c>
      <c r="B1176" t="str">
        <f>"603161"</f>
        <v>603161</v>
      </c>
      <c r="C1176" t="s">
        <v>2624</v>
      </c>
      <c r="D1176" t="s">
        <v>348</v>
      </c>
      <c r="F1176">
        <v>37531454</v>
      </c>
      <c r="G1176">
        <v>-16560847</v>
      </c>
      <c r="H1176">
        <v>72899437</v>
      </c>
      <c r="I1176">
        <v>72698732</v>
      </c>
      <c r="J1176">
        <v>77598630</v>
      </c>
      <c r="K1176">
        <v>75269158</v>
      </c>
      <c r="P1176">
        <v>81</v>
      </c>
      <c r="Q1176" t="s">
        <v>2625</v>
      </c>
    </row>
    <row r="1177" spans="1:17" x14ac:dyDescent="0.3">
      <c r="A1177" t="s">
        <v>17</v>
      </c>
      <c r="B1177" t="str">
        <f>"603165"</f>
        <v>603165</v>
      </c>
      <c r="C1177" t="s">
        <v>2626</v>
      </c>
      <c r="D1177" t="s">
        <v>694</v>
      </c>
      <c r="F1177">
        <v>179204589</v>
      </c>
      <c r="G1177">
        <v>171780391</v>
      </c>
      <c r="H1177">
        <v>185469479</v>
      </c>
      <c r="I1177">
        <v>140757953</v>
      </c>
      <c r="J1177">
        <v>276255556</v>
      </c>
      <c r="K1177">
        <v>71918449</v>
      </c>
      <c r="L1177">
        <v>52362172</v>
      </c>
      <c r="P1177">
        <v>586</v>
      </c>
      <c r="Q1177" t="s">
        <v>2627</v>
      </c>
    </row>
    <row r="1178" spans="1:17" x14ac:dyDescent="0.3">
      <c r="A1178" t="s">
        <v>17</v>
      </c>
      <c r="B1178" t="str">
        <f>"603166"</f>
        <v>603166</v>
      </c>
      <c r="C1178" t="s">
        <v>2628</v>
      </c>
      <c r="D1178" t="s">
        <v>348</v>
      </c>
      <c r="F1178">
        <v>158840042</v>
      </c>
      <c r="G1178">
        <v>132115313</v>
      </c>
      <c r="H1178">
        <v>87267408</v>
      </c>
      <c r="I1178">
        <v>79885824</v>
      </c>
      <c r="J1178">
        <v>105741187</v>
      </c>
      <c r="K1178">
        <v>58701857</v>
      </c>
      <c r="L1178">
        <v>35412318</v>
      </c>
      <c r="M1178">
        <v>75616283</v>
      </c>
      <c r="N1178">
        <v>86152801</v>
      </c>
      <c r="P1178">
        <v>141</v>
      </c>
      <c r="Q1178" t="s">
        <v>2629</v>
      </c>
    </row>
    <row r="1179" spans="1:17" x14ac:dyDescent="0.3">
      <c r="A1179" t="s">
        <v>17</v>
      </c>
      <c r="B1179" t="str">
        <f>"603167"</f>
        <v>603167</v>
      </c>
      <c r="C1179" t="s">
        <v>2630</v>
      </c>
      <c r="D1179" t="s">
        <v>69</v>
      </c>
      <c r="F1179">
        <v>148160525</v>
      </c>
      <c r="G1179">
        <v>81795163</v>
      </c>
      <c r="H1179">
        <v>344309334</v>
      </c>
      <c r="I1179">
        <v>323634347</v>
      </c>
      <c r="J1179">
        <v>358267624</v>
      </c>
      <c r="K1179">
        <v>225484702</v>
      </c>
      <c r="L1179">
        <v>154280456</v>
      </c>
      <c r="M1179">
        <v>206215287</v>
      </c>
      <c r="N1179">
        <v>215105689</v>
      </c>
      <c r="O1179">
        <v>206947753</v>
      </c>
      <c r="P1179">
        <v>239</v>
      </c>
      <c r="Q1179" t="s">
        <v>2631</v>
      </c>
    </row>
    <row r="1180" spans="1:17" x14ac:dyDescent="0.3">
      <c r="A1180" t="s">
        <v>17</v>
      </c>
      <c r="B1180" t="str">
        <f>"603168"</f>
        <v>603168</v>
      </c>
      <c r="C1180" t="s">
        <v>2632</v>
      </c>
      <c r="D1180" t="s">
        <v>143</v>
      </c>
      <c r="F1180">
        <v>36146961</v>
      </c>
      <c r="G1180">
        <v>-28056471</v>
      </c>
      <c r="H1180">
        <v>39156182</v>
      </c>
      <c r="I1180">
        <v>77923969</v>
      </c>
      <c r="J1180">
        <v>139878945</v>
      </c>
      <c r="K1180">
        <v>207305883</v>
      </c>
      <c r="L1180">
        <v>127544745</v>
      </c>
      <c r="M1180">
        <v>99952927</v>
      </c>
      <c r="N1180">
        <v>72817990</v>
      </c>
      <c r="P1180">
        <v>528</v>
      </c>
      <c r="Q1180" t="s">
        <v>2633</v>
      </c>
    </row>
    <row r="1181" spans="1:17" x14ac:dyDescent="0.3">
      <c r="A1181" t="s">
        <v>17</v>
      </c>
      <c r="B1181" t="str">
        <f>"603169"</f>
        <v>603169</v>
      </c>
      <c r="C1181" t="s">
        <v>2634</v>
      </c>
      <c r="D1181" t="s">
        <v>395</v>
      </c>
      <c r="F1181">
        <v>98069003</v>
      </c>
      <c r="G1181">
        <v>-71141412</v>
      </c>
      <c r="H1181">
        <v>52843947</v>
      </c>
      <c r="I1181">
        <v>-160698074</v>
      </c>
      <c r="J1181">
        <v>15979577</v>
      </c>
      <c r="K1181">
        <v>24358294</v>
      </c>
      <c r="L1181">
        <v>662165060</v>
      </c>
      <c r="M1181">
        <v>47574759</v>
      </c>
      <c r="N1181">
        <v>32574733</v>
      </c>
      <c r="P1181">
        <v>81</v>
      </c>
      <c r="Q1181" t="s">
        <v>2635</v>
      </c>
    </row>
    <row r="1182" spans="1:17" x14ac:dyDescent="0.3">
      <c r="A1182" t="s">
        <v>17</v>
      </c>
      <c r="B1182" t="str">
        <f>"603171"</f>
        <v>603171</v>
      </c>
      <c r="C1182" t="s">
        <v>2636</v>
      </c>
      <c r="D1182" t="s">
        <v>316</v>
      </c>
      <c r="F1182">
        <v>118795881</v>
      </c>
      <c r="P1182">
        <v>54</v>
      </c>
      <c r="Q1182" t="s">
        <v>2637</v>
      </c>
    </row>
    <row r="1183" spans="1:17" x14ac:dyDescent="0.3">
      <c r="A1183" t="s">
        <v>17</v>
      </c>
      <c r="B1183" t="str">
        <f>"603176"</f>
        <v>603176</v>
      </c>
      <c r="C1183" t="s">
        <v>2638</v>
      </c>
      <c r="D1183" t="s">
        <v>101</v>
      </c>
      <c r="F1183">
        <v>73010321</v>
      </c>
      <c r="P1183">
        <v>17</v>
      </c>
      <c r="Q1183" t="s">
        <v>2639</v>
      </c>
    </row>
    <row r="1184" spans="1:17" x14ac:dyDescent="0.3">
      <c r="A1184" t="s">
        <v>17</v>
      </c>
      <c r="B1184" t="str">
        <f>"603177"</f>
        <v>603177</v>
      </c>
      <c r="C1184" t="s">
        <v>2640</v>
      </c>
      <c r="D1184" t="s">
        <v>663</v>
      </c>
      <c r="F1184">
        <v>-13472415</v>
      </c>
      <c r="G1184">
        <v>-40915114</v>
      </c>
      <c r="H1184">
        <v>-9649417</v>
      </c>
      <c r="I1184">
        <v>2070956</v>
      </c>
      <c r="J1184">
        <v>22938003</v>
      </c>
      <c r="K1184">
        <v>31067527</v>
      </c>
      <c r="P1184">
        <v>68</v>
      </c>
      <c r="Q1184" t="s">
        <v>2641</v>
      </c>
    </row>
    <row r="1185" spans="1:17" x14ac:dyDescent="0.3">
      <c r="A1185" t="s">
        <v>17</v>
      </c>
      <c r="B1185" t="str">
        <f>"603178"</f>
        <v>603178</v>
      </c>
      <c r="C1185" t="s">
        <v>2642</v>
      </c>
      <c r="D1185" t="s">
        <v>348</v>
      </c>
      <c r="F1185">
        <v>80470414</v>
      </c>
      <c r="G1185">
        <v>38443322</v>
      </c>
      <c r="H1185">
        <v>-95992274</v>
      </c>
      <c r="I1185">
        <v>43277191</v>
      </c>
      <c r="J1185">
        <v>63067742</v>
      </c>
      <c r="K1185">
        <v>46907645</v>
      </c>
      <c r="P1185">
        <v>80</v>
      </c>
      <c r="Q1185" t="s">
        <v>2643</v>
      </c>
    </row>
    <row r="1186" spans="1:17" x14ac:dyDescent="0.3">
      <c r="A1186" t="s">
        <v>17</v>
      </c>
      <c r="B1186" t="str">
        <f>"603179"</f>
        <v>603179</v>
      </c>
      <c r="C1186" t="s">
        <v>2644</v>
      </c>
      <c r="D1186" t="s">
        <v>1415</v>
      </c>
      <c r="F1186">
        <v>220439269</v>
      </c>
      <c r="G1186">
        <v>168646556</v>
      </c>
      <c r="H1186">
        <v>130666725</v>
      </c>
      <c r="I1186">
        <v>227992363</v>
      </c>
      <c r="J1186">
        <v>169794688</v>
      </c>
      <c r="K1186">
        <v>71563937</v>
      </c>
      <c r="P1186">
        <v>302</v>
      </c>
      <c r="Q1186" t="s">
        <v>2645</v>
      </c>
    </row>
    <row r="1187" spans="1:17" x14ac:dyDescent="0.3">
      <c r="A1187" t="s">
        <v>17</v>
      </c>
      <c r="B1187" t="str">
        <f>"603180"</f>
        <v>603180</v>
      </c>
      <c r="C1187" t="s">
        <v>2646</v>
      </c>
      <c r="D1187" t="s">
        <v>2647</v>
      </c>
      <c r="F1187">
        <v>158109499</v>
      </c>
      <c r="G1187">
        <v>148621598</v>
      </c>
      <c r="H1187">
        <v>132002780</v>
      </c>
      <c r="I1187">
        <v>119159284</v>
      </c>
      <c r="J1187">
        <v>90592614</v>
      </c>
      <c r="K1187">
        <v>40167064</v>
      </c>
      <c r="P1187">
        <v>1304</v>
      </c>
      <c r="Q1187" t="s">
        <v>2648</v>
      </c>
    </row>
    <row r="1188" spans="1:17" x14ac:dyDescent="0.3">
      <c r="A1188" t="s">
        <v>17</v>
      </c>
      <c r="B1188" t="str">
        <f>"603181"</f>
        <v>603181</v>
      </c>
      <c r="C1188" t="s">
        <v>2649</v>
      </c>
      <c r="D1188" t="s">
        <v>1192</v>
      </c>
      <c r="F1188">
        <v>365798373</v>
      </c>
      <c r="G1188">
        <v>236852181</v>
      </c>
      <c r="H1188">
        <v>183648761</v>
      </c>
      <c r="I1188">
        <v>135816711</v>
      </c>
      <c r="J1188">
        <v>98230847</v>
      </c>
      <c r="K1188">
        <v>84880117</v>
      </c>
      <c r="P1188">
        <v>160</v>
      </c>
      <c r="Q1188" t="s">
        <v>2650</v>
      </c>
    </row>
    <row r="1189" spans="1:17" x14ac:dyDescent="0.3">
      <c r="A1189" t="s">
        <v>17</v>
      </c>
      <c r="B1189" t="str">
        <f>"603183"</f>
        <v>603183</v>
      </c>
      <c r="C1189" t="s">
        <v>2651</v>
      </c>
      <c r="D1189" t="s">
        <v>2499</v>
      </c>
      <c r="F1189">
        <v>60513899</v>
      </c>
      <c r="G1189">
        <v>52447949</v>
      </c>
      <c r="H1189">
        <v>35997777</v>
      </c>
      <c r="I1189">
        <v>35432503</v>
      </c>
      <c r="J1189">
        <v>33381772</v>
      </c>
      <c r="K1189">
        <v>36035529</v>
      </c>
      <c r="P1189">
        <v>92</v>
      </c>
      <c r="Q1189" t="s">
        <v>2652</v>
      </c>
    </row>
    <row r="1190" spans="1:17" x14ac:dyDescent="0.3">
      <c r="A1190" t="s">
        <v>17</v>
      </c>
      <c r="B1190" t="str">
        <f>"603185"</f>
        <v>603185</v>
      </c>
      <c r="C1190" t="s">
        <v>2653</v>
      </c>
      <c r="D1190" t="s">
        <v>2654</v>
      </c>
      <c r="F1190">
        <v>1405282269</v>
      </c>
      <c r="G1190">
        <v>342517472</v>
      </c>
      <c r="H1190">
        <v>151855351</v>
      </c>
      <c r="I1190">
        <v>173115314</v>
      </c>
      <c r="J1190">
        <v>90649573</v>
      </c>
      <c r="P1190">
        <v>516</v>
      </c>
      <c r="Q1190" t="s">
        <v>2655</v>
      </c>
    </row>
    <row r="1191" spans="1:17" x14ac:dyDescent="0.3">
      <c r="A1191" t="s">
        <v>17</v>
      </c>
      <c r="B1191" t="str">
        <f>"603186"</f>
        <v>603186</v>
      </c>
      <c r="C1191" t="s">
        <v>2656</v>
      </c>
      <c r="D1191" t="s">
        <v>425</v>
      </c>
      <c r="F1191">
        <v>216785014</v>
      </c>
      <c r="G1191">
        <v>92941294</v>
      </c>
      <c r="H1191">
        <v>78204554</v>
      </c>
      <c r="I1191">
        <v>57845584</v>
      </c>
      <c r="J1191">
        <v>70275202</v>
      </c>
      <c r="K1191">
        <v>68063100</v>
      </c>
      <c r="L1191">
        <v>31699100</v>
      </c>
      <c r="P1191">
        <v>328</v>
      </c>
      <c r="Q1191" t="s">
        <v>2657</v>
      </c>
    </row>
    <row r="1192" spans="1:17" x14ac:dyDescent="0.3">
      <c r="A1192" t="s">
        <v>17</v>
      </c>
      <c r="B1192" t="str">
        <f>"603187"</f>
        <v>603187</v>
      </c>
      <c r="C1192" t="s">
        <v>2658</v>
      </c>
      <c r="D1192" t="s">
        <v>988</v>
      </c>
      <c r="F1192">
        <v>194041945</v>
      </c>
      <c r="G1192">
        <v>215783313</v>
      </c>
      <c r="H1192">
        <v>179671280</v>
      </c>
      <c r="I1192">
        <v>123753581</v>
      </c>
      <c r="J1192">
        <v>99294283</v>
      </c>
      <c r="P1192">
        <v>704</v>
      </c>
      <c r="Q1192" t="s">
        <v>2659</v>
      </c>
    </row>
    <row r="1193" spans="1:17" x14ac:dyDescent="0.3">
      <c r="A1193" t="s">
        <v>17</v>
      </c>
      <c r="B1193" t="str">
        <f>"603188"</f>
        <v>603188</v>
      </c>
      <c r="C1193" t="s">
        <v>2660</v>
      </c>
      <c r="D1193" t="s">
        <v>779</v>
      </c>
      <c r="F1193">
        <v>-129312821</v>
      </c>
      <c r="G1193">
        <v>-251306114</v>
      </c>
      <c r="H1193">
        <v>16717111</v>
      </c>
      <c r="I1193">
        <v>274103807</v>
      </c>
      <c r="J1193">
        <v>452746586</v>
      </c>
      <c r="K1193">
        <v>505693719</v>
      </c>
      <c r="L1193">
        <v>538931739</v>
      </c>
      <c r="M1193">
        <v>515118518</v>
      </c>
      <c r="N1193">
        <v>174779730</v>
      </c>
      <c r="P1193">
        <v>205</v>
      </c>
      <c r="Q1193" t="s">
        <v>2661</v>
      </c>
    </row>
    <row r="1194" spans="1:17" x14ac:dyDescent="0.3">
      <c r="A1194" t="s">
        <v>17</v>
      </c>
      <c r="B1194" t="str">
        <f>"603189"</f>
        <v>603189</v>
      </c>
      <c r="C1194" t="s">
        <v>2662</v>
      </c>
      <c r="D1194" t="s">
        <v>945</v>
      </c>
      <c r="F1194">
        <v>56431866</v>
      </c>
      <c r="G1194">
        <v>48361847</v>
      </c>
      <c r="H1194">
        <v>25023365</v>
      </c>
      <c r="I1194">
        <v>7138802</v>
      </c>
      <c r="J1194">
        <v>20312859</v>
      </c>
      <c r="K1194">
        <v>19965066</v>
      </c>
      <c r="L1194">
        <v>17000043</v>
      </c>
      <c r="P1194">
        <v>166</v>
      </c>
      <c r="Q1194" t="s">
        <v>2663</v>
      </c>
    </row>
    <row r="1195" spans="1:17" x14ac:dyDescent="0.3">
      <c r="A1195" t="s">
        <v>17</v>
      </c>
      <c r="B1195" t="str">
        <f>"603192"</f>
        <v>603192</v>
      </c>
      <c r="C1195" t="s">
        <v>2664</v>
      </c>
      <c r="D1195" t="s">
        <v>528</v>
      </c>
      <c r="F1195">
        <v>90425453</v>
      </c>
      <c r="G1195">
        <v>70261139</v>
      </c>
      <c r="H1195">
        <v>101690117</v>
      </c>
      <c r="I1195">
        <v>91383696</v>
      </c>
      <c r="J1195">
        <v>85869007</v>
      </c>
      <c r="P1195">
        <v>82</v>
      </c>
      <c r="Q1195" t="s">
        <v>2665</v>
      </c>
    </row>
    <row r="1196" spans="1:17" x14ac:dyDescent="0.3">
      <c r="A1196" t="s">
        <v>17</v>
      </c>
      <c r="B1196" t="str">
        <f>"603195"</f>
        <v>603195</v>
      </c>
      <c r="C1196" t="s">
        <v>2666</v>
      </c>
      <c r="D1196" t="s">
        <v>2436</v>
      </c>
      <c r="F1196">
        <v>2206300342</v>
      </c>
      <c r="G1196">
        <v>1598945584</v>
      </c>
      <c r="H1196">
        <v>1752633939</v>
      </c>
      <c r="I1196">
        <v>1105538892</v>
      </c>
      <c r="P1196">
        <v>1473</v>
      </c>
      <c r="Q1196" t="s">
        <v>2667</v>
      </c>
    </row>
    <row r="1197" spans="1:17" x14ac:dyDescent="0.3">
      <c r="A1197" t="s">
        <v>17</v>
      </c>
      <c r="B1197" t="str">
        <f>"603196"</f>
        <v>603196</v>
      </c>
      <c r="C1197" t="s">
        <v>2668</v>
      </c>
      <c r="D1197" t="s">
        <v>255</v>
      </c>
      <c r="F1197">
        <v>59641178</v>
      </c>
      <c r="G1197">
        <v>-74896891</v>
      </c>
      <c r="H1197">
        <v>-775340</v>
      </c>
      <c r="I1197">
        <v>20901083</v>
      </c>
      <c r="J1197">
        <v>45083974</v>
      </c>
      <c r="K1197">
        <v>33286880</v>
      </c>
      <c r="P1197">
        <v>70</v>
      </c>
      <c r="Q1197" t="s">
        <v>2669</v>
      </c>
    </row>
    <row r="1198" spans="1:17" x14ac:dyDescent="0.3">
      <c r="A1198" t="s">
        <v>17</v>
      </c>
      <c r="B1198" t="str">
        <f>"603197"</f>
        <v>603197</v>
      </c>
      <c r="C1198" t="s">
        <v>2670</v>
      </c>
      <c r="D1198" t="s">
        <v>985</v>
      </c>
      <c r="F1198">
        <v>224114982</v>
      </c>
      <c r="G1198">
        <v>140368566</v>
      </c>
      <c r="H1198">
        <v>120833562</v>
      </c>
      <c r="I1198">
        <v>122847499</v>
      </c>
      <c r="J1198">
        <v>144567796</v>
      </c>
      <c r="K1198">
        <v>104660403</v>
      </c>
      <c r="P1198">
        <v>357</v>
      </c>
      <c r="Q1198" t="s">
        <v>2671</v>
      </c>
    </row>
    <row r="1199" spans="1:17" x14ac:dyDescent="0.3">
      <c r="A1199" t="s">
        <v>17</v>
      </c>
      <c r="B1199" t="str">
        <f>"603198"</f>
        <v>603198</v>
      </c>
      <c r="C1199" t="s">
        <v>2672</v>
      </c>
      <c r="D1199" t="s">
        <v>458</v>
      </c>
      <c r="F1199">
        <v>961930972</v>
      </c>
      <c r="G1199">
        <v>531913598</v>
      </c>
      <c r="H1199">
        <v>600440295</v>
      </c>
      <c r="I1199">
        <v>498093446</v>
      </c>
      <c r="J1199">
        <v>427766224</v>
      </c>
      <c r="K1199">
        <v>473583452</v>
      </c>
      <c r="L1199">
        <v>390270159</v>
      </c>
      <c r="M1199">
        <v>345210212</v>
      </c>
      <c r="P1199">
        <v>5967</v>
      </c>
      <c r="Q1199" t="s">
        <v>2673</v>
      </c>
    </row>
    <row r="1200" spans="1:17" x14ac:dyDescent="0.3">
      <c r="A1200" t="s">
        <v>17</v>
      </c>
      <c r="B1200" t="str">
        <f>"603199"</f>
        <v>603199</v>
      </c>
      <c r="C1200" t="s">
        <v>2674</v>
      </c>
      <c r="D1200" t="s">
        <v>119</v>
      </c>
      <c r="F1200">
        <v>50401815</v>
      </c>
      <c r="G1200">
        <v>12481070</v>
      </c>
      <c r="H1200">
        <v>107216804</v>
      </c>
      <c r="I1200">
        <v>80252248</v>
      </c>
      <c r="J1200">
        <v>76933224</v>
      </c>
      <c r="K1200">
        <v>65902004</v>
      </c>
      <c r="L1200">
        <v>60375926</v>
      </c>
      <c r="M1200">
        <v>52781030</v>
      </c>
      <c r="P1200">
        <v>144</v>
      </c>
      <c r="Q1200" t="s">
        <v>2675</v>
      </c>
    </row>
    <row r="1201" spans="1:17" x14ac:dyDescent="0.3">
      <c r="A1201" t="s">
        <v>17</v>
      </c>
      <c r="B1201" t="str">
        <f>"603200"</f>
        <v>603200</v>
      </c>
      <c r="C1201" t="s">
        <v>2676</v>
      </c>
      <c r="D1201" t="s">
        <v>33</v>
      </c>
      <c r="F1201">
        <v>33678616</v>
      </c>
      <c r="G1201">
        <v>50612024</v>
      </c>
      <c r="H1201">
        <v>52070136</v>
      </c>
      <c r="I1201">
        <v>59265823</v>
      </c>
      <c r="J1201">
        <v>45675205</v>
      </c>
      <c r="K1201">
        <v>42816059</v>
      </c>
      <c r="P1201">
        <v>101</v>
      </c>
      <c r="Q1201" t="s">
        <v>2677</v>
      </c>
    </row>
    <row r="1202" spans="1:17" x14ac:dyDescent="0.3">
      <c r="A1202" t="s">
        <v>17</v>
      </c>
      <c r="B1202" t="str">
        <f>"603203"</f>
        <v>603203</v>
      </c>
      <c r="C1202" t="s">
        <v>2678</v>
      </c>
      <c r="D1202" t="s">
        <v>2423</v>
      </c>
      <c r="F1202">
        <v>220452878</v>
      </c>
      <c r="G1202">
        <v>129575766</v>
      </c>
      <c r="H1202">
        <v>124939881</v>
      </c>
      <c r="I1202">
        <v>112491757</v>
      </c>
      <c r="J1202">
        <v>93855169</v>
      </c>
      <c r="K1202">
        <v>68877351</v>
      </c>
      <c r="L1202">
        <v>58471056</v>
      </c>
      <c r="P1202">
        <v>2649</v>
      </c>
      <c r="Q1202" t="s">
        <v>2679</v>
      </c>
    </row>
    <row r="1203" spans="1:17" x14ac:dyDescent="0.3">
      <c r="A1203" t="s">
        <v>17</v>
      </c>
      <c r="B1203" t="str">
        <f>"603208"</f>
        <v>603208</v>
      </c>
      <c r="C1203" t="s">
        <v>2680</v>
      </c>
      <c r="D1203" t="s">
        <v>2647</v>
      </c>
      <c r="F1203">
        <v>290946365</v>
      </c>
      <c r="G1203">
        <v>312352126</v>
      </c>
      <c r="H1203">
        <v>179753528</v>
      </c>
      <c r="I1203">
        <v>107879205</v>
      </c>
      <c r="J1203">
        <v>88991236</v>
      </c>
      <c r="K1203">
        <v>84113161</v>
      </c>
      <c r="L1203">
        <v>80267565</v>
      </c>
      <c r="P1203">
        <v>493</v>
      </c>
      <c r="Q1203" t="s">
        <v>2681</v>
      </c>
    </row>
    <row r="1204" spans="1:17" x14ac:dyDescent="0.3">
      <c r="A1204" t="s">
        <v>17</v>
      </c>
      <c r="B1204" t="str">
        <f>"603212"</f>
        <v>603212</v>
      </c>
      <c r="C1204" t="s">
        <v>2682</v>
      </c>
      <c r="D1204" t="s">
        <v>478</v>
      </c>
      <c r="F1204">
        <v>121663057</v>
      </c>
      <c r="G1204">
        <v>122971854</v>
      </c>
      <c r="H1204">
        <v>139019254</v>
      </c>
      <c r="P1204">
        <v>129</v>
      </c>
      <c r="Q1204" t="s">
        <v>2683</v>
      </c>
    </row>
    <row r="1205" spans="1:17" x14ac:dyDescent="0.3">
      <c r="A1205" t="s">
        <v>17</v>
      </c>
      <c r="B1205" t="str">
        <f>"603213"</f>
        <v>603213</v>
      </c>
      <c r="C1205" t="s">
        <v>2684</v>
      </c>
      <c r="D1205" t="s">
        <v>175</v>
      </c>
      <c r="F1205">
        <v>255384191</v>
      </c>
      <c r="G1205">
        <v>62533571</v>
      </c>
      <c r="P1205">
        <v>32</v>
      </c>
      <c r="Q1205" t="s">
        <v>2685</v>
      </c>
    </row>
    <row r="1206" spans="1:17" x14ac:dyDescent="0.3">
      <c r="A1206" t="s">
        <v>17</v>
      </c>
      <c r="B1206" t="str">
        <f>"603214"</f>
        <v>603214</v>
      </c>
      <c r="C1206" t="s">
        <v>2686</v>
      </c>
      <c r="D1206" t="s">
        <v>295</v>
      </c>
      <c r="F1206">
        <v>33649075</v>
      </c>
      <c r="G1206">
        <v>64111260</v>
      </c>
      <c r="H1206">
        <v>87265904</v>
      </c>
      <c r="I1206">
        <v>65639396</v>
      </c>
      <c r="J1206">
        <v>47587146</v>
      </c>
      <c r="P1206">
        <v>290</v>
      </c>
      <c r="Q1206" t="s">
        <v>2687</v>
      </c>
    </row>
    <row r="1207" spans="1:17" x14ac:dyDescent="0.3">
      <c r="A1207" t="s">
        <v>17</v>
      </c>
      <c r="B1207" t="str">
        <f>"603215"</f>
        <v>603215</v>
      </c>
      <c r="C1207" t="s">
        <v>2688</v>
      </c>
      <c r="F1207">
        <v>86900985</v>
      </c>
      <c r="G1207">
        <v>70856477</v>
      </c>
      <c r="P1207">
        <v>13</v>
      </c>
      <c r="Q1207" t="s">
        <v>2689</v>
      </c>
    </row>
    <row r="1208" spans="1:17" x14ac:dyDescent="0.3">
      <c r="A1208" t="s">
        <v>17</v>
      </c>
      <c r="B1208" t="str">
        <f>"603216"</f>
        <v>603216</v>
      </c>
      <c r="C1208" t="s">
        <v>2690</v>
      </c>
      <c r="D1208" t="s">
        <v>2647</v>
      </c>
      <c r="F1208">
        <v>105547173</v>
      </c>
      <c r="P1208">
        <v>22</v>
      </c>
      <c r="Q1208" t="s">
        <v>2691</v>
      </c>
    </row>
    <row r="1209" spans="1:17" x14ac:dyDescent="0.3">
      <c r="A1209" t="s">
        <v>17</v>
      </c>
      <c r="B1209" t="str">
        <f>"603217"</f>
        <v>603217</v>
      </c>
      <c r="C1209" t="s">
        <v>2692</v>
      </c>
      <c r="D1209" t="s">
        <v>386</v>
      </c>
      <c r="F1209">
        <v>274777823</v>
      </c>
      <c r="G1209">
        <v>111228100</v>
      </c>
      <c r="H1209">
        <v>122212789</v>
      </c>
      <c r="I1209">
        <v>201737203</v>
      </c>
      <c r="P1209">
        <v>71</v>
      </c>
      <c r="Q1209" t="s">
        <v>2693</v>
      </c>
    </row>
    <row r="1210" spans="1:17" x14ac:dyDescent="0.3">
      <c r="A1210" t="s">
        <v>17</v>
      </c>
      <c r="B1210" t="str">
        <f>"603218"</f>
        <v>603218</v>
      </c>
      <c r="C1210" t="s">
        <v>2694</v>
      </c>
      <c r="D1210" t="s">
        <v>950</v>
      </c>
      <c r="F1210">
        <v>570630329</v>
      </c>
      <c r="G1210">
        <v>701699425</v>
      </c>
      <c r="H1210">
        <v>344544672</v>
      </c>
      <c r="I1210">
        <v>199126581</v>
      </c>
      <c r="J1210">
        <v>182495470</v>
      </c>
      <c r="K1210">
        <v>242297400</v>
      </c>
      <c r="L1210">
        <v>292771300</v>
      </c>
      <c r="P1210">
        <v>566</v>
      </c>
      <c r="Q1210" t="s">
        <v>2695</v>
      </c>
    </row>
    <row r="1211" spans="1:17" x14ac:dyDescent="0.3">
      <c r="A1211" t="s">
        <v>17</v>
      </c>
      <c r="B1211" t="str">
        <f>"603219"</f>
        <v>603219</v>
      </c>
      <c r="C1211" t="s">
        <v>2696</v>
      </c>
      <c r="D1211" t="s">
        <v>2697</v>
      </c>
      <c r="F1211">
        <v>197227306</v>
      </c>
      <c r="G1211">
        <v>110550829</v>
      </c>
      <c r="P1211">
        <v>23</v>
      </c>
      <c r="Q1211" t="s">
        <v>2698</v>
      </c>
    </row>
    <row r="1212" spans="1:17" x14ac:dyDescent="0.3">
      <c r="A1212" t="s">
        <v>17</v>
      </c>
      <c r="B1212" t="str">
        <f>"603220"</f>
        <v>603220</v>
      </c>
      <c r="C1212" t="s">
        <v>2699</v>
      </c>
      <c r="D1212" t="s">
        <v>654</v>
      </c>
      <c r="F1212">
        <v>100645569</v>
      </c>
      <c r="G1212">
        <v>20350050</v>
      </c>
      <c r="H1212">
        <v>77182822</v>
      </c>
      <c r="I1212">
        <v>71805031</v>
      </c>
      <c r="J1212">
        <v>8982381</v>
      </c>
      <c r="P1212">
        <v>146</v>
      </c>
      <c r="Q1212" t="s">
        <v>2700</v>
      </c>
    </row>
    <row r="1213" spans="1:17" x14ac:dyDescent="0.3">
      <c r="A1213" t="s">
        <v>17</v>
      </c>
      <c r="B1213" t="str">
        <f>"603221"</f>
        <v>603221</v>
      </c>
      <c r="C1213" t="s">
        <v>2701</v>
      </c>
      <c r="D1213" t="s">
        <v>178</v>
      </c>
      <c r="F1213">
        <v>4026715</v>
      </c>
      <c r="G1213">
        <v>61865475</v>
      </c>
      <c r="H1213">
        <v>105545862</v>
      </c>
      <c r="P1213">
        <v>79</v>
      </c>
      <c r="Q1213" t="s">
        <v>2702</v>
      </c>
    </row>
    <row r="1214" spans="1:17" x14ac:dyDescent="0.3">
      <c r="A1214" t="s">
        <v>17</v>
      </c>
      <c r="B1214" t="str">
        <f>"603222"</f>
        <v>603222</v>
      </c>
      <c r="C1214" t="s">
        <v>2703</v>
      </c>
      <c r="D1214" t="s">
        <v>1077</v>
      </c>
      <c r="F1214">
        <v>145054130</v>
      </c>
      <c r="G1214">
        <v>34837663</v>
      </c>
      <c r="H1214">
        <v>41278440</v>
      </c>
      <c r="I1214">
        <v>36912156</v>
      </c>
      <c r="J1214">
        <v>39951864</v>
      </c>
      <c r="K1214">
        <v>25529031</v>
      </c>
      <c r="L1214">
        <v>39090683</v>
      </c>
      <c r="M1214">
        <v>43678495</v>
      </c>
      <c r="P1214">
        <v>171</v>
      </c>
      <c r="Q1214" t="s">
        <v>2704</v>
      </c>
    </row>
    <row r="1215" spans="1:17" x14ac:dyDescent="0.3">
      <c r="A1215" t="s">
        <v>17</v>
      </c>
      <c r="B1215" t="str">
        <f>"603223"</f>
        <v>603223</v>
      </c>
      <c r="C1215" t="s">
        <v>2705</v>
      </c>
      <c r="D1215" t="s">
        <v>2492</v>
      </c>
      <c r="F1215">
        <v>72100862</v>
      </c>
      <c r="G1215">
        <v>66065690</v>
      </c>
      <c r="H1215">
        <v>1034447</v>
      </c>
      <c r="I1215">
        <v>53028996</v>
      </c>
      <c r="J1215">
        <v>38845084</v>
      </c>
      <c r="K1215">
        <v>44664434</v>
      </c>
      <c r="L1215">
        <v>23596822</v>
      </c>
      <c r="M1215">
        <v>34206984</v>
      </c>
      <c r="P1215">
        <v>98</v>
      </c>
      <c r="Q1215" t="s">
        <v>2706</v>
      </c>
    </row>
    <row r="1216" spans="1:17" x14ac:dyDescent="0.3">
      <c r="A1216" t="s">
        <v>17</v>
      </c>
      <c r="B1216" t="str">
        <f>"603225"</f>
        <v>603225</v>
      </c>
      <c r="C1216" t="s">
        <v>2707</v>
      </c>
      <c r="D1216" t="s">
        <v>2708</v>
      </c>
      <c r="F1216">
        <v>1934321436</v>
      </c>
      <c r="G1216">
        <v>259695959</v>
      </c>
      <c r="H1216">
        <v>1105531060</v>
      </c>
      <c r="I1216">
        <v>1455863477</v>
      </c>
      <c r="J1216">
        <v>931667573</v>
      </c>
      <c r="K1216">
        <v>333800154</v>
      </c>
      <c r="P1216">
        <v>388</v>
      </c>
      <c r="Q1216" t="s">
        <v>2709</v>
      </c>
    </row>
    <row r="1217" spans="1:17" x14ac:dyDescent="0.3">
      <c r="A1217" t="s">
        <v>17</v>
      </c>
      <c r="B1217" t="str">
        <f>"603226"</f>
        <v>603226</v>
      </c>
      <c r="C1217" t="s">
        <v>2710</v>
      </c>
      <c r="D1217" t="s">
        <v>178</v>
      </c>
      <c r="F1217">
        <v>45510651</v>
      </c>
      <c r="G1217">
        <v>31262857</v>
      </c>
      <c r="H1217">
        <v>80028822</v>
      </c>
      <c r="I1217">
        <v>77957095</v>
      </c>
      <c r="J1217">
        <v>61381706</v>
      </c>
      <c r="K1217">
        <v>53192413</v>
      </c>
      <c r="P1217">
        <v>113</v>
      </c>
      <c r="Q1217" t="s">
        <v>2711</v>
      </c>
    </row>
    <row r="1218" spans="1:17" x14ac:dyDescent="0.3">
      <c r="A1218" t="s">
        <v>17</v>
      </c>
      <c r="B1218" t="str">
        <f>"603227"</f>
        <v>603227</v>
      </c>
      <c r="C1218" t="s">
        <v>2712</v>
      </c>
      <c r="D1218" t="s">
        <v>2713</v>
      </c>
      <c r="F1218">
        <v>118777058</v>
      </c>
      <c r="G1218">
        <v>90767350</v>
      </c>
      <c r="H1218">
        <v>88916544</v>
      </c>
      <c r="I1218">
        <v>42945363</v>
      </c>
      <c r="J1218">
        <v>29048126</v>
      </c>
      <c r="K1218">
        <v>1327141</v>
      </c>
      <c r="L1218">
        <v>98721308</v>
      </c>
      <c r="M1218">
        <v>66161459</v>
      </c>
      <c r="P1218">
        <v>80</v>
      </c>
      <c r="Q1218" t="s">
        <v>2714</v>
      </c>
    </row>
    <row r="1219" spans="1:17" x14ac:dyDescent="0.3">
      <c r="A1219" t="s">
        <v>17</v>
      </c>
      <c r="B1219" t="str">
        <f>"603228"</f>
        <v>603228</v>
      </c>
      <c r="C1219" t="s">
        <v>2715</v>
      </c>
      <c r="D1219" t="s">
        <v>425</v>
      </c>
      <c r="F1219">
        <v>709086843</v>
      </c>
      <c r="G1219">
        <v>684592523</v>
      </c>
      <c r="H1219">
        <v>630894940</v>
      </c>
      <c r="I1219">
        <v>628689343</v>
      </c>
      <c r="J1219">
        <v>516529497</v>
      </c>
      <c r="K1219">
        <v>409656175</v>
      </c>
      <c r="L1219">
        <v>323415930</v>
      </c>
      <c r="P1219">
        <v>1624</v>
      </c>
      <c r="Q1219" t="s">
        <v>2716</v>
      </c>
    </row>
    <row r="1220" spans="1:17" x14ac:dyDescent="0.3">
      <c r="A1220" t="s">
        <v>17</v>
      </c>
      <c r="B1220" t="str">
        <f>"603229"</f>
        <v>603229</v>
      </c>
      <c r="C1220" t="s">
        <v>2717</v>
      </c>
      <c r="D1220" t="s">
        <v>496</v>
      </c>
      <c r="F1220">
        <v>110313425</v>
      </c>
      <c r="G1220">
        <v>66188985</v>
      </c>
      <c r="H1220">
        <v>50280566</v>
      </c>
      <c r="I1220">
        <v>32339826</v>
      </c>
      <c r="J1220">
        <v>31640325</v>
      </c>
      <c r="K1220">
        <v>33729223</v>
      </c>
      <c r="P1220">
        <v>164</v>
      </c>
      <c r="Q1220" t="s">
        <v>2718</v>
      </c>
    </row>
    <row r="1221" spans="1:17" x14ac:dyDescent="0.3">
      <c r="A1221" t="s">
        <v>17</v>
      </c>
      <c r="B1221" t="str">
        <f>"603230"</f>
        <v>603230</v>
      </c>
      <c r="C1221" t="s">
        <v>2719</v>
      </c>
      <c r="D1221" t="s">
        <v>1536</v>
      </c>
      <c r="F1221">
        <v>267637733</v>
      </c>
      <c r="G1221">
        <v>250190200</v>
      </c>
      <c r="P1221">
        <v>17</v>
      </c>
      <c r="Q1221" t="s">
        <v>2720</v>
      </c>
    </row>
    <row r="1222" spans="1:17" x14ac:dyDescent="0.3">
      <c r="A1222" t="s">
        <v>17</v>
      </c>
      <c r="B1222" t="str">
        <f>"603232"</f>
        <v>603232</v>
      </c>
      <c r="C1222" t="s">
        <v>2721</v>
      </c>
      <c r="D1222" t="s">
        <v>945</v>
      </c>
      <c r="F1222">
        <v>-22849914</v>
      </c>
      <c r="G1222">
        <v>-33739792</v>
      </c>
      <c r="H1222">
        <v>-5509298</v>
      </c>
      <c r="I1222">
        <v>11239203</v>
      </c>
      <c r="J1222">
        <v>10707355</v>
      </c>
      <c r="K1222">
        <v>3048841</v>
      </c>
      <c r="P1222">
        <v>159</v>
      </c>
      <c r="Q1222" t="s">
        <v>2722</v>
      </c>
    </row>
    <row r="1223" spans="1:17" x14ac:dyDescent="0.3">
      <c r="A1223" t="s">
        <v>17</v>
      </c>
      <c r="B1223" t="str">
        <f>"603233"</f>
        <v>603233</v>
      </c>
      <c r="C1223" t="s">
        <v>2723</v>
      </c>
      <c r="D1223" t="s">
        <v>1684</v>
      </c>
      <c r="F1223">
        <v>818331157</v>
      </c>
      <c r="G1223">
        <v>867055229</v>
      </c>
      <c r="H1223">
        <v>556174044</v>
      </c>
      <c r="I1223">
        <v>413990938</v>
      </c>
      <c r="J1223">
        <v>366703867</v>
      </c>
      <c r="K1223">
        <v>334930130</v>
      </c>
      <c r="P1223">
        <v>1786</v>
      </c>
      <c r="Q1223" t="s">
        <v>2724</v>
      </c>
    </row>
    <row r="1224" spans="1:17" x14ac:dyDescent="0.3">
      <c r="A1224" t="s">
        <v>17</v>
      </c>
      <c r="B1224" t="str">
        <f>"603236"</f>
        <v>603236</v>
      </c>
      <c r="C1224" t="s">
        <v>2725</v>
      </c>
      <c r="D1224" t="s">
        <v>786</v>
      </c>
      <c r="F1224">
        <v>236915335</v>
      </c>
      <c r="G1224">
        <v>125002494</v>
      </c>
      <c r="H1224">
        <v>93398167</v>
      </c>
      <c r="I1224">
        <v>110300005</v>
      </c>
      <c r="P1224">
        <v>589</v>
      </c>
      <c r="Q1224" t="s">
        <v>2726</v>
      </c>
    </row>
    <row r="1225" spans="1:17" x14ac:dyDescent="0.3">
      <c r="A1225" t="s">
        <v>17</v>
      </c>
      <c r="B1225" t="str">
        <f>"603238"</f>
        <v>603238</v>
      </c>
      <c r="C1225" t="s">
        <v>2727</v>
      </c>
      <c r="D1225" t="s">
        <v>2728</v>
      </c>
      <c r="F1225">
        <v>96911956</v>
      </c>
      <c r="G1225">
        <v>215192052</v>
      </c>
      <c r="H1225">
        <v>67507980</v>
      </c>
      <c r="I1225">
        <v>41539431</v>
      </c>
      <c r="J1225">
        <v>35720046</v>
      </c>
      <c r="K1225">
        <v>46069800</v>
      </c>
      <c r="L1225">
        <v>52504100</v>
      </c>
      <c r="P1225">
        <v>240</v>
      </c>
      <c r="Q1225" t="s">
        <v>2729</v>
      </c>
    </row>
    <row r="1226" spans="1:17" x14ac:dyDescent="0.3">
      <c r="A1226" t="s">
        <v>17</v>
      </c>
      <c r="B1226" t="str">
        <f>"603239"</f>
        <v>603239</v>
      </c>
      <c r="C1226" t="s">
        <v>2730</v>
      </c>
      <c r="D1226" t="s">
        <v>985</v>
      </c>
      <c r="F1226">
        <v>106170919</v>
      </c>
      <c r="G1226">
        <v>70654497</v>
      </c>
      <c r="H1226">
        <v>62164706</v>
      </c>
      <c r="I1226">
        <v>113831312</v>
      </c>
      <c r="J1226">
        <v>121629990</v>
      </c>
      <c r="K1226">
        <v>80058807</v>
      </c>
      <c r="L1226">
        <v>56610981</v>
      </c>
      <c r="P1226">
        <v>166</v>
      </c>
      <c r="Q1226" t="s">
        <v>2731</v>
      </c>
    </row>
    <row r="1227" spans="1:17" x14ac:dyDescent="0.3">
      <c r="A1227" t="s">
        <v>17</v>
      </c>
      <c r="B1227" t="str">
        <f>"603256"</f>
        <v>603256</v>
      </c>
      <c r="C1227" t="s">
        <v>2732</v>
      </c>
      <c r="D1227" t="s">
        <v>411</v>
      </c>
      <c r="F1227">
        <v>100785730</v>
      </c>
      <c r="G1227">
        <v>85785742</v>
      </c>
      <c r="H1227">
        <v>81037711</v>
      </c>
      <c r="I1227">
        <v>133206601</v>
      </c>
      <c r="P1227">
        <v>340</v>
      </c>
      <c r="Q1227" t="s">
        <v>2733</v>
      </c>
    </row>
    <row r="1228" spans="1:17" x14ac:dyDescent="0.3">
      <c r="A1228" t="s">
        <v>17</v>
      </c>
      <c r="B1228" t="str">
        <f>"603258"</f>
        <v>603258</v>
      </c>
      <c r="C1228" t="s">
        <v>2734</v>
      </c>
      <c r="D1228" t="s">
        <v>517</v>
      </c>
      <c r="F1228">
        <v>285225316</v>
      </c>
      <c r="G1228">
        <v>309873002</v>
      </c>
      <c r="H1228">
        <v>141567921</v>
      </c>
      <c r="I1228">
        <v>88839214</v>
      </c>
      <c r="J1228">
        <v>142610908</v>
      </c>
      <c r="K1228">
        <v>197734931</v>
      </c>
      <c r="L1228">
        <v>157824630</v>
      </c>
      <c r="P1228">
        <v>770</v>
      </c>
      <c r="Q1228" t="s">
        <v>2735</v>
      </c>
    </row>
    <row r="1229" spans="1:17" x14ac:dyDescent="0.3">
      <c r="A1229" t="s">
        <v>17</v>
      </c>
      <c r="B1229" t="str">
        <f>"603259"</f>
        <v>603259</v>
      </c>
      <c r="C1229" t="s">
        <v>2736</v>
      </c>
      <c r="D1229" t="s">
        <v>1461</v>
      </c>
      <c r="F1229">
        <v>3562226937</v>
      </c>
      <c r="G1229">
        <v>2368356529</v>
      </c>
      <c r="H1229">
        <v>1765146774</v>
      </c>
      <c r="I1229">
        <v>1928376254</v>
      </c>
      <c r="J1229">
        <v>1063039436</v>
      </c>
      <c r="P1229">
        <v>3985</v>
      </c>
      <c r="Q1229" t="s">
        <v>2737</v>
      </c>
    </row>
    <row r="1230" spans="1:17" x14ac:dyDescent="0.3">
      <c r="A1230" t="s">
        <v>17</v>
      </c>
      <c r="B1230" t="str">
        <f>"603260"</f>
        <v>603260</v>
      </c>
      <c r="C1230" t="s">
        <v>2738</v>
      </c>
      <c r="D1230" t="s">
        <v>2739</v>
      </c>
      <c r="F1230">
        <v>5002732826</v>
      </c>
      <c r="G1230">
        <v>718697535</v>
      </c>
      <c r="H1230">
        <v>861273221</v>
      </c>
      <c r="I1230">
        <v>2246453635</v>
      </c>
      <c r="J1230">
        <v>966233455</v>
      </c>
      <c r="K1230">
        <v>426127299</v>
      </c>
      <c r="P1230">
        <v>700</v>
      </c>
      <c r="Q1230" t="s">
        <v>2740</v>
      </c>
    </row>
    <row r="1231" spans="1:17" x14ac:dyDescent="0.3">
      <c r="A1231" t="s">
        <v>17</v>
      </c>
      <c r="B1231" t="str">
        <f>"603266"</f>
        <v>603266</v>
      </c>
      <c r="C1231" t="s">
        <v>2741</v>
      </c>
      <c r="D1231" t="s">
        <v>1192</v>
      </c>
      <c r="F1231">
        <v>76930401</v>
      </c>
      <c r="G1231">
        <v>67732980</v>
      </c>
      <c r="H1231">
        <v>49932552</v>
      </c>
      <c r="I1231">
        <v>55149380</v>
      </c>
      <c r="J1231">
        <v>64284028</v>
      </c>
      <c r="K1231">
        <v>61384301</v>
      </c>
      <c r="L1231">
        <v>42910388</v>
      </c>
      <c r="P1231">
        <v>95</v>
      </c>
      <c r="Q1231" t="s">
        <v>2742</v>
      </c>
    </row>
    <row r="1232" spans="1:17" x14ac:dyDescent="0.3">
      <c r="A1232" t="s">
        <v>17</v>
      </c>
      <c r="B1232" t="str">
        <f>"603267"</f>
        <v>603267</v>
      </c>
      <c r="C1232" t="s">
        <v>2743</v>
      </c>
      <c r="D1232" t="s">
        <v>1136</v>
      </c>
      <c r="F1232">
        <v>656880927</v>
      </c>
      <c r="G1232">
        <v>320098486</v>
      </c>
      <c r="H1232">
        <v>237316036</v>
      </c>
      <c r="I1232">
        <v>194698542</v>
      </c>
      <c r="P1232">
        <v>469</v>
      </c>
      <c r="Q1232" t="s">
        <v>2744</v>
      </c>
    </row>
    <row r="1233" spans="1:17" x14ac:dyDescent="0.3">
      <c r="A1233" t="s">
        <v>17</v>
      </c>
      <c r="B1233" t="str">
        <f>"603268"</f>
        <v>603268</v>
      </c>
      <c r="C1233" t="s">
        <v>2745</v>
      </c>
      <c r="D1233" t="s">
        <v>2436</v>
      </c>
      <c r="F1233">
        <v>-22093509</v>
      </c>
      <c r="G1233">
        <v>7121654</v>
      </c>
      <c r="H1233">
        <v>29650962</v>
      </c>
      <c r="I1233">
        <v>36140784</v>
      </c>
      <c r="J1233">
        <v>32126380</v>
      </c>
      <c r="K1233">
        <v>26599442</v>
      </c>
      <c r="L1233">
        <v>31271628</v>
      </c>
      <c r="M1233">
        <v>34600144</v>
      </c>
      <c r="P1233">
        <v>70</v>
      </c>
      <c r="Q1233" t="s">
        <v>2746</v>
      </c>
    </row>
    <row r="1234" spans="1:17" x14ac:dyDescent="0.3">
      <c r="A1234" t="s">
        <v>17</v>
      </c>
      <c r="B1234" t="str">
        <f>"603269"</f>
        <v>603269</v>
      </c>
      <c r="C1234" t="s">
        <v>2747</v>
      </c>
      <c r="D1234" t="s">
        <v>560</v>
      </c>
      <c r="F1234">
        <v>34301284</v>
      </c>
      <c r="G1234">
        <v>3585741</v>
      </c>
      <c r="H1234">
        <v>18485650</v>
      </c>
      <c r="I1234">
        <v>18155193</v>
      </c>
      <c r="J1234">
        <v>18111843</v>
      </c>
      <c r="K1234">
        <v>17389513</v>
      </c>
      <c r="P1234">
        <v>63</v>
      </c>
      <c r="Q1234" t="s">
        <v>2748</v>
      </c>
    </row>
    <row r="1235" spans="1:17" x14ac:dyDescent="0.3">
      <c r="A1235" t="s">
        <v>17</v>
      </c>
      <c r="B1235" t="str">
        <f>"603277"</f>
        <v>603277</v>
      </c>
      <c r="C1235" t="s">
        <v>2749</v>
      </c>
      <c r="D1235" t="s">
        <v>988</v>
      </c>
      <c r="F1235">
        <v>326077195</v>
      </c>
      <c r="G1235">
        <v>237817244</v>
      </c>
      <c r="H1235">
        <v>230085517</v>
      </c>
      <c r="I1235">
        <v>197399245</v>
      </c>
      <c r="J1235">
        <v>182440437</v>
      </c>
      <c r="K1235">
        <v>181557885</v>
      </c>
      <c r="P1235">
        <v>136</v>
      </c>
      <c r="Q1235" t="s">
        <v>2750</v>
      </c>
    </row>
    <row r="1236" spans="1:17" x14ac:dyDescent="0.3">
      <c r="A1236" t="s">
        <v>17</v>
      </c>
      <c r="B1236" t="str">
        <f>"603278"</f>
        <v>603278</v>
      </c>
      <c r="C1236" t="s">
        <v>2751</v>
      </c>
      <c r="D1236" t="s">
        <v>274</v>
      </c>
      <c r="F1236">
        <v>150475729</v>
      </c>
      <c r="G1236">
        <v>77644104</v>
      </c>
      <c r="H1236">
        <v>136988709</v>
      </c>
      <c r="I1236">
        <v>170660667</v>
      </c>
      <c r="J1236">
        <v>107688162</v>
      </c>
      <c r="K1236">
        <v>111724014</v>
      </c>
      <c r="P1236">
        <v>122</v>
      </c>
      <c r="Q1236" t="s">
        <v>2752</v>
      </c>
    </row>
    <row r="1237" spans="1:17" x14ac:dyDescent="0.3">
      <c r="A1237" t="s">
        <v>17</v>
      </c>
      <c r="B1237" t="str">
        <f>"603279"</f>
        <v>603279</v>
      </c>
      <c r="C1237" t="s">
        <v>2753</v>
      </c>
      <c r="D1237" t="s">
        <v>1070</v>
      </c>
      <c r="F1237">
        <v>449726578</v>
      </c>
      <c r="G1237">
        <v>312056778</v>
      </c>
      <c r="H1237">
        <v>289682203</v>
      </c>
      <c r="I1237">
        <v>219886843</v>
      </c>
      <c r="P1237">
        <v>231</v>
      </c>
      <c r="Q1237" t="s">
        <v>2754</v>
      </c>
    </row>
    <row r="1238" spans="1:17" x14ac:dyDescent="0.3">
      <c r="A1238" t="s">
        <v>17</v>
      </c>
      <c r="B1238" t="str">
        <f>"603283"</f>
        <v>603283</v>
      </c>
      <c r="C1238" t="s">
        <v>2755</v>
      </c>
      <c r="D1238" t="s">
        <v>2423</v>
      </c>
      <c r="F1238">
        <v>155959927</v>
      </c>
      <c r="G1238">
        <v>149357105</v>
      </c>
      <c r="H1238">
        <v>90408281</v>
      </c>
      <c r="I1238">
        <v>75600766</v>
      </c>
      <c r="J1238">
        <v>83342447</v>
      </c>
      <c r="P1238">
        <v>216</v>
      </c>
      <c r="Q1238" t="s">
        <v>2756</v>
      </c>
    </row>
    <row r="1239" spans="1:17" x14ac:dyDescent="0.3">
      <c r="A1239" t="s">
        <v>17</v>
      </c>
      <c r="B1239" t="str">
        <f>"603286"</f>
        <v>603286</v>
      </c>
      <c r="C1239" t="s">
        <v>2757</v>
      </c>
      <c r="D1239" t="s">
        <v>348</v>
      </c>
      <c r="F1239">
        <v>16356910</v>
      </c>
      <c r="G1239">
        <v>10837118</v>
      </c>
      <c r="H1239">
        <v>15190274</v>
      </c>
      <c r="I1239">
        <v>15275455</v>
      </c>
      <c r="J1239">
        <v>20192191</v>
      </c>
      <c r="K1239">
        <v>19571602</v>
      </c>
      <c r="P1239">
        <v>66</v>
      </c>
      <c r="Q1239" t="s">
        <v>2758</v>
      </c>
    </row>
    <row r="1240" spans="1:17" x14ac:dyDescent="0.3">
      <c r="A1240" t="s">
        <v>17</v>
      </c>
      <c r="B1240" t="str">
        <f>"603288"</f>
        <v>603288</v>
      </c>
      <c r="C1240" t="s">
        <v>2759</v>
      </c>
      <c r="D1240" t="s">
        <v>433</v>
      </c>
      <c r="F1240">
        <v>4707638893</v>
      </c>
      <c r="G1240">
        <v>4571403806</v>
      </c>
      <c r="H1240">
        <v>3835135930</v>
      </c>
      <c r="I1240">
        <v>3131234430</v>
      </c>
      <c r="J1240">
        <v>2538935186</v>
      </c>
      <c r="K1240">
        <v>2039461942</v>
      </c>
      <c r="L1240">
        <v>1841171296</v>
      </c>
      <c r="M1240">
        <v>1532800252</v>
      </c>
      <c r="N1240">
        <v>1205278919</v>
      </c>
      <c r="O1240">
        <v>882537739</v>
      </c>
      <c r="P1240">
        <v>54149</v>
      </c>
      <c r="Q1240" t="s">
        <v>2760</v>
      </c>
    </row>
    <row r="1241" spans="1:17" x14ac:dyDescent="0.3">
      <c r="A1241" t="s">
        <v>17</v>
      </c>
      <c r="B1241" t="str">
        <f>"603289"</f>
        <v>603289</v>
      </c>
      <c r="C1241" t="s">
        <v>2761</v>
      </c>
      <c r="D1241" t="s">
        <v>741</v>
      </c>
      <c r="F1241">
        <v>133305872</v>
      </c>
      <c r="G1241">
        <v>67587826</v>
      </c>
      <c r="H1241">
        <v>89515213</v>
      </c>
      <c r="I1241">
        <v>70416363</v>
      </c>
      <c r="J1241">
        <v>63176848</v>
      </c>
      <c r="K1241">
        <v>43543544</v>
      </c>
      <c r="P1241">
        <v>115</v>
      </c>
      <c r="Q1241" t="s">
        <v>2762</v>
      </c>
    </row>
    <row r="1242" spans="1:17" x14ac:dyDescent="0.3">
      <c r="A1242" t="s">
        <v>17</v>
      </c>
      <c r="B1242" t="str">
        <f>"603290"</f>
        <v>603290</v>
      </c>
      <c r="C1242" t="s">
        <v>2763</v>
      </c>
      <c r="D1242" t="s">
        <v>795</v>
      </c>
      <c r="F1242">
        <v>266531478</v>
      </c>
      <c r="G1242">
        <v>134127585</v>
      </c>
      <c r="H1242">
        <v>103620882</v>
      </c>
      <c r="P1242">
        <v>635</v>
      </c>
      <c r="Q1242" t="s">
        <v>2764</v>
      </c>
    </row>
    <row r="1243" spans="1:17" x14ac:dyDescent="0.3">
      <c r="A1243" t="s">
        <v>17</v>
      </c>
      <c r="B1243" t="str">
        <f>"603297"</f>
        <v>603297</v>
      </c>
      <c r="C1243" t="s">
        <v>2765</v>
      </c>
      <c r="D1243" t="s">
        <v>164</v>
      </c>
      <c r="F1243">
        <v>217885299</v>
      </c>
      <c r="G1243">
        <v>94486659</v>
      </c>
      <c r="H1243">
        <v>100663346</v>
      </c>
      <c r="I1243">
        <v>93089434</v>
      </c>
      <c r="J1243">
        <v>81103621</v>
      </c>
      <c r="P1243">
        <v>238</v>
      </c>
      <c r="Q1243" t="s">
        <v>2766</v>
      </c>
    </row>
    <row r="1244" spans="1:17" x14ac:dyDescent="0.3">
      <c r="A1244" t="s">
        <v>17</v>
      </c>
      <c r="B1244" t="str">
        <f>"603298"</f>
        <v>603298</v>
      </c>
      <c r="C1244" t="s">
        <v>2767</v>
      </c>
      <c r="D1244" t="s">
        <v>83</v>
      </c>
      <c r="F1244">
        <v>738519645</v>
      </c>
      <c r="G1244">
        <v>626593316</v>
      </c>
      <c r="H1244">
        <v>478092834</v>
      </c>
      <c r="I1244">
        <v>429924354</v>
      </c>
      <c r="J1244">
        <v>372037425</v>
      </c>
      <c r="K1244">
        <v>312825000</v>
      </c>
      <c r="L1244">
        <v>285692800</v>
      </c>
      <c r="P1244">
        <v>451</v>
      </c>
      <c r="Q1244" t="s">
        <v>2768</v>
      </c>
    </row>
    <row r="1245" spans="1:17" x14ac:dyDescent="0.3">
      <c r="A1245" t="s">
        <v>17</v>
      </c>
      <c r="B1245" t="str">
        <f>"603299"</f>
        <v>603299</v>
      </c>
      <c r="C1245" t="s">
        <v>2769</v>
      </c>
      <c r="D1245" t="s">
        <v>736</v>
      </c>
      <c r="F1245">
        <v>229267749</v>
      </c>
      <c r="G1245">
        <v>162669075</v>
      </c>
      <c r="H1245">
        <v>234796080</v>
      </c>
      <c r="I1245">
        <v>116812610</v>
      </c>
      <c r="J1245">
        <v>120227955</v>
      </c>
      <c r="K1245">
        <v>4973106</v>
      </c>
      <c r="L1245">
        <v>43560253</v>
      </c>
      <c r="P1245">
        <v>139</v>
      </c>
      <c r="Q1245" t="s">
        <v>2770</v>
      </c>
    </row>
    <row r="1246" spans="1:17" x14ac:dyDescent="0.3">
      <c r="A1246" t="s">
        <v>17</v>
      </c>
      <c r="B1246" t="str">
        <f>"603300"</f>
        <v>603300</v>
      </c>
      <c r="C1246" t="s">
        <v>2771</v>
      </c>
      <c r="D1246" t="s">
        <v>336</v>
      </c>
      <c r="F1246">
        <v>330956753</v>
      </c>
      <c r="G1246">
        <v>158235047</v>
      </c>
      <c r="H1246">
        <v>240898459</v>
      </c>
      <c r="I1246">
        <v>80007860</v>
      </c>
      <c r="J1246">
        <v>37701151</v>
      </c>
      <c r="K1246">
        <v>34965633</v>
      </c>
      <c r="L1246">
        <v>55793275</v>
      </c>
      <c r="M1246">
        <v>62408240</v>
      </c>
      <c r="P1246">
        <v>123</v>
      </c>
      <c r="Q1246" t="s">
        <v>2772</v>
      </c>
    </row>
    <row r="1247" spans="1:17" x14ac:dyDescent="0.3">
      <c r="A1247" t="s">
        <v>17</v>
      </c>
      <c r="B1247" t="str">
        <f>"603301"</f>
        <v>603301</v>
      </c>
      <c r="C1247" t="s">
        <v>2773</v>
      </c>
      <c r="D1247" t="s">
        <v>1077</v>
      </c>
      <c r="F1247">
        <v>482529813</v>
      </c>
      <c r="G1247">
        <v>2097753321</v>
      </c>
      <c r="H1247">
        <v>95111835</v>
      </c>
      <c r="I1247">
        <v>85255943</v>
      </c>
      <c r="J1247">
        <v>71898158</v>
      </c>
      <c r="P1247">
        <v>1533</v>
      </c>
      <c r="Q1247" t="s">
        <v>2774</v>
      </c>
    </row>
    <row r="1248" spans="1:17" x14ac:dyDescent="0.3">
      <c r="A1248" t="s">
        <v>17</v>
      </c>
      <c r="B1248" t="str">
        <f>"603302"</f>
        <v>603302</v>
      </c>
      <c r="C1248" t="s">
        <v>2775</v>
      </c>
      <c r="J1248">
        <v>126382724</v>
      </c>
      <c r="K1248">
        <v>83478240</v>
      </c>
      <c r="P1248">
        <v>19</v>
      </c>
      <c r="Q1248" t="s">
        <v>2776</v>
      </c>
    </row>
    <row r="1249" spans="1:17" x14ac:dyDescent="0.3">
      <c r="A1249" t="s">
        <v>17</v>
      </c>
      <c r="B1249" t="str">
        <f>"603303"</f>
        <v>603303</v>
      </c>
      <c r="C1249" t="s">
        <v>2777</v>
      </c>
      <c r="D1249" t="s">
        <v>598</v>
      </c>
      <c r="F1249">
        <v>283785267</v>
      </c>
      <c r="G1249">
        <v>288486199</v>
      </c>
      <c r="H1249">
        <v>239468707</v>
      </c>
      <c r="I1249">
        <v>209010463</v>
      </c>
      <c r="J1249">
        <v>169886695</v>
      </c>
      <c r="K1249">
        <v>204021378</v>
      </c>
      <c r="P1249">
        <v>180</v>
      </c>
      <c r="Q1249" t="s">
        <v>2778</v>
      </c>
    </row>
    <row r="1250" spans="1:17" x14ac:dyDescent="0.3">
      <c r="A1250" t="s">
        <v>17</v>
      </c>
      <c r="B1250" t="str">
        <f>"603305"</f>
        <v>603305</v>
      </c>
      <c r="C1250" t="s">
        <v>2779</v>
      </c>
      <c r="D1250" t="s">
        <v>348</v>
      </c>
      <c r="F1250">
        <v>331784714</v>
      </c>
      <c r="G1250">
        <v>230938959</v>
      </c>
      <c r="H1250">
        <v>136074410</v>
      </c>
      <c r="I1250">
        <v>229941811</v>
      </c>
      <c r="J1250">
        <v>161533540</v>
      </c>
      <c r="K1250">
        <v>136963528</v>
      </c>
      <c r="P1250">
        <v>506</v>
      </c>
      <c r="Q1250" t="s">
        <v>2780</v>
      </c>
    </row>
    <row r="1251" spans="1:17" x14ac:dyDescent="0.3">
      <c r="A1251" t="s">
        <v>17</v>
      </c>
      <c r="B1251" t="str">
        <f>"603306"</f>
        <v>603306</v>
      </c>
      <c r="C1251" t="s">
        <v>2781</v>
      </c>
      <c r="D1251" t="s">
        <v>191</v>
      </c>
      <c r="F1251">
        <v>135197624</v>
      </c>
      <c r="G1251">
        <v>137842688</v>
      </c>
      <c r="H1251">
        <v>159432625</v>
      </c>
      <c r="I1251">
        <v>214231663</v>
      </c>
      <c r="J1251">
        <v>186655880</v>
      </c>
      <c r="K1251">
        <v>180247803</v>
      </c>
      <c r="L1251">
        <v>106307755</v>
      </c>
      <c r="M1251">
        <v>76106223</v>
      </c>
      <c r="N1251">
        <v>64439471</v>
      </c>
      <c r="P1251">
        <v>631</v>
      </c>
      <c r="Q1251" t="s">
        <v>2782</v>
      </c>
    </row>
    <row r="1252" spans="1:17" x14ac:dyDescent="0.3">
      <c r="A1252" t="s">
        <v>17</v>
      </c>
      <c r="B1252" t="str">
        <f>"603308"</f>
        <v>603308</v>
      </c>
      <c r="C1252" t="s">
        <v>2783</v>
      </c>
      <c r="D1252" t="s">
        <v>274</v>
      </c>
      <c r="F1252">
        <v>150680743</v>
      </c>
      <c r="G1252">
        <v>131539552</v>
      </c>
      <c r="H1252">
        <v>106429918</v>
      </c>
      <c r="I1252">
        <v>69656267</v>
      </c>
      <c r="J1252">
        <v>67286029</v>
      </c>
      <c r="K1252">
        <v>51460436</v>
      </c>
      <c r="L1252">
        <v>68814971</v>
      </c>
      <c r="M1252">
        <v>92590426</v>
      </c>
      <c r="N1252">
        <v>113153206</v>
      </c>
      <c r="P1252">
        <v>233</v>
      </c>
      <c r="Q1252" t="s">
        <v>2784</v>
      </c>
    </row>
    <row r="1253" spans="1:17" x14ac:dyDescent="0.3">
      <c r="A1253" t="s">
        <v>17</v>
      </c>
      <c r="B1253" t="str">
        <f>"603309"</f>
        <v>603309</v>
      </c>
      <c r="C1253" t="s">
        <v>2785</v>
      </c>
      <c r="D1253" t="s">
        <v>1077</v>
      </c>
      <c r="F1253">
        <v>81760323</v>
      </c>
      <c r="G1253">
        <v>139561346</v>
      </c>
      <c r="H1253">
        <v>104283822</v>
      </c>
      <c r="I1253">
        <v>42245777</v>
      </c>
      <c r="J1253">
        <v>52406985</v>
      </c>
      <c r="K1253">
        <v>60404554</v>
      </c>
      <c r="L1253">
        <v>70001574</v>
      </c>
      <c r="M1253">
        <v>53998329</v>
      </c>
      <c r="P1253">
        <v>147</v>
      </c>
      <c r="Q1253" t="s">
        <v>2786</v>
      </c>
    </row>
    <row r="1254" spans="1:17" x14ac:dyDescent="0.3">
      <c r="A1254" t="s">
        <v>17</v>
      </c>
      <c r="B1254" t="str">
        <f>"603311"</f>
        <v>603311</v>
      </c>
      <c r="C1254" t="s">
        <v>2787</v>
      </c>
      <c r="D1254" t="s">
        <v>1253</v>
      </c>
      <c r="F1254">
        <v>70967405</v>
      </c>
      <c r="G1254">
        <v>73483215</v>
      </c>
      <c r="H1254">
        <v>65509360</v>
      </c>
      <c r="I1254">
        <v>62188510</v>
      </c>
      <c r="J1254">
        <v>79024521</v>
      </c>
      <c r="K1254">
        <v>60319265</v>
      </c>
      <c r="L1254">
        <v>41529547</v>
      </c>
      <c r="M1254">
        <v>39586452</v>
      </c>
      <c r="P1254">
        <v>96</v>
      </c>
      <c r="Q1254" t="s">
        <v>2788</v>
      </c>
    </row>
    <row r="1255" spans="1:17" x14ac:dyDescent="0.3">
      <c r="A1255" t="s">
        <v>17</v>
      </c>
      <c r="B1255" t="str">
        <f>"603313"</f>
        <v>603313</v>
      </c>
      <c r="C1255" t="s">
        <v>2789</v>
      </c>
      <c r="D1255" t="s">
        <v>757</v>
      </c>
      <c r="F1255">
        <v>-180110275</v>
      </c>
      <c r="G1255">
        <v>345557937</v>
      </c>
      <c r="H1255">
        <v>260476256</v>
      </c>
      <c r="I1255">
        <v>110420464</v>
      </c>
      <c r="J1255">
        <v>144980921</v>
      </c>
      <c r="K1255">
        <v>141897681</v>
      </c>
      <c r="L1255">
        <v>124669448</v>
      </c>
      <c r="P1255">
        <v>580</v>
      </c>
      <c r="Q1255" t="s">
        <v>2790</v>
      </c>
    </row>
    <row r="1256" spans="1:17" x14ac:dyDescent="0.3">
      <c r="A1256" t="s">
        <v>17</v>
      </c>
      <c r="B1256" t="str">
        <f>"603315"</f>
        <v>603315</v>
      </c>
      <c r="C1256" t="s">
        <v>2791</v>
      </c>
      <c r="D1256" t="s">
        <v>274</v>
      </c>
      <c r="F1256">
        <v>50362363</v>
      </c>
      <c r="G1256">
        <v>72819870</v>
      </c>
      <c r="H1256">
        <v>78402514</v>
      </c>
      <c r="I1256">
        <v>8543471</v>
      </c>
      <c r="J1256">
        <v>24075401</v>
      </c>
      <c r="K1256">
        <v>34480435</v>
      </c>
      <c r="L1256">
        <v>41213889</v>
      </c>
      <c r="M1256">
        <v>35129052</v>
      </c>
      <c r="P1256">
        <v>57</v>
      </c>
      <c r="Q1256" t="s">
        <v>2792</v>
      </c>
    </row>
    <row r="1257" spans="1:17" x14ac:dyDescent="0.3">
      <c r="A1257" t="s">
        <v>17</v>
      </c>
      <c r="B1257" t="str">
        <f>"603316"</f>
        <v>603316</v>
      </c>
      <c r="C1257" t="s">
        <v>2793</v>
      </c>
      <c r="D1257" t="s">
        <v>2408</v>
      </c>
      <c r="F1257">
        <v>20227314</v>
      </c>
      <c r="G1257">
        <v>29184234</v>
      </c>
      <c r="H1257">
        <v>23025886</v>
      </c>
      <c r="I1257">
        <v>42127418</v>
      </c>
      <c r="J1257">
        <v>45561515</v>
      </c>
      <c r="K1257">
        <v>38949612</v>
      </c>
      <c r="P1257">
        <v>59</v>
      </c>
      <c r="Q1257" t="s">
        <v>2794</v>
      </c>
    </row>
    <row r="1258" spans="1:17" x14ac:dyDescent="0.3">
      <c r="A1258" t="s">
        <v>17</v>
      </c>
      <c r="B1258" t="str">
        <f>"603317"</f>
        <v>603317</v>
      </c>
      <c r="C1258" t="s">
        <v>2795</v>
      </c>
      <c r="D1258" t="s">
        <v>433</v>
      </c>
      <c r="F1258">
        <v>80158522</v>
      </c>
      <c r="G1258">
        <v>320162407</v>
      </c>
      <c r="H1258">
        <v>195485313</v>
      </c>
      <c r="I1258">
        <v>163522749</v>
      </c>
      <c r="P1258">
        <v>1436</v>
      </c>
      <c r="Q1258" t="s">
        <v>2796</v>
      </c>
    </row>
    <row r="1259" spans="1:17" x14ac:dyDescent="0.3">
      <c r="A1259" t="s">
        <v>17</v>
      </c>
      <c r="B1259" t="str">
        <f>"603318"</f>
        <v>603318</v>
      </c>
      <c r="C1259" t="s">
        <v>2797</v>
      </c>
      <c r="D1259" t="s">
        <v>749</v>
      </c>
      <c r="F1259">
        <v>34714681</v>
      </c>
      <c r="G1259">
        <v>15125217</v>
      </c>
      <c r="H1259">
        <v>-66215214</v>
      </c>
      <c r="I1259">
        <v>10715915</v>
      </c>
      <c r="J1259">
        <v>51799746</v>
      </c>
      <c r="K1259">
        <v>2454437</v>
      </c>
      <c r="L1259">
        <v>13451610</v>
      </c>
      <c r="M1259">
        <v>19701473</v>
      </c>
      <c r="P1259">
        <v>63</v>
      </c>
      <c r="Q1259" t="s">
        <v>2798</v>
      </c>
    </row>
    <row r="1260" spans="1:17" x14ac:dyDescent="0.3">
      <c r="A1260" t="s">
        <v>17</v>
      </c>
      <c r="B1260" t="str">
        <f>"603319"</f>
        <v>603319</v>
      </c>
      <c r="C1260" t="s">
        <v>2799</v>
      </c>
      <c r="D1260" t="s">
        <v>348</v>
      </c>
      <c r="F1260">
        <v>130639747</v>
      </c>
      <c r="G1260">
        <v>129691503</v>
      </c>
      <c r="H1260">
        <v>76931776</v>
      </c>
      <c r="I1260">
        <v>73506847</v>
      </c>
      <c r="J1260">
        <v>67162537</v>
      </c>
      <c r="K1260">
        <v>37483521</v>
      </c>
      <c r="L1260">
        <v>35978719</v>
      </c>
      <c r="P1260">
        <v>171</v>
      </c>
      <c r="Q1260" t="s">
        <v>2800</v>
      </c>
    </row>
    <row r="1261" spans="1:17" x14ac:dyDescent="0.3">
      <c r="A1261" t="s">
        <v>17</v>
      </c>
      <c r="B1261" t="str">
        <f>"603320"</f>
        <v>603320</v>
      </c>
      <c r="C1261" t="s">
        <v>2801</v>
      </c>
      <c r="D1261" t="s">
        <v>1171</v>
      </c>
      <c r="F1261">
        <v>63548603</v>
      </c>
      <c r="G1261">
        <v>31703186</v>
      </c>
      <c r="H1261">
        <v>33893810</v>
      </c>
      <c r="I1261">
        <v>35858222</v>
      </c>
      <c r="J1261">
        <v>41468326</v>
      </c>
      <c r="K1261">
        <v>30479562</v>
      </c>
      <c r="P1261">
        <v>94</v>
      </c>
      <c r="Q1261" t="s">
        <v>2802</v>
      </c>
    </row>
    <row r="1262" spans="1:17" x14ac:dyDescent="0.3">
      <c r="A1262" t="s">
        <v>17</v>
      </c>
      <c r="B1262" t="str">
        <f>"603321"</f>
        <v>603321</v>
      </c>
      <c r="C1262" t="s">
        <v>2803</v>
      </c>
      <c r="D1262" t="s">
        <v>1689</v>
      </c>
      <c r="F1262">
        <v>34150954</v>
      </c>
      <c r="G1262">
        <v>38518118</v>
      </c>
      <c r="H1262">
        <v>30911512</v>
      </c>
      <c r="I1262">
        <v>46054731</v>
      </c>
      <c r="J1262">
        <v>63508512</v>
      </c>
      <c r="K1262">
        <v>57644359</v>
      </c>
      <c r="P1262">
        <v>59</v>
      </c>
      <c r="Q1262" t="s">
        <v>2804</v>
      </c>
    </row>
    <row r="1263" spans="1:17" x14ac:dyDescent="0.3">
      <c r="A1263" t="s">
        <v>17</v>
      </c>
      <c r="B1263" t="str">
        <f>"603322"</f>
        <v>603322</v>
      </c>
      <c r="C1263" t="s">
        <v>2805</v>
      </c>
      <c r="D1263" t="s">
        <v>654</v>
      </c>
      <c r="F1263">
        <v>1958628</v>
      </c>
      <c r="G1263">
        <v>32610395</v>
      </c>
      <c r="H1263">
        <v>-47745798</v>
      </c>
      <c r="I1263">
        <v>10996090</v>
      </c>
      <c r="J1263">
        <v>9342387</v>
      </c>
      <c r="K1263">
        <v>16213214</v>
      </c>
      <c r="L1263">
        <v>18502795</v>
      </c>
      <c r="P1263">
        <v>184</v>
      </c>
      <c r="Q1263" t="s">
        <v>2806</v>
      </c>
    </row>
    <row r="1264" spans="1:17" x14ac:dyDescent="0.3">
      <c r="A1264" t="s">
        <v>17</v>
      </c>
      <c r="B1264" t="str">
        <f>"603323"</f>
        <v>603323</v>
      </c>
      <c r="C1264" t="s">
        <v>2807</v>
      </c>
      <c r="D1264" t="s">
        <v>1827</v>
      </c>
      <c r="F1264">
        <v>1038017000</v>
      </c>
      <c r="G1264">
        <v>883358000</v>
      </c>
      <c r="H1264">
        <v>827739000</v>
      </c>
      <c r="I1264">
        <v>719054000</v>
      </c>
      <c r="J1264">
        <v>618555000</v>
      </c>
      <c r="K1264">
        <v>562580000</v>
      </c>
      <c r="L1264">
        <v>535488000</v>
      </c>
      <c r="P1264">
        <v>498</v>
      </c>
      <c r="Q1264" t="s">
        <v>2808</v>
      </c>
    </row>
    <row r="1265" spans="1:17" x14ac:dyDescent="0.3">
      <c r="A1265" t="s">
        <v>17</v>
      </c>
      <c r="B1265" t="str">
        <f>"603324"</f>
        <v>603324</v>
      </c>
      <c r="C1265" t="s">
        <v>2809</v>
      </c>
      <c r="D1265" t="s">
        <v>1070</v>
      </c>
      <c r="F1265">
        <v>88580889</v>
      </c>
      <c r="P1265">
        <v>29</v>
      </c>
      <c r="Q1265" t="s">
        <v>2810</v>
      </c>
    </row>
    <row r="1266" spans="1:17" x14ac:dyDescent="0.3">
      <c r="A1266" t="s">
        <v>17</v>
      </c>
      <c r="B1266" t="str">
        <f>"603326"</f>
        <v>603326</v>
      </c>
      <c r="C1266" t="s">
        <v>2811</v>
      </c>
      <c r="D1266" t="s">
        <v>2647</v>
      </c>
      <c r="F1266">
        <v>101893073</v>
      </c>
      <c r="G1266">
        <v>122094218</v>
      </c>
      <c r="H1266">
        <v>98346900</v>
      </c>
      <c r="I1266">
        <v>66882303</v>
      </c>
      <c r="J1266">
        <v>40461597</v>
      </c>
      <c r="K1266">
        <v>26894113</v>
      </c>
      <c r="P1266">
        <v>247</v>
      </c>
      <c r="Q1266" t="s">
        <v>2812</v>
      </c>
    </row>
    <row r="1267" spans="1:17" x14ac:dyDescent="0.3">
      <c r="A1267" t="s">
        <v>17</v>
      </c>
      <c r="B1267" t="str">
        <f>"603327"</f>
        <v>603327</v>
      </c>
      <c r="C1267" t="s">
        <v>2813</v>
      </c>
      <c r="D1267" t="s">
        <v>313</v>
      </c>
      <c r="F1267">
        <v>220601119</v>
      </c>
      <c r="G1267">
        <v>254280770</v>
      </c>
      <c r="H1267">
        <v>211384303</v>
      </c>
      <c r="I1267">
        <v>123782592</v>
      </c>
      <c r="P1267">
        <v>347</v>
      </c>
      <c r="Q1267" t="s">
        <v>2814</v>
      </c>
    </row>
    <row r="1268" spans="1:17" x14ac:dyDescent="0.3">
      <c r="A1268" t="s">
        <v>17</v>
      </c>
      <c r="B1268" t="str">
        <f>"603328"</f>
        <v>603328</v>
      </c>
      <c r="C1268" t="s">
        <v>2815</v>
      </c>
      <c r="D1268" t="s">
        <v>425</v>
      </c>
      <c r="F1268">
        <v>117662761</v>
      </c>
      <c r="G1268">
        <v>196986729</v>
      </c>
      <c r="H1268">
        <v>441447561</v>
      </c>
      <c r="I1268">
        <v>478555804</v>
      </c>
      <c r="J1268">
        <v>417704561</v>
      </c>
      <c r="K1268">
        <v>417491569</v>
      </c>
      <c r="L1268">
        <v>330245092</v>
      </c>
      <c r="M1268">
        <v>262428676</v>
      </c>
      <c r="N1268">
        <v>235619123</v>
      </c>
      <c r="P1268">
        <v>590</v>
      </c>
      <c r="Q1268" t="s">
        <v>2816</v>
      </c>
    </row>
    <row r="1269" spans="1:17" x14ac:dyDescent="0.3">
      <c r="A1269" t="s">
        <v>17</v>
      </c>
      <c r="B1269" t="str">
        <f>"603329"</f>
        <v>603329</v>
      </c>
      <c r="C1269" t="s">
        <v>2817</v>
      </c>
      <c r="D1269" t="s">
        <v>128</v>
      </c>
      <c r="F1269">
        <v>106750409</v>
      </c>
      <c r="G1269">
        <v>59724696</v>
      </c>
      <c r="H1269">
        <v>-17564623</v>
      </c>
      <c r="I1269">
        <v>46959249</v>
      </c>
      <c r="J1269">
        <v>51189400</v>
      </c>
      <c r="K1269">
        <v>37942900</v>
      </c>
      <c r="P1269">
        <v>62</v>
      </c>
      <c r="Q1269" t="s">
        <v>2818</v>
      </c>
    </row>
    <row r="1270" spans="1:17" x14ac:dyDescent="0.3">
      <c r="A1270" t="s">
        <v>17</v>
      </c>
      <c r="B1270" t="str">
        <f>"603330"</f>
        <v>603330</v>
      </c>
      <c r="C1270" t="s">
        <v>2819</v>
      </c>
      <c r="D1270" t="s">
        <v>1192</v>
      </c>
      <c r="F1270">
        <v>85932421</v>
      </c>
      <c r="G1270">
        <v>30894485</v>
      </c>
      <c r="H1270">
        <v>15355326</v>
      </c>
      <c r="I1270">
        <v>31401750</v>
      </c>
      <c r="J1270">
        <v>16071264</v>
      </c>
      <c r="K1270">
        <v>39845940</v>
      </c>
      <c r="L1270">
        <v>36992526</v>
      </c>
      <c r="P1270">
        <v>136</v>
      </c>
      <c r="Q1270" t="s">
        <v>2820</v>
      </c>
    </row>
    <row r="1271" spans="1:17" x14ac:dyDescent="0.3">
      <c r="A1271" t="s">
        <v>17</v>
      </c>
      <c r="B1271" t="str">
        <f>"603331"</f>
        <v>603331</v>
      </c>
      <c r="C1271" t="s">
        <v>2821</v>
      </c>
      <c r="D1271" t="s">
        <v>560</v>
      </c>
      <c r="F1271">
        <v>71819158</v>
      </c>
      <c r="G1271">
        <v>42428260</v>
      </c>
      <c r="H1271">
        <v>62741324</v>
      </c>
      <c r="I1271">
        <v>57885209</v>
      </c>
      <c r="J1271">
        <v>51020813</v>
      </c>
      <c r="K1271">
        <v>40846012</v>
      </c>
      <c r="P1271">
        <v>83</v>
      </c>
      <c r="Q1271" t="s">
        <v>2822</v>
      </c>
    </row>
    <row r="1272" spans="1:17" x14ac:dyDescent="0.3">
      <c r="A1272" t="s">
        <v>17</v>
      </c>
      <c r="B1272" t="str">
        <f>"603332"</f>
        <v>603332</v>
      </c>
      <c r="C1272" t="s">
        <v>2823</v>
      </c>
      <c r="D1272" t="s">
        <v>2708</v>
      </c>
      <c r="F1272">
        <v>32188067</v>
      </c>
      <c r="G1272">
        <v>8089669</v>
      </c>
      <c r="H1272">
        <v>128963240</v>
      </c>
      <c r="I1272">
        <v>131903200</v>
      </c>
      <c r="J1272">
        <v>100174100</v>
      </c>
      <c r="P1272">
        <v>59</v>
      </c>
      <c r="Q1272" t="s">
        <v>2824</v>
      </c>
    </row>
    <row r="1273" spans="1:17" x14ac:dyDescent="0.3">
      <c r="A1273" t="s">
        <v>17</v>
      </c>
      <c r="B1273" t="str">
        <f>"603333"</f>
        <v>603333</v>
      </c>
      <c r="C1273" t="s">
        <v>2825</v>
      </c>
      <c r="D1273" t="s">
        <v>1164</v>
      </c>
      <c r="F1273">
        <v>16184473</v>
      </c>
      <c r="G1273">
        <v>45996070</v>
      </c>
      <c r="H1273">
        <v>94773176</v>
      </c>
      <c r="I1273">
        <v>51726097</v>
      </c>
      <c r="J1273">
        <v>22535518</v>
      </c>
      <c r="K1273">
        <v>-30548063</v>
      </c>
      <c r="L1273">
        <v>12964042</v>
      </c>
      <c r="M1273">
        <v>-37434186</v>
      </c>
      <c r="N1273">
        <v>24247990</v>
      </c>
      <c r="O1273">
        <v>56894474</v>
      </c>
      <c r="P1273">
        <v>134</v>
      </c>
      <c r="Q1273" t="s">
        <v>2826</v>
      </c>
    </row>
    <row r="1274" spans="1:17" x14ac:dyDescent="0.3">
      <c r="A1274" t="s">
        <v>17</v>
      </c>
      <c r="B1274" t="str">
        <f>"603335"</f>
        <v>603335</v>
      </c>
      <c r="C1274" t="s">
        <v>2827</v>
      </c>
      <c r="D1274" t="s">
        <v>422</v>
      </c>
      <c r="F1274">
        <v>43123868</v>
      </c>
      <c r="G1274">
        <v>58075798</v>
      </c>
      <c r="H1274">
        <v>11225161</v>
      </c>
      <c r="I1274">
        <v>20120184</v>
      </c>
      <c r="J1274">
        <v>30108954</v>
      </c>
      <c r="K1274">
        <v>39537118</v>
      </c>
      <c r="P1274">
        <v>66</v>
      </c>
      <c r="Q1274" t="s">
        <v>2828</v>
      </c>
    </row>
    <row r="1275" spans="1:17" x14ac:dyDescent="0.3">
      <c r="A1275" t="s">
        <v>17</v>
      </c>
      <c r="B1275" t="str">
        <f>"603336"</f>
        <v>603336</v>
      </c>
      <c r="C1275" t="s">
        <v>2829</v>
      </c>
      <c r="D1275" t="s">
        <v>258</v>
      </c>
      <c r="F1275">
        <v>35227399</v>
      </c>
      <c r="G1275">
        <v>55203250</v>
      </c>
      <c r="H1275">
        <v>63605424</v>
      </c>
      <c r="I1275">
        <v>55015080</v>
      </c>
      <c r="J1275">
        <v>51760871</v>
      </c>
      <c r="K1275">
        <v>44926251</v>
      </c>
      <c r="L1275">
        <v>43784148</v>
      </c>
      <c r="P1275">
        <v>179</v>
      </c>
      <c r="Q1275" t="s">
        <v>2830</v>
      </c>
    </row>
    <row r="1276" spans="1:17" x14ac:dyDescent="0.3">
      <c r="A1276" t="s">
        <v>17</v>
      </c>
      <c r="B1276" t="str">
        <f>"603337"</f>
        <v>603337</v>
      </c>
      <c r="C1276" t="s">
        <v>2831</v>
      </c>
      <c r="D1276" t="s">
        <v>534</v>
      </c>
      <c r="F1276">
        <v>336528789</v>
      </c>
      <c r="G1276">
        <v>238513480</v>
      </c>
      <c r="H1276">
        <v>252648256</v>
      </c>
      <c r="I1276">
        <v>370767012</v>
      </c>
      <c r="J1276">
        <v>234281323</v>
      </c>
      <c r="K1276">
        <v>159841358</v>
      </c>
      <c r="L1276">
        <v>130916587</v>
      </c>
      <c r="P1276">
        <v>370</v>
      </c>
      <c r="Q1276" t="s">
        <v>2832</v>
      </c>
    </row>
    <row r="1277" spans="1:17" x14ac:dyDescent="0.3">
      <c r="A1277" t="s">
        <v>17</v>
      </c>
      <c r="B1277" t="str">
        <f>"603338"</f>
        <v>603338</v>
      </c>
      <c r="C1277" t="s">
        <v>2833</v>
      </c>
      <c r="D1277" t="s">
        <v>83</v>
      </c>
      <c r="F1277">
        <v>729904885</v>
      </c>
      <c r="G1277">
        <v>620309233</v>
      </c>
      <c r="H1277">
        <v>443656276</v>
      </c>
      <c r="I1277">
        <v>396055547</v>
      </c>
      <c r="J1277">
        <v>227470310</v>
      </c>
      <c r="K1277">
        <v>133587777</v>
      </c>
      <c r="L1277">
        <v>100022724</v>
      </c>
      <c r="M1277">
        <v>65934770</v>
      </c>
      <c r="P1277">
        <v>12811</v>
      </c>
      <c r="Q1277" t="s">
        <v>2834</v>
      </c>
    </row>
    <row r="1278" spans="1:17" x14ac:dyDescent="0.3">
      <c r="A1278" t="s">
        <v>17</v>
      </c>
      <c r="B1278" t="str">
        <f>"603339"</f>
        <v>603339</v>
      </c>
      <c r="C1278" t="s">
        <v>2835</v>
      </c>
      <c r="D1278" t="s">
        <v>988</v>
      </c>
      <c r="F1278">
        <v>130805099</v>
      </c>
      <c r="G1278">
        <v>96480434</v>
      </c>
      <c r="H1278">
        <v>91740029</v>
      </c>
      <c r="I1278">
        <v>142857837</v>
      </c>
      <c r="J1278">
        <v>116385707</v>
      </c>
      <c r="K1278">
        <v>82246839</v>
      </c>
      <c r="L1278">
        <v>92745727</v>
      </c>
      <c r="P1278">
        <v>163</v>
      </c>
      <c r="Q1278" t="s">
        <v>2836</v>
      </c>
    </row>
    <row r="1279" spans="1:17" x14ac:dyDescent="0.3">
      <c r="A1279" t="s">
        <v>17</v>
      </c>
      <c r="B1279" t="str">
        <f>"603345"</f>
        <v>603345</v>
      </c>
      <c r="C1279" t="s">
        <v>2837</v>
      </c>
      <c r="D1279" t="s">
        <v>2838</v>
      </c>
      <c r="F1279">
        <v>493803126</v>
      </c>
      <c r="G1279">
        <v>379116817</v>
      </c>
      <c r="H1279">
        <v>238185798</v>
      </c>
      <c r="I1279">
        <v>196446219</v>
      </c>
      <c r="J1279">
        <v>139102663</v>
      </c>
      <c r="K1279">
        <v>127347238</v>
      </c>
      <c r="L1279">
        <v>84889205</v>
      </c>
      <c r="P1279">
        <v>1174</v>
      </c>
      <c r="Q1279" t="s">
        <v>2839</v>
      </c>
    </row>
    <row r="1280" spans="1:17" x14ac:dyDescent="0.3">
      <c r="A1280" t="s">
        <v>17</v>
      </c>
      <c r="B1280" t="str">
        <f>"603348"</f>
        <v>603348</v>
      </c>
      <c r="C1280" t="s">
        <v>2840</v>
      </c>
      <c r="D1280" t="s">
        <v>985</v>
      </c>
      <c r="F1280">
        <v>68826009</v>
      </c>
      <c r="G1280">
        <v>74143299</v>
      </c>
      <c r="H1280">
        <v>47285314</v>
      </c>
      <c r="I1280">
        <v>105087461</v>
      </c>
      <c r="J1280">
        <v>95357922</v>
      </c>
      <c r="P1280">
        <v>193</v>
      </c>
      <c r="Q1280" t="s">
        <v>2841</v>
      </c>
    </row>
    <row r="1281" spans="1:17" x14ac:dyDescent="0.3">
      <c r="A1281" t="s">
        <v>17</v>
      </c>
      <c r="B1281" t="str">
        <f>"603351"</f>
        <v>603351</v>
      </c>
      <c r="C1281" t="s">
        <v>2842</v>
      </c>
      <c r="D1281" t="s">
        <v>496</v>
      </c>
      <c r="F1281">
        <v>83841456</v>
      </c>
      <c r="G1281">
        <v>75603006</v>
      </c>
      <c r="H1281">
        <v>110375885</v>
      </c>
      <c r="I1281">
        <v>84101557</v>
      </c>
      <c r="J1281">
        <v>82629482</v>
      </c>
      <c r="P1281">
        <v>87</v>
      </c>
      <c r="Q1281" t="s">
        <v>2843</v>
      </c>
    </row>
    <row r="1282" spans="1:17" x14ac:dyDescent="0.3">
      <c r="A1282" t="s">
        <v>17</v>
      </c>
      <c r="B1282" t="str">
        <f>"603353"</f>
        <v>603353</v>
      </c>
      <c r="C1282" t="s">
        <v>2844</v>
      </c>
      <c r="D1282" t="s">
        <v>584</v>
      </c>
      <c r="F1282">
        <v>82934222</v>
      </c>
      <c r="G1282">
        <v>121128032</v>
      </c>
      <c r="H1282">
        <v>113700794</v>
      </c>
      <c r="P1282">
        <v>103</v>
      </c>
      <c r="Q1282" t="s">
        <v>2845</v>
      </c>
    </row>
    <row r="1283" spans="1:17" x14ac:dyDescent="0.3">
      <c r="A1283" t="s">
        <v>17</v>
      </c>
      <c r="B1283" t="str">
        <f>"603355"</f>
        <v>603355</v>
      </c>
      <c r="C1283" t="s">
        <v>2846</v>
      </c>
      <c r="D1283" t="s">
        <v>2697</v>
      </c>
      <c r="F1283">
        <v>477765070</v>
      </c>
      <c r="G1283">
        <v>416178648</v>
      </c>
      <c r="H1283">
        <v>382359494</v>
      </c>
      <c r="I1283">
        <v>338421512</v>
      </c>
      <c r="J1283">
        <v>274312192</v>
      </c>
      <c r="K1283">
        <v>334689204</v>
      </c>
      <c r="L1283">
        <v>246527453</v>
      </c>
      <c r="M1283">
        <v>255052503</v>
      </c>
      <c r="P1283">
        <v>557</v>
      </c>
      <c r="Q1283" t="s">
        <v>2847</v>
      </c>
    </row>
    <row r="1284" spans="1:17" x14ac:dyDescent="0.3">
      <c r="A1284" t="s">
        <v>17</v>
      </c>
      <c r="B1284" t="str">
        <f>"603356"</f>
        <v>603356</v>
      </c>
      <c r="C1284" t="s">
        <v>2848</v>
      </c>
      <c r="D1284" t="s">
        <v>1689</v>
      </c>
      <c r="F1284">
        <v>-7544159</v>
      </c>
      <c r="G1284">
        <v>70530593</v>
      </c>
      <c r="H1284">
        <v>62766924</v>
      </c>
      <c r="I1284">
        <v>49793377</v>
      </c>
      <c r="J1284">
        <v>48656100</v>
      </c>
      <c r="K1284">
        <v>54832900</v>
      </c>
      <c r="P1284">
        <v>65</v>
      </c>
      <c r="Q1284" t="s">
        <v>2849</v>
      </c>
    </row>
    <row r="1285" spans="1:17" x14ac:dyDescent="0.3">
      <c r="A1285" t="s">
        <v>17</v>
      </c>
      <c r="B1285" t="str">
        <f>"603357"</f>
        <v>603357</v>
      </c>
      <c r="C1285" t="s">
        <v>2850</v>
      </c>
      <c r="D1285" t="s">
        <v>1272</v>
      </c>
      <c r="F1285">
        <v>313548259</v>
      </c>
      <c r="G1285">
        <v>288359861</v>
      </c>
      <c r="H1285">
        <v>282241355</v>
      </c>
      <c r="I1285">
        <v>348219040</v>
      </c>
      <c r="J1285">
        <v>172368363</v>
      </c>
      <c r="K1285">
        <v>159895023</v>
      </c>
      <c r="P1285">
        <v>361</v>
      </c>
      <c r="Q1285" t="s">
        <v>2851</v>
      </c>
    </row>
    <row r="1286" spans="1:17" x14ac:dyDescent="0.3">
      <c r="A1286" t="s">
        <v>17</v>
      </c>
      <c r="B1286" t="str">
        <f>"603358"</f>
        <v>603358</v>
      </c>
      <c r="C1286" t="s">
        <v>2852</v>
      </c>
      <c r="D1286" t="s">
        <v>985</v>
      </c>
      <c r="F1286">
        <v>237191593</v>
      </c>
      <c r="G1286">
        <v>121910663</v>
      </c>
      <c r="H1286">
        <v>121834692</v>
      </c>
      <c r="I1286">
        <v>181595349</v>
      </c>
      <c r="J1286">
        <v>177373093</v>
      </c>
      <c r="K1286">
        <v>200877648</v>
      </c>
      <c r="L1286">
        <v>148453413</v>
      </c>
      <c r="P1286">
        <v>131</v>
      </c>
      <c r="Q1286" t="s">
        <v>2853</v>
      </c>
    </row>
    <row r="1287" spans="1:17" x14ac:dyDescent="0.3">
      <c r="A1287" t="s">
        <v>17</v>
      </c>
      <c r="B1287" t="str">
        <f>"603359"</f>
        <v>603359</v>
      </c>
      <c r="C1287" t="s">
        <v>2854</v>
      </c>
      <c r="D1287" t="s">
        <v>2408</v>
      </c>
      <c r="F1287">
        <v>360106326</v>
      </c>
      <c r="G1287">
        <v>348679510</v>
      </c>
      <c r="H1287">
        <v>247305530</v>
      </c>
      <c r="I1287">
        <v>240803800</v>
      </c>
      <c r="J1287">
        <v>174306752</v>
      </c>
      <c r="K1287">
        <v>141527129</v>
      </c>
      <c r="P1287">
        <v>187</v>
      </c>
      <c r="Q1287" t="s">
        <v>2855</v>
      </c>
    </row>
    <row r="1288" spans="1:17" x14ac:dyDescent="0.3">
      <c r="A1288" t="s">
        <v>17</v>
      </c>
      <c r="B1288" t="str">
        <f>"603360"</f>
        <v>603360</v>
      </c>
      <c r="C1288" t="s">
        <v>2856</v>
      </c>
      <c r="D1288" t="s">
        <v>853</v>
      </c>
      <c r="F1288">
        <v>160132911</v>
      </c>
      <c r="G1288">
        <v>178809189</v>
      </c>
      <c r="H1288">
        <v>234170945</v>
      </c>
      <c r="I1288">
        <v>108581895</v>
      </c>
      <c r="J1288">
        <v>81469477</v>
      </c>
      <c r="K1288">
        <v>72600775</v>
      </c>
      <c r="L1288">
        <v>48157696</v>
      </c>
      <c r="P1288">
        <v>402</v>
      </c>
      <c r="Q1288" t="s">
        <v>2857</v>
      </c>
    </row>
    <row r="1289" spans="1:17" x14ac:dyDescent="0.3">
      <c r="A1289" t="s">
        <v>17</v>
      </c>
      <c r="B1289" t="str">
        <f>"603363"</f>
        <v>603363</v>
      </c>
      <c r="C1289" t="s">
        <v>2858</v>
      </c>
      <c r="D1289" t="s">
        <v>2859</v>
      </c>
      <c r="F1289">
        <v>-502867701</v>
      </c>
      <c r="G1289">
        <v>502274974</v>
      </c>
      <c r="H1289">
        <v>40457515</v>
      </c>
      <c r="I1289">
        <v>31691291</v>
      </c>
      <c r="J1289">
        <v>90460183</v>
      </c>
      <c r="K1289">
        <v>63271758</v>
      </c>
      <c r="P1289">
        <v>310</v>
      </c>
      <c r="Q1289" t="s">
        <v>2860</v>
      </c>
    </row>
    <row r="1290" spans="1:17" x14ac:dyDescent="0.3">
      <c r="A1290" t="s">
        <v>17</v>
      </c>
      <c r="B1290" t="str">
        <f>"603365"</f>
        <v>603365</v>
      </c>
      <c r="C1290" t="s">
        <v>2861</v>
      </c>
      <c r="D1290" t="s">
        <v>2862</v>
      </c>
      <c r="F1290">
        <v>250072447</v>
      </c>
      <c r="G1290">
        <v>173143548</v>
      </c>
      <c r="H1290">
        <v>214599840</v>
      </c>
      <c r="I1290">
        <v>180672606</v>
      </c>
      <c r="J1290">
        <v>156805716</v>
      </c>
      <c r="K1290">
        <v>113280622</v>
      </c>
      <c r="P1290">
        <v>243</v>
      </c>
      <c r="Q1290" t="s">
        <v>2863</v>
      </c>
    </row>
    <row r="1291" spans="1:17" x14ac:dyDescent="0.3">
      <c r="A1291" t="s">
        <v>17</v>
      </c>
      <c r="B1291" t="str">
        <f>"603366"</f>
        <v>603366</v>
      </c>
      <c r="C1291" t="s">
        <v>2864</v>
      </c>
      <c r="D1291" t="s">
        <v>2865</v>
      </c>
      <c r="F1291">
        <v>61311420</v>
      </c>
      <c r="G1291">
        <v>71808643</v>
      </c>
      <c r="H1291">
        <v>44709586</v>
      </c>
      <c r="I1291">
        <v>-42221118</v>
      </c>
      <c r="J1291">
        <v>81667573</v>
      </c>
      <c r="K1291">
        <v>222104760</v>
      </c>
      <c r="L1291">
        <v>138474056</v>
      </c>
      <c r="M1291">
        <v>291924426</v>
      </c>
      <c r="N1291">
        <v>268965771</v>
      </c>
      <c r="O1291">
        <v>304157950</v>
      </c>
      <c r="P1291">
        <v>121</v>
      </c>
      <c r="Q1291" t="s">
        <v>2866</v>
      </c>
    </row>
    <row r="1292" spans="1:17" x14ac:dyDescent="0.3">
      <c r="A1292" t="s">
        <v>17</v>
      </c>
      <c r="B1292" t="str">
        <f>"603367"</f>
        <v>603367</v>
      </c>
      <c r="C1292" t="s">
        <v>2867</v>
      </c>
      <c r="D1292" t="s">
        <v>143</v>
      </c>
      <c r="F1292">
        <v>285501004</v>
      </c>
      <c r="G1292">
        <v>325675135</v>
      </c>
      <c r="H1292">
        <v>411454490</v>
      </c>
      <c r="I1292">
        <v>375642490</v>
      </c>
      <c r="J1292">
        <v>204098701</v>
      </c>
      <c r="K1292">
        <v>164110904</v>
      </c>
      <c r="P1292">
        <v>245</v>
      </c>
      <c r="Q1292" t="s">
        <v>2868</v>
      </c>
    </row>
    <row r="1293" spans="1:17" x14ac:dyDescent="0.3">
      <c r="A1293" t="s">
        <v>17</v>
      </c>
      <c r="B1293" t="str">
        <f>"603368"</f>
        <v>603368</v>
      </c>
      <c r="C1293" t="s">
        <v>2869</v>
      </c>
      <c r="D1293" t="s">
        <v>125</v>
      </c>
      <c r="F1293">
        <v>498405260</v>
      </c>
      <c r="G1293">
        <v>608479200</v>
      </c>
      <c r="H1293">
        <v>547525645</v>
      </c>
      <c r="I1293">
        <v>390809296</v>
      </c>
      <c r="J1293">
        <v>289614094</v>
      </c>
      <c r="K1293">
        <v>229790307</v>
      </c>
      <c r="L1293">
        <v>158004754</v>
      </c>
      <c r="M1293">
        <v>126312173</v>
      </c>
      <c r="N1293">
        <v>112323487</v>
      </c>
      <c r="P1293">
        <v>532</v>
      </c>
      <c r="Q1293" t="s">
        <v>2870</v>
      </c>
    </row>
    <row r="1294" spans="1:17" x14ac:dyDescent="0.3">
      <c r="A1294" t="s">
        <v>17</v>
      </c>
      <c r="B1294" t="str">
        <f>"603369"</f>
        <v>603369</v>
      </c>
      <c r="C1294" t="s">
        <v>2871</v>
      </c>
      <c r="D1294" t="s">
        <v>458</v>
      </c>
      <c r="F1294">
        <v>1698679454</v>
      </c>
      <c r="G1294">
        <v>1313475018</v>
      </c>
      <c r="H1294">
        <v>1293825236</v>
      </c>
      <c r="I1294">
        <v>1028951331</v>
      </c>
      <c r="J1294">
        <v>775819684</v>
      </c>
      <c r="K1294">
        <v>646474838</v>
      </c>
      <c r="L1294">
        <v>576303420</v>
      </c>
      <c r="M1294">
        <v>564719926</v>
      </c>
      <c r="N1294">
        <v>599382534</v>
      </c>
      <c r="P1294">
        <v>35435</v>
      </c>
      <c r="Q1294" t="s">
        <v>2872</v>
      </c>
    </row>
    <row r="1295" spans="1:17" x14ac:dyDescent="0.3">
      <c r="A1295" t="s">
        <v>17</v>
      </c>
      <c r="B1295" t="str">
        <f>"603377"</f>
        <v>603377</v>
      </c>
      <c r="C1295" t="s">
        <v>2873</v>
      </c>
      <c r="D1295" t="s">
        <v>1336</v>
      </c>
      <c r="F1295">
        <v>169425342</v>
      </c>
      <c r="G1295">
        <v>83354805</v>
      </c>
      <c r="H1295">
        <v>191286766</v>
      </c>
      <c r="I1295">
        <v>191254093</v>
      </c>
      <c r="J1295">
        <v>211634734</v>
      </c>
      <c r="K1295">
        <v>209848906</v>
      </c>
      <c r="L1295">
        <v>269913400</v>
      </c>
      <c r="M1295">
        <v>249940800</v>
      </c>
      <c r="P1295">
        <v>171</v>
      </c>
      <c r="Q1295" t="s">
        <v>2874</v>
      </c>
    </row>
    <row r="1296" spans="1:17" x14ac:dyDescent="0.3">
      <c r="A1296" t="s">
        <v>17</v>
      </c>
      <c r="B1296" t="str">
        <f>"603378"</f>
        <v>603378</v>
      </c>
      <c r="C1296" t="s">
        <v>2875</v>
      </c>
      <c r="D1296" t="s">
        <v>2876</v>
      </c>
      <c r="F1296">
        <v>131047961</v>
      </c>
      <c r="G1296">
        <v>236714906</v>
      </c>
      <c r="H1296">
        <v>79763064</v>
      </c>
      <c r="I1296">
        <v>51824257</v>
      </c>
      <c r="J1296">
        <v>77580558</v>
      </c>
      <c r="K1296">
        <v>74265300</v>
      </c>
      <c r="P1296">
        <v>203</v>
      </c>
      <c r="Q1296" t="s">
        <v>2877</v>
      </c>
    </row>
    <row r="1297" spans="1:17" x14ac:dyDescent="0.3">
      <c r="A1297" t="s">
        <v>17</v>
      </c>
      <c r="B1297" t="str">
        <f>"603379"</f>
        <v>603379</v>
      </c>
      <c r="C1297" t="s">
        <v>2878</v>
      </c>
      <c r="D1297" t="s">
        <v>375</v>
      </c>
      <c r="F1297">
        <v>242980285</v>
      </c>
      <c r="G1297">
        <v>213150291</v>
      </c>
      <c r="H1297">
        <v>613604823</v>
      </c>
      <c r="I1297">
        <v>865989139</v>
      </c>
      <c r="P1297">
        <v>140</v>
      </c>
      <c r="Q1297" t="s">
        <v>2879</v>
      </c>
    </row>
    <row r="1298" spans="1:17" x14ac:dyDescent="0.3">
      <c r="A1298" t="s">
        <v>17</v>
      </c>
      <c r="B1298" t="str">
        <f>"603380"</f>
        <v>603380</v>
      </c>
      <c r="C1298" t="s">
        <v>2880</v>
      </c>
      <c r="D1298" t="s">
        <v>313</v>
      </c>
      <c r="F1298">
        <v>169979611</v>
      </c>
      <c r="G1298">
        <v>118712828</v>
      </c>
      <c r="H1298">
        <v>79174214</v>
      </c>
      <c r="I1298">
        <v>73082710</v>
      </c>
      <c r="J1298">
        <v>68251091</v>
      </c>
      <c r="K1298">
        <v>57718614</v>
      </c>
      <c r="P1298">
        <v>209</v>
      </c>
      <c r="Q1298" t="s">
        <v>2881</v>
      </c>
    </row>
    <row r="1299" spans="1:17" x14ac:dyDescent="0.3">
      <c r="A1299" t="s">
        <v>17</v>
      </c>
      <c r="B1299" t="str">
        <f>"603383"</f>
        <v>603383</v>
      </c>
      <c r="C1299" t="s">
        <v>2882</v>
      </c>
      <c r="D1299" t="s">
        <v>945</v>
      </c>
      <c r="F1299">
        <v>75852479</v>
      </c>
      <c r="G1299">
        <v>61629485</v>
      </c>
      <c r="H1299">
        <v>57432793</v>
      </c>
      <c r="I1299">
        <v>55973519</v>
      </c>
      <c r="J1299">
        <v>37644703</v>
      </c>
      <c r="K1299">
        <v>14487041</v>
      </c>
      <c r="P1299">
        <v>190</v>
      </c>
      <c r="Q1299" t="s">
        <v>2883</v>
      </c>
    </row>
    <row r="1300" spans="1:17" x14ac:dyDescent="0.3">
      <c r="A1300" t="s">
        <v>17</v>
      </c>
      <c r="B1300" t="str">
        <f>"603385"</f>
        <v>603385</v>
      </c>
      <c r="C1300" t="s">
        <v>2884</v>
      </c>
      <c r="D1300" t="s">
        <v>2885</v>
      </c>
      <c r="F1300">
        <v>226538598</v>
      </c>
      <c r="G1300">
        <v>230083384</v>
      </c>
      <c r="H1300">
        <v>226688929</v>
      </c>
      <c r="I1300">
        <v>200196086</v>
      </c>
      <c r="J1300">
        <v>177756805</v>
      </c>
      <c r="K1300">
        <v>139158155</v>
      </c>
      <c r="P1300">
        <v>192</v>
      </c>
      <c r="Q1300" t="s">
        <v>2886</v>
      </c>
    </row>
    <row r="1301" spans="1:17" x14ac:dyDescent="0.3">
      <c r="A1301" t="s">
        <v>17</v>
      </c>
      <c r="B1301" t="str">
        <f>"603386"</f>
        <v>603386</v>
      </c>
      <c r="C1301" t="s">
        <v>2887</v>
      </c>
      <c r="D1301" t="s">
        <v>425</v>
      </c>
      <c r="F1301">
        <v>178026787</v>
      </c>
      <c r="G1301">
        <v>83559001</v>
      </c>
      <c r="H1301">
        <v>19998365</v>
      </c>
      <c r="I1301">
        <v>63529004</v>
      </c>
      <c r="J1301">
        <v>48987888</v>
      </c>
      <c r="K1301">
        <v>44471393</v>
      </c>
      <c r="P1301">
        <v>180</v>
      </c>
      <c r="Q1301" t="s">
        <v>2888</v>
      </c>
    </row>
    <row r="1302" spans="1:17" x14ac:dyDescent="0.3">
      <c r="A1302" t="s">
        <v>17</v>
      </c>
      <c r="B1302" t="str">
        <f>"603387"</f>
        <v>603387</v>
      </c>
      <c r="C1302" t="s">
        <v>2889</v>
      </c>
      <c r="D1302" t="s">
        <v>1305</v>
      </c>
      <c r="F1302">
        <v>253115305</v>
      </c>
      <c r="G1302">
        <v>197122874</v>
      </c>
      <c r="H1302">
        <v>198868021</v>
      </c>
      <c r="I1302">
        <v>180232445</v>
      </c>
      <c r="J1302">
        <v>137982108</v>
      </c>
      <c r="K1302">
        <v>96021630</v>
      </c>
      <c r="P1302">
        <v>1500</v>
      </c>
      <c r="Q1302" t="s">
        <v>2890</v>
      </c>
    </row>
    <row r="1303" spans="1:17" x14ac:dyDescent="0.3">
      <c r="A1303" t="s">
        <v>17</v>
      </c>
      <c r="B1303" t="str">
        <f>"603388"</f>
        <v>603388</v>
      </c>
      <c r="C1303" t="s">
        <v>2891</v>
      </c>
      <c r="D1303" t="s">
        <v>2408</v>
      </c>
      <c r="F1303">
        <v>45744097</v>
      </c>
      <c r="G1303">
        <v>62975031</v>
      </c>
      <c r="H1303">
        <v>94077539</v>
      </c>
      <c r="I1303">
        <v>85270407</v>
      </c>
      <c r="J1303">
        <v>54830050</v>
      </c>
      <c r="K1303">
        <v>23145498</v>
      </c>
      <c r="P1303">
        <v>63</v>
      </c>
      <c r="Q1303" t="s">
        <v>2892</v>
      </c>
    </row>
    <row r="1304" spans="1:17" x14ac:dyDescent="0.3">
      <c r="A1304" t="s">
        <v>17</v>
      </c>
      <c r="B1304" t="str">
        <f>"603389"</f>
        <v>603389</v>
      </c>
      <c r="C1304" t="s">
        <v>2893</v>
      </c>
      <c r="D1304" t="s">
        <v>757</v>
      </c>
      <c r="F1304">
        <v>-33507980</v>
      </c>
      <c r="G1304">
        <v>-29604170</v>
      </c>
      <c r="H1304">
        <v>-41758426</v>
      </c>
      <c r="I1304">
        <v>-20932896</v>
      </c>
      <c r="J1304">
        <v>41893464</v>
      </c>
      <c r="K1304">
        <v>41780114</v>
      </c>
      <c r="P1304">
        <v>80</v>
      </c>
      <c r="Q1304" t="s">
        <v>2894</v>
      </c>
    </row>
    <row r="1305" spans="1:17" x14ac:dyDescent="0.3">
      <c r="A1305" t="s">
        <v>17</v>
      </c>
      <c r="B1305" t="str">
        <f>"603390"</f>
        <v>603390</v>
      </c>
      <c r="C1305" t="s">
        <v>2895</v>
      </c>
      <c r="D1305" t="s">
        <v>1415</v>
      </c>
      <c r="F1305">
        <v>10801022</v>
      </c>
      <c r="G1305">
        <v>23978770</v>
      </c>
      <c r="H1305">
        <v>103947275</v>
      </c>
      <c r="I1305">
        <v>103647126</v>
      </c>
      <c r="P1305">
        <v>89</v>
      </c>
      <c r="Q1305" t="s">
        <v>2896</v>
      </c>
    </row>
    <row r="1306" spans="1:17" x14ac:dyDescent="0.3">
      <c r="A1306" t="s">
        <v>17</v>
      </c>
      <c r="B1306" t="str">
        <f>"603392"</f>
        <v>603392</v>
      </c>
      <c r="C1306" t="s">
        <v>2897</v>
      </c>
      <c r="D1306" t="s">
        <v>1305</v>
      </c>
      <c r="F1306">
        <v>1188201004</v>
      </c>
      <c r="G1306">
        <v>466704008</v>
      </c>
      <c r="H1306">
        <v>125043955</v>
      </c>
      <c r="P1306">
        <v>552</v>
      </c>
      <c r="Q1306" t="s">
        <v>2898</v>
      </c>
    </row>
    <row r="1307" spans="1:17" x14ac:dyDescent="0.3">
      <c r="A1307" t="s">
        <v>17</v>
      </c>
      <c r="B1307" t="str">
        <f>"603393"</f>
        <v>603393</v>
      </c>
      <c r="C1307" t="s">
        <v>2899</v>
      </c>
      <c r="D1307" t="s">
        <v>749</v>
      </c>
      <c r="F1307">
        <v>908020282</v>
      </c>
      <c r="G1307">
        <v>234174806</v>
      </c>
      <c r="H1307">
        <v>269667155</v>
      </c>
      <c r="I1307">
        <v>124591657</v>
      </c>
      <c r="J1307">
        <v>153268991</v>
      </c>
      <c r="K1307">
        <v>119614151</v>
      </c>
      <c r="L1307">
        <v>127487320</v>
      </c>
      <c r="P1307">
        <v>498</v>
      </c>
      <c r="Q1307" t="s">
        <v>2900</v>
      </c>
    </row>
    <row r="1308" spans="1:17" x14ac:dyDescent="0.3">
      <c r="A1308" t="s">
        <v>17</v>
      </c>
      <c r="B1308" t="str">
        <f>"603396"</f>
        <v>603396</v>
      </c>
      <c r="C1308" t="s">
        <v>2901</v>
      </c>
      <c r="D1308" t="s">
        <v>2654</v>
      </c>
      <c r="F1308">
        <v>78501541</v>
      </c>
      <c r="G1308">
        <v>64505120</v>
      </c>
      <c r="H1308">
        <v>51154688</v>
      </c>
      <c r="I1308">
        <v>64215360</v>
      </c>
      <c r="J1308">
        <v>54463256</v>
      </c>
      <c r="K1308">
        <v>49043804</v>
      </c>
      <c r="P1308">
        <v>217</v>
      </c>
      <c r="Q1308" t="s">
        <v>2902</v>
      </c>
    </row>
    <row r="1309" spans="1:17" x14ac:dyDescent="0.3">
      <c r="A1309" t="s">
        <v>17</v>
      </c>
      <c r="B1309" t="str">
        <f>"603398"</f>
        <v>603398</v>
      </c>
      <c r="C1309" t="s">
        <v>2903</v>
      </c>
      <c r="D1309" t="s">
        <v>2904</v>
      </c>
      <c r="F1309">
        <v>32345445</v>
      </c>
      <c r="G1309">
        <v>36453843</v>
      </c>
      <c r="H1309">
        <v>61772400</v>
      </c>
      <c r="I1309">
        <v>30925683</v>
      </c>
      <c r="J1309">
        <v>46303714</v>
      </c>
      <c r="K1309">
        <v>49322448</v>
      </c>
      <c r="L1309">
        <v>50412034</v>
      </c>
      <c r="M1309">
        <v>39610629</v>
      </c>
      <c r="P1309">
        <v>89</v>
      </c>
      <c r="Q1309" t="s">
        <v>2905</v>
      </c>
    </row>
    <row r="1310" spans="1:17" x14ac:dyDescent="0.3">
      <c r="A1310" t="s">
        <v>17</v>
      </c>
      <c r="B1310" t="str">
        <f>"603399"</f>
        <v>603399</v>
      </c>
      <c r="C1310" t="s">
        <v>2906</v>
      </c>
      <c r="D1310" t="s">
        <v>2354</v>
      </c>
      <c r="F1310">
        <v>42900546</v>
      </c>
      <c r="G1310">
        <v>-150268658</v>
      </c>
      <c r="H1310">
        <v>-33498717</v>
      </c>
      <c r="I1310">
        <v>231368126</v>
      </c>
      <c r="J1310">
        <v>93255699</v>
      </c>
      <c r="K1310">
        <v>-59929732</v>
      </c>
      <c r="L1310">
        <v>-112120671</v>
      </c>
      <c r="M1310">
        <v>34241113</v>
      </c>
      <c r="N1310">
        <v>37469892</v>
      </c>
      <c r="O1310">
        <v>72109413</v>
      </c>
      <c r="P1310">
        <v>72</v>
      </c>
      <c r="Q1310" t="s">
        <v>2907</v>
      </c>
    </row>
    <row r="1311" spans="1:17" x14ac:dyDescent="0.3">
      <c r="A1311" t="s">
        <v>17</v>
      </c>
      <c r="B1311" t="str">
        <f>"603408"</f>
        <v>603408</v>
      </c>
      <c r="C1311" t="s">
        <v>2908</v>
      </c>
      <c r="D1311" t="s">
        <v>2885</v>
      </c>
      <c r="F1311">
        <v>301310327</v>
      </c>
      <c r="G1311">
        <v>260838591</v>
      </c>
      <c r="H1311">
        <v>244773770</v>
      </c>
      <c r="P1311">
        <v>98</v>
      </c>
      <c r="Q1311" t="s">
        <v>2909</v>
      </c>
    </row>
    <row r="1312" spans="1:17" x14ac:dyDescent="0.3">
      <c r="A1312" t="s">
        <v>17</v>
      </c>
      <c r="B1312" t="str">
        <f>"603416"</f>
        <v>603416</v>
      </c>
      <c r="C1312" t="s">
        <v>2910</v>
      </c>
      <c r="D1312" t="s">
        <v>2911</v>
      </c>
      <c r="F1312">
        <v>230028720</v>
      </c>
      <c r="G1312">
        <v>246437250</v>
      </c>
      <c r="H1312">
        <v>115912999</v>
      </c>
      <c r="I1312">
        <v>105116915</v>
      </c>
      <c r="J1312">
        <v>98006235</v>
      </c>
      <c r="K1312">
        <v>64381100</v>
      </c>
      <c r="L1312">
        <v>55716300</v>
      </c>
      <c r="P1312">
        <v>325</v>
      </c>
      <c r="Q1312" t="s">
        <v>2912</v>
      </c>
    </row>
    <row r="1313" spans="1:17" x14ac:dyDescent="0.3">
      <c r="A1313" t="s">
        <v>17</v>
      </c>
      <c r="B1313" t="str">
        <f>"603421"</f>
        <v>603421</v>
      </c>
      <c r="C1313" t="s">
        <v>2913</v>
      </c>
      <c r="D1313" t="s">
        <v>1019</v>
      </c>
      <c r="F1313">
        <v>-43747531</v>
      </c>
      <c r="G1313">
        <v>114357405</v>
      </c>
      <c r="H1313">
        <v>152525177</v>
      </c>
      <c r="I1313">
        <v>197552332</v>
      </c>
      <c r="J1313">
        <v>231797784</v>
      </c>
      <c r="K1313">
        <v>203009685</v>
      </c>
      <c r="L1313">
        <v>143545206</v>
      </c>
      <c r="P1313">
        <v>138</v>
      </c>
      <c r="Q1313" t="s">
        <v>2914</v>
      </c>
    </row>
    <row r="1314" spans="1:17" x14ac:dyDescent="0.3">
      <c r="A1314" t="s">
        <v>17</v>
      </c>
      <c r="B1314" t="str">
        <f>"603429"</f>
        <v>603429</v>
      </c>
      <c r="C1314" t="s">
        <v>2915</v>
      </c>
      <c r="D1314" t="s">
        <v>2156</v>
      </c>
      <c r="F1314">
        <v>91792759</v>
      </c>
      <c r="G1314">
        <v>34205848</v>
      </c>
      <c r="H1314">
        <v>100591694</v>
      </c>
      <c r="I1314">
        <v>75527957</v>
      </c>
      <c r="J1314">
        <v>70662402</v>
      </c>
      <c r="K1314">
        <v>33311541</v>
      </c>
      <c r="P1314">
        <v>368</v>
      </c>
      <c r="Q1314" t="s">
        <v>2916</v>
      </c>
    </row>
    <row r="1315" spans="1:17" x14ac:dyDescent="0.3">
      <c r="A1315" t="s">
        <v>17</v>
      </c>
      <c r="B1315" t="str">
        <f>"603439"</f>
        <v>603439</v>
      </c>
      <c r="C1315" t="s">
        <v>2917</v>
      </c>
      <c r="D1315" t="s">
        <v>188</v>
      </c>
      <c r="F1315">
        <v>111924173</v>
      </c>
      <c r="G1315">
        <v>48649348</v>
      </c>
      <c r="H1315">
        <v>94064091</v>
      </c>
      <c r="P1315">
        <v>293</v>
      </c>
      <c r="Q1315" t="s">
        <v>2918</v>
      </c>
    </row>
    <row r="1316" spans="1:17" x14ac:dyDescent="0.3">
      <c r="A1316" t="s">
        <v>17</v>
      </c>
      <c r="B1316" t="str">
        <f>"603444"</f>
        <v>603444</v>
      </c>
      <c r="C1316" t="s">
        <v>2919</v>
      </c>
      <c r="D1316" t="s">
        <v>517</v>
      </c>
      <c r="F1316">
        <v>1205504197</v>
      </c>
      <c r="G1316">
        <v>794687099</v>
      </c>
      <c r="H1316">
        <v>669936589</v>
      </c>
      <c r="I1316">
        <v>506890244</v>
      </c>
      <c r="J1316">
        <v>443459289</v>
      </c>
      <c r="K1316">
        <v>461543974</v>
      </c>
      <c r="L1316">
        <v>137500382</v>
      </c>
      <c r="P1316">
        <v>4237</v>
      </c>
      <c r="Q1316" t="s">
        <v>2920</v>
      </c>
    </row>
    <row r="1317" spans="1:17" x14ac:dyDescent="0.3">
      <c r="A1317" t="s">
        <v>17</v>
      </c>
      <c r="B1317" t="str">
        <f>"603456"</f>
        <v>603456</v>
      </c>
      <c r="C1317" t="s">
        <v>2921</v>
      </c>
      <c r="D1317" t="s">
        <v>1461</v>
      </c>
      <c r="F1317">
        <v>473122149</v>
      </c>
      <c r="G1317">
        <v>239369327</v>
      </c>
      <c r="H1317">
        <v>135684041</v>
      </c>
      <c r="I1317">
        <v>94745282</v>
      </c>
      <c r="J1317">
        <v>113923919</v>
      </c>
      <c r="K1317">
        <v>86287995</v>
      </c>
      <c r="L1317">
        <v>168866932</v>
      </c>
      <c r="M1317">
        <v>107280907</v>
      </c>
      <c r="N1317">
        <v>118085973</v>
      </c>
      <c r="P1317">
        <v>453</v>
      </c>
      <c r="Q1317" t="s">
        <v>2922</v>
      </c>
    </row>
    <row r="1318" spans="1:17" x14ac:dyDescent="0.3">
      <c r="A1318" t="s">
        <v>17</v>
      </c>
      <c r="B1318" t="str">
        <f>"603458"</f>
        <v>603458</v>
      </c>
      <c r="C1318" t="s">
        <v>2923</v>
      </c>
      <c r="D1318" t="s">
        <v>1272</v>
      </c>
      <c r="F1318">
        <v>289921060</v>
      </c>
      <c r="G1318">
        <v>286603535</v>
      </c>
      <c r="H1318">
        <v>242245668</v>
      </c>
      <c r="I1318">
        <v>219080462</v>
      </c>
      <c r="J1318">
        <v>254634524</v>
      </c>
      <c r="K1318">
        <v>116957381</v>
      </c>
      <c r="P1318">
        <v>474</v>
      </c>
      <c r="Q1318" t="s">
        <v>2924</v>
      </c>
    </row>
    <row r="1319" spans="1:17" x14ac:dyDescent="0.3">
      <c r="A1319" t="s">
        <v>17</v>
      </c>
      <c r="B1319" t="str">
        <f>"603466"</f>
        <v>603466</v>
      </c>
      <c r="C1319" t="s">
        <v>2925</v>
      </c>
      <c r="D1319" t="s">
        <v>2926</v>
      </c>
      <c r="F1319">
        <v>391008563</v>
      </c>
      <c r="G1319">
        <v>274840989</v>
      </c>
      <c r="H1319">
        <v>207211994</v>
      </c>
      <c r="I1319">
        <v>172440250</v>
      </c>
      <c r="J1319">
        <v>147663188</v>
      </c>
      <c r="K1319">
        <v>111467690</v>
      </c>
      <c r="P1319">
        <v>406</v>
      </c>
      <c r="Q1319" t="s">
        <v>2927</v>
      </c>
    </row>
    <row r="1320" spans="1:17" x14ac:dyDescent="0.3">
      <c r="A1320" t="s">
        <v>17</v>
      </c>
      <c r="B1320" t="str">
        <f>"603477"</f>
        <v>603477</v>
      </c>
      <c r="C1320" t="s">
        <v>2928</v>
      </c>
      <c r="D1320" t="s">
        <v>2929</v>
      </c>
      <c r="F1320">
        <v>202614625</v>
      </c>
      <c r="G1320">
        <v>34735013</v>
      </c>
      <c r="H1320">
        <v>36630321</v>
      </c>
      <c r="I1320">
        <v>48001487</v>
      </c>
      <c r="J1320">
        <v>46259875</v>
      </c>
      <c r="K1320">
        <v>34790431</v>
      </c>
      <c r="P1320">
        <v>134</v>
      </c>
      <c r="Q1320" t="s">
        <v>2930</v>
      </c>
    </row>
    <row r="1321" spans="1:17" x14ac:dyDescent="0.3">
      <c r="A1321" t="s">
        <v>17</v>
      </c>
      <c r="B1321" t="str">
        <f>"603486"</f>
        <v>603486</v>
      </c>
      <c r="C1321" t="s">
        <v>2931</v>
      </c>
      <c r="D1321" t="s">
        <v>2697</v>
      </c>
      <c r="F1321">
        <v>1330464101</v>
      </c>
      <c r="G1321">
        <v>250063644</v>
      </c>
      <c r="H1321">
        <v>101170205</v>
      </c>
      <c r="I1321">
        <v>287506980</v>
      </c>
      <c r="J1321">
        <v>214801844</v>
      </c>
      <c r="P1321">
        <v>833</v>
      </c>
      <c r="Q1321" t="s">
        <v>2932</v>
      </c>
    </row>
    <row r="1322" spans="1:17" x14ac:dyDescent="0.3">
      <c r="A1322" t="s">
        <v>17</v>
      </c>
      <c r="B1322" t="str">
        <f>"603488"</f>
        <v>603488</v>
      </c>
      <c r="C1322" t="s">
        <v>2933</v>
      </c>
      <c r="D1322" t="s">
        <v>1689</v>
      </c>
      <c r="F1322">
        <v>53753423</v>
      </c>
      <c r="G1322">
        <v>70000639</v>
      </c>
      <c r="H1322">
        <v>57234614</v>
      </c>
      <c r="I1322">
        <v>49642302</v>
      </c>
      <c r="J1322">
        <v>51716679</v>
      </c>
      <c r="K1322">
        <v>53786574</v>
      </c>
      <c r="P1322">
        <v>64</v>
      </c>
      <c r="Q1322" t="s">
        <v>2934</v>
      </c>
    </row>
    <row r="1323" spans="1:17" x14ac:dyDescent="0.3">
      <c r="A1323" t="s">
        <v>17</v>
      </c>
      <c r="B1323" t="str">
        <f>"603489"</f>
        <v>603489</v>
      </c>
      <c r="C1323" t="s">
        <v>2935</v>
      </c>
      <c r="D1323" t="s">
        <v>1171</v>
      </c>
      <c r="F1323">
        <v>434044059</v>
      </c>
      <c r="G1323">
        <v>306263800</v>
      </c>
      <c r="H1323">
        <v>239151186</v>
      </c>
      <c r="I1323">
        <v>161513793</v>
      </c>
      <c r="P1323">
        <v>490</v>
      </c>
      <c r="Q1323" t="s">
        <v>2936</v>
      </c>
    </row>
    <row r="1324" spans="1:17" x14ac:dyDescent="0.3">
      <c r="A1324" t="s">
        <v>17</v>
      </c>
      <c r="B1324" t="str">
        <f>"603496"</f>
        <v>603496</v>
      </c>
      <c r="C1324" t="s">
        <v>2937</v>
      </c>
      <c r="D1324" t="s">
        <v>236</v>
      </c>
      <c r="F1324">
        <v>45043495</v>
      </c>
      <c r="G1324">
        <v>6634845</v>
      </c>
      <c r="H1324">
        <v>71436590</v>
      </c>
      <c r="I1324">
        <v>82649407</v>
      </c>
      <c r="J1324">
        <v>55547491</v>
      </c>
      <c r="K1324">
        <v>46542525</v>
      </c>
      <c r="P1324">
        <v>193</v>
      </c>
      <c r="Q1324" t="s">
        <v>2938</v>
      </c>
    </row>
    <row r="1325" spans="1:17" x14ac:dyDescent="0.3">
      <c r="A1325" t="s">
        <v>17</v>
      </c>
      <c r="B1325" t="str">
        <f>"603499"</f>
        <v>603499</v>
      </c>
      <c r="C1325" t="s">
        <v>2939</v>
      </c>
      <c r="D1325" t="s">
        <v>2156</v>
      </c>
      <c r="F1325">
        <v>-8209537</v>
      </c>
      <c r="G1325">
        <v>7216825</v>
      </c>
      <c r="H1325">
        <v>20890657</v>
      </c>
      <c r="I1325">
        <v>38100701</v>
      </c>
      <c r="J1325">
        <v>36440882</v>
      </c>
      <c r="K1325">
        <v>33043021</v>
      </c>
      <c r="P1325">
        <v>83</v>
      </c>
      <c r="Q1325" t="s">
        <v>2940</v>
      </c>
    </row>
    <row r="1326" spans="1:17" x14ac:dyDescent="0.3">
      <c r="A1326" t="s">
        <v>17</v>
      </c>
      <c r="B1326" t="str">
        <f>"603500"</f>
        <v>603500</v>
      </c>
      <c r="C1326" t="s">
        <v>2941</v>
      </c>
      <c r="D1326" t="s">
        <v>1012</v>
      </c>
      <c r="F1326">
        <v>47569071</v>
      </c>
      <c r="G1326">
        <v>38399910</v>
      </c>
      <c r="H1326">
        <v>65115951</v>
      </c>
      <c r="I1326">
        <v>46603980</v>
      </c>
      <c r="J1326">
        <v>56728786</v>
      </c>
      <c r="K1326">
        <v>50468584</v>
      </c>
      <c r="P1326">
        <v>91</v>
      </c>
      <c r="Q1326" t="s">
        <v>2942</v>
      </c>
    </row>
    <row r="1327" spans="1:17" x14ac:dyDescent="0.3">
      <c r="A1327" t="s">
        <v>17</v>
      </c>
      <c r="B1327" t="str">
        <f>"603501"</f>
        <v>603501</v>
      </c>
      <c r="C1327" t="s">
        <v>2943</v>
      </c>
      <c r="D1327" t="s">
        <v>461</v>
      </c>
      <c r="F1327">
        <v>3518484331</v>
      </c>
      <c r="G1327">
        <v>1726573375</v>
      </c>
      <c r="H1327">
        <v>135126461</v>
      </c>
      <c r="I1327">
        <v>245927202</v>
      </c>
      <c r="J1327">
        <v>100357753</v>
      </c>
      <c r="K1327">
        <v>106483615</v>
      </c>
      <c r="P1327">
        <v>2200</v>
      </c>
      <c r="Q1327" t="s">
        <v>2944</v>
      </c>
    </row>
    <row r="1328" spans="1:17" x14ac:dyDescent="0.3">
      <c r="A1328" t="s">
        <v>17</v>
      </c>
      <c r="B1328" t="str">
        <f>"603505"</f>
        <v>603505</v>
      </c>
      <c r="C1328" t="s">
        <v>2945</v>
      </c>
      <c r="D1328" t="s">
        <v>375</v>
      </c>
      <c r="F1328">
        <v>169637425</v>
      </c>
      <c r="G1328">
        <v>167571573</v>
      </c>
      <c r="H1328">
        <v>165735979</v>
      </c>
      <c r="I1328">
        <v>70959328</v>
      </c>
      <c r="J1328">
        <v>49051630</v>
      </c>
      <c r="K1328">
        <v>30542575</v>
      </c>
      <c r="P1328">
        <v>325</v>
      </c>
      <c r="Q1328" t="s">
        <v>2946</v>
      </c>
    </row>
    <row r="1329" spans="1:17" x14ac:dyDescent="0.3">
      <c r="A1329" t="s">
        <v>17</v>
      </c>
      <c r="B1329" t="str">
        <f>"603506"</f>
        <v>603506</v>
      </c>
      <c r="C1329" t="s">
        <v>2947</v>
      </c>
      <c r="D1329" t="s">
        <v>2948</v>
      </c>
      <c r="F1329">
        <v>135041124</v>
      </c>
      <c r="G1329">
        <v>105053838</v>
      </c>
      <c r="H1329">
        <v>86595385</v>
      </c>
      <c r="I1329">
        <v>65895484</v>
      </c>
      <c r="J1329">
        <v>50565700</v>
      </c>
      <c r="K1329">
        <v>45618300</v>
      </c>
      <c r="P1329">
        <v>355</v>
      </c>
      <c r="Q1329" t="s">
        <v>2949</v>
      </c>
    </row>
    <row r="1330" spans="1:17" x14ac:dyDescent="0.3">
      <c r="A1330" t="s">
        <v>17</v>
      </c>
      <c r="B1330" t="str">
        <f>"603507"</f>
        <v>603507</v>
      </c>
      <c r="C1330" t="s">
        <v>2950</v>
      </c>
      <c r="D1330" t="s">
        <v>950</v>
      </c>
      <c r="F1330">
        <v>130794132</v>
      </c>
      <c r="G1330">
        <v>59275129</v>
      </c>
      <c r="H1330">
        <v>1632093</v>
      </c>
      <c r="I1330">
        <v>61252530</v>
      </c>
      <c r="J1330">
        <v>105376189</v>
      </c>
      <c r="K1330">
        <v>103956675</v>
      </c>
      <c r="P1330">
        <v>135</v>
      </c>
      <c r="Q1330" t="s">
        <v>2951</v>
      </c>
    </row>
    <row r="1331" spans="1:17" x14ac:dyDescent="0.3">
      <c r="A1331" t="s">
        <v>17</v>
      </c>
      <c r="B1331" t="str">
        <f>"603508"</f>
        <v>603508</v>
      </c>
      <c r="C1331" t="s">
        <v>2952</v>
      </c>
      <c r="D1331" t="s">
        <v>2953</v>
      </c>
      <c r="F1331">
        <v>262142791</v>
      </c>
      <c r="G1331">
        <v>178687142</v>
      </c>
      <c r="H1331">
        <v>743891205</v>
      </c>
      <c r="I1331">
        <v>135078727</v>
      </c>
      <c r="J1331">
        <v>100863059</v>
      </c>
      <c r="K1331">
        <v>106903990</v>
      </c>
      <c r="L1331">
        <v>164746127</v>
      </c>
      <c r="M1331">
        <v>141239192</v>
      </c>
      <c r="P1331">
        <v>219</v>
      </c>
      <c r="Q1331" t="s">
        <v>2954</v>
      </c>
    </row>
    <row r="1332" spans="1:17" x14ac:dyDescent="0.3">
      <c r="A1332" t="s">
        <v>17</v>
      </c>
      <c r="B1332" t="str">
        <f>"603511"</f>
        <v>603511</v>
      </c>
      <c r="C1332" t="s">
        <v>2955</v>
      </c>
      <c r="D1332" t="s">
        <v>330</v>
      </c>
      <c r="F1332">
        <v>258993148</v>
      </c>
      <c r="P1332">
        <v>47</v>
      </c>
      <c r="Q1332" t="s">
        <v>2956</v>
      </c>
    </row>
    <row r="1333" spans="1:17" x14ac:dyDescent="0.3">
      <c r="A1333" t="s">
        <v>17</v>
      </c>
      <c r="B1333" t="str">
        <f>"603515"</f>
        <v>603515</v>
      </c>
      <c r="C1333" t="s">
        <v>2957</v>
      </c>
      <c r="D1333" t="s">
        <v>598</v>
      </c>
      <c r="F1333">
        <v>623625914</v>
      </c>
      <c r="G1333">
        <v>509082616</v>
      </c>
      <c r="H1333">
        <v>602188050</v>
      </c>
      <c r="I1333">
        <v>570279799</v>
      </c>
      <c r="J1333">
        <v>415928987</v>
      </c>
      <c r="K1333">
        <v>299025970</v>
      </c>
      <c r="L1333">
        <v>247669935</v>
      </c>
      <c r="P1333">
        <v>2557</v>
      </c>
      <c r="Q1333" t="s">
        <v>2958</v>
      </c>
    </row>
    <row r="1334" spans="1:17" x14ac:dyDescent="0.3">
      <c r="A1334" t="s">
        <v>17</v>
      </c>
      <c r="B1334" t="str">
        <f>"603516"</f>
        <v>603516</v>
      </c>
      <c r="C1334" t="s">
        <v>2959</v>
      </c>
      <c r="D1334" t="s">
        <v>236</v>
      </c>
      <c r="F1334">
        <v>51052386</v>
      </c>
      <c r="G1334">
        <v>84249522</v>
      </c>
      <c r="H1334">
        <v>96794776</v>
      </c>
      <c r="I1334">
        <v>68731168</v>
      </c>
      <c r="J1334">
        <v>72152640</v>
      </c>
      <c r="P1334">
        <v>202</v>
      </c>
      <c r="Q1334" t="s">
        <v>2960</v>
      </c>
    </row>
    <row r="1335" spans="1:17" x14ac:dyDescent="0.3">
      <c r="A1335" t="s">
        <v>17</v>
      </c>
      <c r="B1335" t="str">
        <f>"603517"</f>
        <v>603517</v>
      </c>
      <c r="C1335" t="s">
        <v>2961</v>
      </c>
      <c r="D1335" t="s">
        <v>2962</v>
      </c>
      <c r="F1335">
        <v>964082284</v>
      </c>
      <c r="G1335">
        <v>520026136</v>
      </c>
      <c r="H1335">
        <v>614167246</v>
      </c>
      <c r="I1335">
        <v>487183676</v>
      </c>
      <c r="J1335">
        <v>377578075</v>
      </c>
      <c r="K1335">
        <v>272769489</v>
      </c>
      <c r="P1335">
        <v>2367</v>
      </c>
      <c r="Q1335" t="s">
        <v>2963</v>
      </c>
    </row>
    <row r="1336" spans="1:17" x14ac:dyDescent="0.3">
      <c r="A1336" t="s">
        <v>17</v>
      </c>
      <c r="B1336" t="str">
        <f>"603518"</f>
        <v>603518</v>
      </c>
      <c r="C1336" t="s">
        <v>2964</v>
      </c>
      <c r="D1336" t="s">
        <v>255</v>
      </c>
      <c r="F1336">
        <v>140561376</v>
      </c>
      <c r="G1336">
        <v>-917682080</v>
      </c>
      <c r="H1336">
        <v>30152551</v>
      </c>
      <c r="I1336">
        <v>136951159</v>
      </c>
      <c r="J1336">
        <v>56739187</v>
      </c>
      <c r="K1336">
        <v>67476963</v>
      </c>
      <c r="L1336">
        <v>77063970</v>
      </c>
      <c r="M1336">
        <v>88704481</v>
      </c>
      <c r="N1336">
        <v>84822051</v>
      </c>
      <c r="P1336">
        <v>204</v>
      </c>
      <c r="Q1336" t="s">
        <v>2965</v>
      </c>
    </row>
    <row r="1337" spans="1:17" x14ac:dyDescent="0.3">
      <c r="A1337" t="s">
        <v>17</v>
      </c>
      <c r="B1337" t="str">
        <f>"603519"</f>
        <v>603519</v>
      </c>
      <c r="C1337" t="s">
        <v>2966</v>
      </c>
      <c r="D1337" t="s">
        <v>1253</v>
      </c>
      <c r="F1337">
        <v>74888713</v>
      </c>
      <c r="G1337">
        <v>80449335</v>
      </c>
      <c r="H1337">
        <v>113289934</v>
      </c>
      <c r="I1337">
        <v>60611034</v>
      </c>
      <c r="J1337">
        <v>59485113</v>
      </c>
      <c r="K1337">
        <v>51680950</v>
      </c>
      <c r="L1337">
        <v>46764239</v>
      </c>
      <c r="M1337">
        <v>42996443</v>
      </c>
      <c r="P1337">
        <v>148</v>
      </c>
      <c r="Q1337" t="s">
        <v>2967</v>
      </c>
    </row>
    <row r="1338" spans="1:17" x14ac:dyDescent="0.3">
      <c r="A1338" t="s">
        <v>17</v>
      </c>
      <c r="B1338" t="str">
        <f>"603520"</f>
        <v>603520</v>
      </c>
      <c r="C1338" t="s">
        <v>2968</v>
      </c>
      <c r="D1338" t="s">
        <v>496</v>
      </c>
      <c r="F1338">
        <v>219495272</v>
      </c>
      <c r="G1338">
        <v>198449660</v>
      </c>
      <c r="H1338">
        <v>137433928</v>
      </c>
      <c r="I1338">
        <v>84794304</v>
      </c>
      <c r="J1338">
        <v>70176226</v>
      </c>
      <c r="K1338">
        <v>62261920</v>
      </c>
      <c r="L1338">
        <v>49724310</v>
      </c>
      <c r="P1338">
        <v>382</v>
      </c>
      <c r="Q1338" t="s">
        <v>2969</v>
      </c>
    </row>
    <row r="1339" spans="1:17" x14ac:dyDescent="0.3">
      <c r="A1339" t="s">
        <v>17</v>
      </c>
      <c r="B1339" t="str">
        <f>"603527"</f>
        <v>603527</v>
      </c>
      <c r="C1339" t="s">
        <v>2970</v>
      </c>
      <c r="D1339" t="s">
        <v>263</v>
      </c>
      <c r="F1339">
        <v>107166078</v>
      </c>
      <c r="G1339">
        <v>51178813</v>
      </c>
      <c r="H1339">
        <v>68011141</v>
      </c>
      <c r="I1339">
        <v>71244088</v>
      </c>
      <c r="J1339">
        <v>60291440</v>
      </c>
      <c r="K1339">
        <v>52683124</v>
      </c>
      <c r="P1339">
        <v>53</v>
      </c>
      <c r="Q1339" t="s">
        <v>2971</v>
      </c>
    </row>
    <row r="1340" spans="1:17" x14ac:dyDescent="0.3">
      <c r="A1340" t="s">
        <v>17</v>
      </c>
      <c r="B1340" t="str">
        <f>"603528"</f>
        <v>603528</v>
      </c>
      <c r="C1340" t="s">
        <v>2972</v>
      </c>
      <c r="D1340" t="s">
        <v>945</v>
      </c>
      <c r="F1340">
        <v>15169392</v>
      </c>
      <c r="G1340">
        <v>56057601</v>
      </c>
      <c r="H1340">
        <v>108584507</v>
      </c>
      <c r="I1340">
        <v>107261869</v>
      </c>
      <c r="J1340">
        <v>84057927</v>
      </c>
      <c r="K1340">
        <v>244571549</v>
      </c>
      <c r="L1340">
        <v>232708065</v>
      </c>
      <c r="P1340">
        <v>195</v>
      </c>
      <c r="Q1340" t="s">
        <v>2973</v>
      </c>
    </row>
    <row r="1341" spans="1:17" x14ac:dyDescent="0.3">
      <c r="A1341" t="s">
        <v>17</v>
      </c>
      <c r="B1341" t="str">
        <f>"603529"</f>
        <v>603529</v>
      </c>
      <c r="C1341" t="s">
        <v>2974</v>
      </c>
      <c r="D1341" t="s">
        <v>233</v>
      </c>
      <c r="F1341">
        <v>577666935</v>
      </c>
      <c r="P1341">
        <v>73</v>
      </c>
      <c r="Q1341" t="s">
        <v>2975</v>
      </c>
    </row>
    <row r="1342" spans="1:17" x14ac:dyDescent="0.3">
      <c r="A1342" t="s">
        <v>17</v>
      </c>
      <c r="B1342" t="str">
        <f>"603530"</f>
        <v>603530</v>
      </c>
      <c r="C1342" t="s">
        <v>2976</v>
      </c>
      <c r="D1342" t="s">
        <v>1164</v>
      </c>
      <c r="F1342">
        <v>63688858</v>
      </c>
      <c r="G1342">
        <v>109111029</v>
      </c>
      <c r="H1342">
        <v>79615850</v>
      </c>
      <c r="I1342">
        <v>78476369</v>
      </c>
      <c r="P1342">
        <v>88</v>
      </c>
      <c r="Q1342" t="s">
        <v>2977</v>
      </c>
    </row>
    <row r="1343" spans="1:17" x14ac:dyDescent="0.3">
      <c r="A1343" t="s">
        <v>17</v>
      </c>
      <c r="B1343" t="str">
        <f>"603533"</f>
        <v>603533</v>
      </c>
      <c r="C1343" t="s">
        <v>2978</v>
      </c>
      <c r="D1343" t="s">
        <v>2979</v>
      </c>
      <c r="F1343">
        <v>148743040</v>
      </c>
      <c r="G1343">
        <v>166115486</v>
      </c>
      <c r="H1343">
        <v>108039361</v>
      </c>
      <c r="I1343">
        <v>114842296</v>
      </c>
      <c r="J1343">
        <v>97401029</v>
      </c>
      <c r="K1343">
        <v>47637037</v>
      </c>
      <c r="P1343">
        <v>872</v>
      </c>
      <c r="Q1343" t="s">
        <v>2980</v>
      </c>
    </row>
    <row r="1344" spans="1:17" x14ac:dyDescent="0.3">
      <c r="A1344" t="s">
        <v>17</v>
      </c>
      <c r="B1344" t="str">
        <f>"603535"</f>
        <v>603535</v>
      </c>
      <c r="C1344" t="s">
        <v>2981</v>
      </c>
      <c r="D1344" t="s">
        <v>287</v>
      </c>
      <c r="F1344">
        <v>160031855</v>
      </c>
      <c r="G1344">
        <v>132153626</v>
      </c>
      <c r="H1344">
        <v>108078247</v>
      </c>
      <c r="I1344">
        <v>102132878</v>
      </c>
      <c r="J1344">
        <v>82024754</v>
      </c>
      <c r="K1344">
        <v>66030847</v>
      </c>
      <c r="P1344">
        <v>85</v>
      </c>
      <c r="Q1344" t="s">
        <v>2982</v>
      </c>
    </row>
    <row r="1345" spans="1:17" x14ac:dyDescent="0.3">
      <c r="A1345" t="s">
        <v>17</v>
      </c>
      <c r="B1345" t="str">
        <f>"603536"</f>
        <v>603536</v>
      </c>
      <c r="C1345" t="s">
        <v>2983</v>
      </c>
      <c r="D1345" t="s">
        <v>2838</v>
      </c>
      <c r="F1345">
        <v>-87588082</v>
      </c>
      <c r="G1345">
        <v>13220121</v>
      </c>
      <c r="H1345">
        <v>-40344581</v>
      </c>
      <c r="I1345">
        <v>20234542</v>
      </c>
      <c r="J1345">
        <v>30050441</v>
      </c>
      <c r="K1345">
        <v>-24740504</v>
      </c>
      <c r="P1345">
        <v>125</v>
      </c>
      <c r="Q1345" t="s">
        <v>2984</v>
      </c>
    </row>
    <row r="1346" spans="1:17" x14ac:dyDescent="0.3">
      <c r="A1346" t="s">
        <v>17</v>
      </c>
      <c r="B1346" t="str">
        <f>"603538"</f>
        <v>603538</v>
      </c>
      <c r="C1346" t="s">
        <v>2985</v>
      </c>
      <c r="D1346" t="s">
        <v>496</v>
      </c>
      <c r="F1346">
        <v>135391439</v>
      </c>
      <c r="G1346">
        <v>141025307</v>
      </c>
      <c r="H1346">
        <v>127965850</v>
      </c>
      <c r="I1346">
        <v>64397026</v>
      </c>
      <c r="J1346">
        <v>35596212</v>
      </c>
      <c r="K1346">
        <v>61592407</v>
      </c>
      <c r="P1346">
        <v>265</v>
      </c>
      <c r="Q1346" t="s">
        <v>2986</v>
      </c>
    </row>
    <row r="1347" spans="1:17" x14ac:dyDescent="0.3">
      <c r="A1347" t="s">
        <v>17</v>
      </c>
      <c r="B1347" t="str">
        <f>"603551"</f>
        <v>603551</v>
      </c>
      <c r="C1347" t="s">
        <v>2987</v>
      </c>
      <c r="D1347" t="s">
        <v>2865</v>
      </c>
      <c r="F1347">
        <v>140450227</v>
      </c>
      <c r="G1347">
        <v>126680858</v>
      </c>
      <c r="H1347">
        <v>229813110</v>
      </c>
      <c r="I1347">
        <v>239486398</v>
      </c>
      <c r="P1347">
        <v>116</v>
      </c>
      <c r="Q1347" t="s">
        <v>2988</v>
      </c>
    </row>
    <row r="1348" spans="1:17" x14ac:dyDescent="0.3">
      <c r="A1348" t="s">
        <v>17</v>
      </c>
      <c r="B1348" t="str">
        <f>"603555"</f>
        <v>603555</v>
      </c>
      <c r="C1348" t="s">
        <v>2989</v>
      </c>
      <c r="D1348" t="s">
        <v>2990</v>
      </c>
      <c r="F1348">
        <v>399451957</v>
      </c>
      <c r="G1348">
        <v>-259051782</v>
      </c>
      <c r="H1348">
        <v>-166079654</v>
      </c>
      <c r="I1348">
        <v>16059121</v>
      </c>
      <c r="J1348">
        <v>147897175</v>
      </c>
      <c r="K1348">
        <v>178077846</v>
      </c>
      <c r="L1348">
        <v>204522542</v>
      </c>
      <c r="M1348">
        <v>191483256</v>
      </c>
      <c r="N1348">
        <v>248870972</v>
      </c>
      <c r="P1348">
        <v>81</v>
      </c>
      <c r="Q1348" t="s">
        <v>2991</v>
      </c>
    </row>
    <row r="1349" spans="1:17" x14ac:dyDescent="0.3">
      <c r="A1349" t="s">
        <v>17</v>
      </c>
      <c r="B1349" t="str">
        <f>"603556"</f>
        <v>603556</v>
      </c>
      <c r="C1349" t="s">
        <v>2992</v>
      </c>
      <c r="D1349" t="s">
        <v>2171</v>
      </c>
      <c r="F1349">
        <v>177650634</v>
      </c>
      <c r="G1349">
        <v>389793709</v>
      </c>
      <c r="H1349">
        <v>370968737</v>
      </c>
      <c r="I1349">
        <v>278943344</v>
      </c>
      <c r="J1349">
        <v>411337266</v>
      </c>
      <c r="K1349">
        <v>362065461</v>
      </c>
      <c r="L1349">
        <v>254143480</v>
      </c>
      <c r="P1349">
        <v>218</v>
      </c>
      <c r="Q1349" t="s">
        <v>2993</v>
      </c>
    </row>
    <row r="1350" spans="1:17" x14ac:dyDescent="0.3">
      <c r="A1350" t="s">
        <v>17</v>
      </c>
      <c r="B1350" t="str">
        <f>"603557"</f>
        <v>603557</v>
      </c>
      <c r="C1350" t="s">
        <v>2994</v>
      </c>
      <c r="D1350" t="s">
        <v>330</v>
      </c>
      <c r="F1350">
        <v>-28988755</v>
      </c>
      <c r="G1350">
        <v>90486471</v>
      </c>
      <c r="H1350">
        <v>151112776</v>
      </c>
      <c r="I1350">
        <v>147487573</v>
      </c>
      <c r="J1350">
        <v>140297155</v>
      </c>
      <c r="K1350">
        <v>118433594</v>
      </c>
      <c r="P1350">
        <v>118</v>
      </c>
      <c r="Q1350" t="s">
        <v>2995</v>
      </c>
    </row>
    <row r="1351" spans="1:17" x14ac:dyDescent="0.3">
      <c r="A1351" t="s">
        <v>17</v>
      </c>
      <c r="B1351" t="str">
        <f>"603558"</f>
        <v>603558</v>
      </c>
      <c r="C1351" t="s">
        <v>2996</v>
      </c>
      <c r="D1351" t="s">
        <v>1009</v>
      </c>
      <c r="F1351">
        <v>181134388</v>
      </c>
      <c r="G1351">
        <v>58304871</v>
      </c>
      <c r="H1351">
        <v>227603105</v>
      </c>
      <c r="I1351">
        <v>173690553</v>
      </c>
      <c r="J1351">
        <v>106130882</v>
      </c>
      <c r="K1351">
        <v>104734200</v>
      </c>
      <c r="L1351">
        <v>87950004</v>
      </c>
      <c r="M1351">
        <v>63979084</v>
      </c>
      <c r="N1351">
        <v>57838951</v>
      </c>
      <c r="P1351">
        <v>136</v>
      </c>
      <c r="Q1351" t="s">
        <v>2997</v>
      </c>
    </row>
    <row r="1352" spans="1:17" x14ac:dyDescent="0.3">
      <c r="A1352" t="s">
        <v>17</v>
      </c>
      <c r="B1352" t="str">
        <f>"603559"</f>
        <v>603559</v>
      </c>
      <c r="C1352" t="s">
        <v>2998</v>
      </c>
      <c r="D1352" t="s">
        <v>654</v>
      </c>
      <c r="F1352">
        <v>-45533731</v>
      </c>
      <c r="G1352">
        <v>3201342</v>
      </c>
      <c r="H1352">
        <v>26957264</v>
      </c>
      <c r="I1352">
        <v>16015922</v>
      </c>
      <c r="J1352">
        <v>14926449</v>
      </c>
      <c r="K1352">
        <v>21824078</v>
      </c>
      <c r="L1352">
        <v>15867956</v>
      </c>
      <c r="P1352">
        <v>159</v>
      </c>
      <c r="Q1352" t="s">
        <v>2999</v>
      </c>
    </row>
    <row r="1353" spans="1:17" x14ac:dyDescent="0.3">
      <c r="A1353" t="s">
        <v>17</v>
      </c>
      <c r="B1353" t="str">
        <f>"603565"</f>
        <v>603565</v>
      </c>
      <c r="C1353" t="s">
        <v>3000</v>
      </c>
      <c r="D1353" t="s">
        <v>69</v>
      </c>
      <c r="F1353">
        <v>1551421082</v>
      </c>
      <c r="G1353">
        <v>494520023</v>
      </c>
      <c r="H1353">
        <v>551492656</v>
      </c>
      <c r="P1353">
        <v>225</v>
      </c>
      <c r="Q1353" t="s">
        <v>3001</v>
      </c>
    </row>
    <row r="1354" spans="1:17" x14ac:dyDescent="0.3">
      <c r="A1354" t="s">
        <v>17</v>
      </c>
      <c r="B1354" t="str">
        <f>"603566"</f>
        <v>603566</v>
      </c>
      <c r="C1354" t="s">
        <v>3002</v>
      </c>
      <c r="D1354" t="s">
        <v>453</v>
      </c>
      <c r="F1354">
        <v>230629480</v>
      </c>
      <c r="G1354">
        <v>160471917</v>
      </c>
      <c r="H1354">
        <v>95069749</v>
      </c>
      <c r="I1354">
        <v>119089696</v>
      </c>
      <c r="J1354">
        <v>92422483</v>
      </c>
      <c r="K1354">
        <v>156207853</v>
      </c>
      <c r="L1354">
        <v>117178248</v>
      </c>
      <c r="M1354">
        <v>105243953</v>
      </c>
      <c r="P1354">
        <v>233</v>
      </c>
      <c r="Q1354" t="s">
        <v>3003</v>
      </c>
    </row>
    <row r="1355" spans="1:17" x14ac:dyDescent="0.3">
      <c r="A1355" t="s">
        <v>17</v>
      </c>
      <c r="B1355" t="str">
        <f>"603567"</f>
        <v>603567</v>
      </c>
      <c r="C1355" t="s">
        <v>3004</v>
      </c>
      <c r="D1355" t="s">
        <v>188</v>
      </c>
      <c r="F1355">
        <v>242419593</v>
      </c>
      <c r="G1355">
        <v>240821172</v>
      </c>
      <c r="H1355">
        <v>337959075</v>
      </c>
      <c r="I1355">
        <v>372714102</v>
      </c>
      <c r="J1355">
        <v>354706459</v>
      </c>
      <c r="K1355">
        <v>379346081</v>
      </c>
      <c r="L1355">
        <v>294480089</v>
      </c>
      <c r="M1355">
        <v>270507770</v>
      </c>
      <c r="P1355">
        <v>134</v>
      </c>
      <c r="Q1355" t="s">
        <v>3005</v>
      </c>
    </row>
    <row r="1356" spans="1:17" x14ac:dyDescent="0.3">
      <c r="A1356" t="s">
        <v>17</v>
      </c>
      <c r="B1356" t="str">
        <f>"603568"</f>
        <v>603568</v>
      </c>
      <c r="C1356" t="s">
        <v>3006</v>
      </c>
      <c r="D1356" t="s">
        <v>499</v>
      </c>
      <c r="F1356">
        <v>1196833059</v>
      </c>
      <c r="G1356">
        <v>907346808</v>
      </c>
      <c r="H1356">
        <v>745173021</v>
      </c>
      <c r="I1356">
        <v>577430067</v>
      </c>
      <c r="J1356">
        <v>378229977</v>
      </c>
      <c r="K1356">
        <v>256843137</v>
      </c>
      <c r="L1356">
        <v>224876622</v>
      </c>
      <c r="M1356">
        <v>194466178</v>
      </c>
      <c r="P1356">
        <v>16269</v>
      </c>
      <c r="Q1356" t="s">
        <v>3007</v>
      </c>
    </row>
    <row r="1357" spans="1:17" x14ac:dyDescent="0.3">
      <c r="A1357" t="s">
        <v>17</v>
      </c>
      <c r="B1357" t="str">
        <f>"603569"</f>
        <v>603569</v>
      </c>
      <c r="C1357" t="s">
        <v>3008</v>
      </c>
      <c r="D1357" t="s">
        <v>2492</v>
      </c>
      <c r="F1357">
        <v>48005663</v>
      </c>
      <c r="G1357">
        <v>85852025</v>
      </c>
      <c r="H1357">
        <v>66297611</v>
      </c>
      <c r="I1357">
        <v>188290816</v>
      </c>
      <c r="J1357">
        <v>232576205</v>
      </c>
      <c r="K1357">
        <v>228329611</v>
      </c>
      <c r="L1357">
        <v>220493853</v>
      </c>
      <c r="P1357">
        <v>198</v>
      </c>
      <c r="Q1357" t="s">
        <v>3009</v>
      </c>
    </row>
    <row r="1358" spans="1:17" x14ac:dyDescent="0.3">
      <c r="A1358" t="s">
        <v>17</v>
      </c>
      <c r="B1358" t="str">
        <f>"603577"</f>
        <v>603577</v>
      </c>
      <c r="C1358" t="s">
        <v>3010</v>
      </c>
      <c r="D1358" t="s">
        <v>1164</v>
      </c>
      <c r="F1358">
        <v>72222995</v>
      </c>
      <c r="G1358">
        <v>93141444</v>
      </c>
      <c r="H1358">
        <v>44857901</v>
      </c>
      <c r="I1358">
        <v>25874915</v>
      </c>
      <c r="J1358">
        <v>36277327</v>
      </c>
      <c r="K1358">
        <v>46103608</v>
      </c>
      <c r="L1358">
        <v>32297668</v>
      </c>
      <c r="P1358">
        <v>90</v>
      </c>
      <c r="Q1358" t="s">
        <v>3011</v>
      </c>
    </row>
    <row r="1359" spans="1:17" x14ac:dyDescent="0.3">
      <c r="A1359" t="s">
        <v>17</v>
      </c>
      <c r="B1359" t="str">
        <f>"603578"</f>
        <v>603578</v>
      </c>
      <c r="C1359" t="s">
        <v>3012</v>
      </c>
      <c r="D1359" t="s">
        <v>1253</v>
      </c>
      <c r="F1359">
        <v>84701654</v>
      </c>
      <c r="G1359">
        <v>70019684</v>
      </c>
      <c r="H1359">
        <v>46986641</v>
      </c>
      <c r="I1359">
        <v>50403442</v>
      </c>
      <c r="J1359">
        <v>42775956</v>
      </c>
      <c r="K1359">
        <v>34169240</v>
      </c>
      <c r="P1359">
        <v>131</v>
      </c>
      <c r="Q1359" t="s">
        <v>3013</v>
      </c>
    </row>
    <row r="1360" spans="1:17" x14ac:dyDescent="0.3">
      <c r="A1360" t="s">
        <v>17</v>
      </c>
      <c r="B1360" t="str">
        <f>"603579"</f>
        <v>603579</v>
      </c>
      <c r="C1360" t="s">
        <v>3014</v>
      </c>
      <c r="D1360" t="s">
        <v>3015</v>
      </c>
      <c r="F1360">
        <v>188596922</v>
      </c>
      <c r="G1360">
        <v>159647560</v>
      </c>
      <c r="H1360">
        <v>208947834</v>
      </c>
      <c r="I1360">
        <v>183791825</v>
      </c>
      <c r="J1360">
        <v>155008261</v>
      </c>
      <c r="K1360">
        <v>139919721</v>
      </c>
      <c r="L1360">
        <v>86780160</v>
      </c>
      <c r="P1360">
        <v>597</v>
      </c>
      <c r="Q1360" t="s">
        <v>3016</v>
      </c>
    </row>
    <row r="1361" spans="1:17" x14ac:dyDescent="0.3">
      <c r="A1361" t="s">
        <v>17</v>
      </c>
      <c r="B1361" t="str">
        <f>"603580"</f>
        <v>603580</v>
      </c>
      <c r="C1361" t="s">
        <v>3017</v>
      </c>
      <c r="D1361" t="s">
        <v>1192</v>
      </c>
      <c r="F1361">
        <v>31362272</v>
      </c>
      <c r="G1361">
        <v>25682490</v>
      </c>
      <c r="H1361">
        <v>26769947</v>
      </c>
      <c r="I1361">
        <v>31322386</v>
      </c>
      <c r="J1361">
        <v>22518022</v>
      </c>
      <c r="K1361">
        <v>22003261</v>
      </c>
      <c r="P1361">
        <v>57</v>
      </c>
      <c r="Q1361" t="s">
        <v>3018</v>
      </c>
    </row>
    <row r="1362" spans="1:17" x14ac:dyDescent="0.3">
      <c r="A1362" t="s">
        <v>17</v>
      </c>
      <c r="B1362" t="str">
        <f>"603583"</f>
        <v>603583</v>
      </c>
      <c r="C1362" t="s">
        <v>3019</v>
      </c>
      <c r="D1362" t="s">
        <v>2423</v>
      </c>
      <c r="F1362">
        <v>204552723</v>
      </c>
      <c r="G1362">
        <v>348309756</v>
      </c>
      <c r="H1362">
        <v>224833714</v>
      </c>
      <c r="I1362">
        <v>159655611</v>
      </c>
      <c r="J1362">
        <v>110534068</v>
      </c>
      <c r="P1362">
        <v>704</v>
      </c>
      <c r="Q1362" t="s">
        <v>3020</v>
      </c>
    </row>
    <row r="1363" spans="1:17" x14ac:dyDescent="0.3">
      <c r="A1363" t="s">
        <v>17</v>
      </c>
      <c r="B1363" t="str">
        <f>"603585"</f>
        <v>603585</v>
      </c>
      <c r="C1363" t="s">
        <v>3021</v>
      </c>
      <c r="D1363" t="s">
        <v>853</v>
      </c>
      <c r="F1363">
        <v>139277807</v>
      </c>
      <c r="G1363">
        <v>130004430</v>
      </c>
      <c r="H1363">
        <v>243261665</v>
      </c>
      <c r="I1363">
        <v>227697728</v>
      </c>
      <c r="J1363">
        <v>166465040</v>
      </c>
      <c r="K1363">
        <v>130406805</v>
      </c>
      <c r="P1363">
        <v>546</v>
      </c>
      <c r="Q1363" t="s">
        <v>3022</v>
      </c>
    </row>
    <row r="1364" spans="1:17" x14ac:dyDescent="0.3">
      <c r="A1364" t="s">
        <v>17</v>
      </c>
      <c r="B1364" t="str">
        <f>"603586"</f>
        <v>603586</v>
      </c>
      <c r="C1364" t="s">
        <v>3023</v>
      </c>
      <c r="D1364" t="s">
        <v>348</v>
      </c>
      <c r="F1364">
        <v>-40965582</v>
      </c>
      <c r="G1364">
        <v>114743099</v>
      </c>
      <c r="H1364">
        <v>149998286</v>
      </c>
      <c r="I1364">
        <v>78471609</v>
      </c>
      <c r="J1364">
        <v>144296036</v>
      </c>
      <c r="K1364">
        <v>154932322</v>
      </c>
      <c r="P1364">
        <v>109</v>
      </c>
      <c r="Q1364" t="s">
        <v>3024</v>
      </c>
    </row>
    <row r="1365" spans="1:17" x14ac:dyDescent="0.3">
      <c r="A1365" t="s">
        <v>17</v>
      </c>
      <c r="B1365" t="str">
        <f>"603587"</f>
        <v>603587</v>
      </c>
      <c r="C1365" t="s">
        <v>3025</v>
      </c>
      <c r="D1365" t="s">
        <v>255</v>
      </c>
      <c r="F1365">
        <v>555120884</v>
      </c>
      <c r="G1365">
        <v>474493330</v>
      </c>
      <c r="H1365">
        <v>479620860</v>
      </c>
      <c r="I1365">
        <v>449695065</v>
      </c>
      <c r="J1365">
        <v>358938122</v>
      </c>
      <c r="P1365">
        <v>1011</v>
      </c>
      <c r="Q1365" t="s">
        <v>3026</v>
      </c>
    </row>
    <row r="1366" spans="1:17" x14ac:dyDescent="0.3">
      <c r="A1366" t="s">
        <v>17</v>
      </c>
      <c r="B1366" t="str">
        <f>"603588"</f>
        <v>603588</v>
      </c>
      <c r="C1366" t="s">
        <v>3027</v>
      </c>
      <c r="D1366" t="s">
        <v>499</v>
      </c>
      <c r="F1366">
        <v>583646539</v>
      </c>
      <c r="G1366">
        <v>413436387</v>
      </c>
      <c r="H1366">
        <v>313924430</v>
      </c>
      <c r="I1366">
        <v>241364051</v>
      </c>
      <c r="J1366">
        <v>129423130</v>
      </c>
      <c r="K1366">
        <v>75292801</v>
      </c>
      <c r="L1366">
        <v>43918023</v>
      </c>
      <c r="M1366">
        <v>44654554</v>
      </c>
      <c r="N1366">
        <v>51829300</v>
      </c>
      <c r="P1366">
        <v>580</v>
      </c>
      <c r="Q1366" t="s">
        <v>3028</v>
      </c>
    </row>
    <row r="1367" spans="1:17" x14ac:dyDescent="0.3">
      <c r="A1367" t="s">
        <v>17</v>
      </c>
      <c r="B1367" t="str">
        <f>"603589"</f>
        <v>603589</v>
      </c>
      <c r="C1367" t="s">
        <v>3029</v>
      </c>
      <c r="D1367" t="s">
        <v>458</v>
      </c>
      <c r="F1367">
        <v>1150226736</v>
      </c>
      <c r="G1367">
        <v>863540994</v>
      </c>
      <c r="H1367">
        <v>1295544580</v>
      </c>
      <c r="I1367">
        <v>1141372889</v>
      </c>
      <c r="J1367">
        <v>901005246</v>
      </c>
      <c r="K1367">
        <v>712395711</v>
      </c>
      <c r="L1367">
        <v>538830165</v>
      </c>
      <c r="M1367">
        <v>353250495</v>
      </c>
      <c r="P1367">
        <v>6960</v>
      </c>
      <c r="Q1367" t="s">
        <v>3030</v>
      </c>
    </row>
    <row r="1368" spans="1:17" x14ac:dyDescent="0.3">
      <c r="A1368" t="s">
        <v>17</v>
      </c>
      <c r="B1368" t="str">
        <f>"603590"</f>
        <v>603590</v>
      </c>
      <c r="C1368" t="s">
        <v>3031</v>
      </c>
      <c r="D1368" t="s">
        <v>1379</v>
      </c>
      <c r="F1368">
        <v>137217768</v>
      </c>
      <c r="G1368">
        <v>141758055</v>
      </c>
      <c r="H1368">
        <v>203695695</v>
      </c>
      <c r="I1368">
        <v>156937462</v>
      </c>
      <c r="J1368">
        <v>420618139</v>
      </c>
      <c r="P1368">
        <v>158</v>
      </c>
      <c r="Q1368" t="s">
        <v>3032</v>
      </c>
    </row>
    <row r="1369" spans="1:17" x14ac:dyDescent="0.3">
      <c r="A1369" t="s">
        <v>17</v>
      </c>
      <c r="B1369" t="str">
        <f>"603595"</f>
        <v>603595</v>
      </c>
      <c r="C1369" t="s">
        <v>3033</v>
      </c>
      <c r="D1369" t="s">
        <v>313</v>
      </c>
      <c r="F1369">
        <v>27363947</v>
      </c>
      <c r="G1369">
        <v>36542009</v>
      </c>
      <c r="H1369">
        <v>-172630967</v>
      </c>
      <c r="I1369">
        <v>105055755</v>
      </c>
      <c r="J1369">
        <v>86803509</v>
      </c>
      <c r="K1369">
        <v>37606972</v>
      </c>
      <c r="P1369">
        <v>184</v>
      </c>
      <c r="Q1369" t="s">
        <v>3034</v>
      </c>
    </row>
    <row r="1370" spans="1:17" x14ac:dyDescent="0.3">
      <c r="A1370" t="s">
        <v>17</v>
      </c>
      <c r="B1370" t="str">
        <f>"603596"</f>
        <v>603596</v>
      </c>
      <c r="C1370" t="s">
        <v>3035</v>
      </c>
      <c r="D1370" t="s">
        <v>348</v>
      </c>
      <c r="F1370">
        <v>368638434</v>
      </c>
      <c r="G1370">
        <v>300088596</v>
      </c>
      <c r="H1370">
        <v>305724092</v>
      </c>
      <c r="I1370">
        <v>225452312</v>
      </c>
      <c r="J1370">
        <v>183459035</v>
      </c>
      <c r="P1370">
        <v>369</v>
      </c>
      <c r="Q1370" t="s">
        <v>3036</v>
      </c>
    </row>
    <row r="1371" spans="1:17" x14ac:dyDescent="0.3">
      <c r="A1371" t="s">
        <v>17</v>
      </c>
      <c r="B1371" t="str">
        <f>"603598"</f>
        <v>603598</v>
      </c>
      <c r="C1371" t="s">
        <v>3037</v>
      </c>
      <c r="D1371" t="s">
        <v>207</v>
      </c>
      <c r="F1371">
        <v>23215479</v>
      </c>
      <c r="G1371">
        <v>72306184</v>
      </c>
      <c r="H1371">
        <v>61183061</v>
      </c>
      <c r="I1371">
        <v>50893424</v>
      </c>
      <c r="J1371">
        <v>30574314</v>
      </c>
      <c r="K1371">
        <v>28456580</v>
      </c>
      <c r="L1371">
        <v>26770543</v>
      </c>
      <c r="M1371">
        <v>42785312</v>
      </c>
      <c r="P1371">
        <v>113</v>
      </c>
      <c r="Q1371" t="s">
        <v>3038</v>
      </c>
    </row>
    <row r="1372" spans="1:17" x14ac:dyDescent="0.3">
      <c r="A1372" t="s">
        <v>17</v>
      </c>
      <c r="B1372" t="str">
        <f>"603599"</f>
        <v>603599</v>
      </c>
      <c r="C1372" t="s">
        <v>3039</v>
      </c>
      <c r="D1372" t="s">
        <v>853</v>
      </c>
      <c r="F1372">
        <v>1032880538</v>
      </c>
      <c r="G1372">
        <v>435452932</v>
      </c>
      <c r="H1372">
        <v>414501551</v>
      </c>
      <c r="I1372">
        <v>375346763</v>
      </c>
      <c r="J1372">
        <v>285936659</v>
      </c>
      <c r="K1372">
        <v>145350467</v>
      </c>
      <c r="L1372">
        <v>133499428</v>
      </c>
      <c r="M1372">
        <v>128303163</v>
      </c>
      <c r="P1372">
        <v>304</v>
      </c>
      <c r="Q1372" t="s">
        <v>3040</v>
      </c>
    </row>
    <row r="1373" spans="1:17" x14ac:dyDescent="0.3">
      <c r="A1373" t="s">
        <v>17</v>
      </c>
      <c r="B1373" t="str">
        <f>"603600"</f>
        <v>603600</v>
      </c>
      <c r="C1373" t="s">
        <v>3041</v>
      </c>
      <c r="D1373" t="s">
        <v>757</v>
      </c>
      <c r="F1373">
        <v>160633971</v>
      </c>
      <c r="G1373">
        <v>207172776</v>
      </c>
      <c r="H1373">
        <v>143262400</v>
      </c>
      <c r="I1373">
        <v>73906074</v>
      </c>
      <c r="J1373">
        <v>89612241</v>
      </c>
      <c r="K1373">
        <v>85237917</v>
      </c>
      <c r="L1373">
        <v>73994206</v>
      </c>
      <c r="M1373">
        <v>43508753</v>
      </c>
      <c r="P1373">
        <v>290</v>
      </c>
      <c r="Q1373" t="s">
        <v>3042</v>
      </c>
    </row>
    <row r="1374" spans="1:17" x14ac:dyDescent="0.3">
      <c r="A1374" t="s">
        <v>17</v>
      </c>
      <c r="B1374" t="str">
        <f>"603601"</f>
        <v>603601</v>
      </c>
      <c r="C1374" t="s">
        <v>3043</v>
      </c>
      <c r="D1374" t="s">
        <v>411</v>
      </c>
      <c r="F1374">
        <v>187156095</v>
      </c>
      <c r="G1374">
        <v>317570886</v>
      </c>
      <c r="H1374">
        <v>134388440</v>
      </c>
      <c r="I1374">
        <v>121145491</v>
      </c>
      <c r="J1374">
        <v>80231131</v>
      </c>
      <c r="K1374">
        <v>48530733</v>
      </c>
      <c r="L1374">
        <v>32217341</v>
      </c>
      <c r="M1374">
        <v>31569349</v>
      </c>
      <c r="P1374">
        <v>500</v>
      </c>
      <c r="Q1374" t="s">
        <v>3044</v>
      </c>
    </row>
    <row r="1375" spans="1:17" x14ac:dyDescent="0.3">
      <c r="A1375" t="s">
        <v>17</v>
      </c>
      <c r="B1375" t="str">
        <f>"603602"</f>
        <v>603602</v>
      </c>
      <c r="C1375" t="s">
        <v>3045</v>
      </c>
      <c r="D1375" t="s">
        <v>654</v>
      </c>
      <c r="F1375">
        <v>4703880</v>
      </c>
      <c r="G1375">
        <v>-22452154</v>
      </c>
      <c r="H1375">
        <v>20524553</v>
      </c>
      <c r="I1375">
        <v>24546769</v>
      </c>
      <c r="J1375">
        <v>28421567</v>
      </c>
      <c r="K1375">
        <v>17241187</v>
      </c>
      <c r="P1375">
        <v>193</v>
      </c>
      <c r="Q1375" t="s">
        <v>3046</v>
      </c>
    </row>
    <row r="1376" spans="1:17" x14ac:dyDescent="0.3">
      <c r="A1376" t="s">
        <v>17</v>
      </c>
      <c r="B1376" t="str">
        <f>"603603"</f>
        <v>603603</v>
      </c>
      <c r="C1376" t="s">
        <v>3047</v>
      </c>
      <c r="D1376" t="s">
        <v>33</v>
      </c>
      <c r="F1376">
        <v>-194018488</v>
      </c>
      <c r="G1376">
        <v>-74103227</v>
      </c>
      <c r="H1376">
        <v>-240495367</v>
      </c>
      <c r="I1376">
        <v>159210006</v>
      </c>
      <c r="J1376">
        <v>137288545</v>
      </c>
      <c r="K1376">
        <v>91834967</v>
      </c>
      <c r="L1376">
        <v>71713235</v>
      </c>
      <c r="P1376">
        <v>118</v>
      </c>
      <c r="Q1376" t="s">
        <v>3048</v>
      </c>
    </row>
    <row r="1377" spans="1:17" x14ac:dyDescent="0.3">
      <c r="A1377" t="s">
        <v>17</v>
      </c>
      <c r="B1377" t="str">
        <f>"603605"</f>
        <v>603605</v>
      </c>
      <c r="C1377" t="s">
        <v>3049</v>
      </c>
      <c r="D1377" t="s">
        <v>709</v>
      </c>
      <c r="F1377">
        <v>364296789</v>
      </c>
      <c r="G1377">
        <v>284999721</v>
      </c>
      <c r="H1377">
        <v>240024455</v>
      </c>
      <c r="I1377">
        <v>181778090</v>
      </c>
      <c r="J1377">
        <v>125740657</v>
      </c>
      <c r="K1377">
        <v>75329444</v>
      </c>
      <c r="P1377">
        <v>1725</v>
      </c>
      <c r="Q1377" t="s">
        <v>3050</v>
      </c>
    </row>
    <row r="1378" spans="1:17" x14ac:dyDescent="0.3">
      <c r="A1378" t="s">
        <v>17</v>
      </c>
      <c r="B1378" t="str">
        <f>"603606"</f>
        <v>603606</v>
      </c>
      <c r="C1378" t="s">
        <v>3051</v>
      </c>
      <c r="D1378" t="s">
        <v>1164</v>
      </c>
      <c r="F1378">
        <v>961495729</v>
      </c>
      <c r="G1378">
        <v>613370762</v>
      </c>
      <c r="H1378">
        <v>302372427</v>
      </c>
      <c r="I1378">
        <v>115271206</v>
      </c>
      <c r="J1378">
        <v>36839825</v>
      </c>
      <c r="K1378">
        <v>26880895</v>
      </c>
      <c r="L1378">
        <v>31047661</v>
      </c>
      <c r="M1378">
        <v>38496600</v>
      </c>
      <c r="N1378">
        <v>36676816</v>
      </c>
      <c r="P1378">
        <v>1568</v>
      </c>
      <c r="Q1378" t="s">
        <v>3052</v>
      </c>
    </row>
    <row r="1379" spans="1:17" x14ac:dyDescent="0.3">
      <c r="A1379" t="s">
        <v>17</v>
      </c>
      <c r="B1379" t="str">
        <f>"603607"</f>
        <v>603607</v>
      </c>
      <c r="C1379" t="s">
        <v>3053</v>
      </c>
      <c r="D1379" t="s">
        <v>2439</v>
      </c>
      <c r="F1379">
        <v>87745322</v>
      </c>
      <c r="G1379">
        <v>69441519</v>
      </c>
      <c r="H1379">
        <v>68714510</v>
      </c>
      <c r="I1379">
        <v>65127038</v>
      </c>
      <c r="J1379">
        <v>63995115</v>
      </c>
      <c r="K1379">
        <v>40396659</v>
      </c>
      <c r="P1379">
        <v>109</v>
      </c>
      <c r="Q1379" t="s">
        <v>3054</v>
      </c>
    </row>
    <row r="1380" spans="1:17" x14ac:dyDescent="0.3">
      <c r="A1380" t="s">
        <v>17</v>
      </c>
      <c r="B1380" t="str">
        <f>"603608"</f>
        <v>603608</v>
      </c>
      <c r="C1380" t="s">
        <v>3055</v>
      </c>
      <c r="D1380" t="s">
        <v>330</v>
      </c>
      <c r="F1380">
        <v>38642831</v>
      </c>
      <c r="G1380">
        <v>65424573</v>
      </c>
      <c r="H1380">
        <v>171802954</v>
      </c>
      <c r="I1380">
        <v>186504330</v>
      </c>
      <c r="J1380">
        <v>139496455</v>
      </c>
      <c r="K1380">
        <v>83435272</v>
      </c>
      <c r="L1380">
        <v>74019800</v>
      </c>
      <c r="M1380">
        <v>82325100</v>
      </c>
      <c r="P1380">
        <v>138</v>
      </c>
      <c r="Q1380" t="s">
        <v>3056</v>
      </c>
    </row>
    <row r="1381" spans="1:17" x14ac:dyDescent="0.3">
      <c r="A1381" t="s">
        <v>17</v>
      </c>
      <c r="B1381" t="str">
        <f>"603609"</f>
        <v>603609</v>
      </c>
      <c r="C1381" t="s">
        <v>3057</v>
      </c>
      <c r="D1381" t="s">
        <v>2859</v>
      </c>
      <c r="F1381">
        <v>48189033</v>
      </c>
      <c r="G1381">
        <v>928184218</v>
      </c>
      <c r="H1381">
        <v>713087991</v>
      </c>
      <c r="I1381">
        <v>405271573</v>
      </c>
      <c r="J1381">
        <v>264150713</v>
      </c>
      <c r="K1381">
        <v>296129864</v>
      </c>
      <c r="L1381">
        <v>205787694</v>
      </c>
      <c r="M1381">
        <v>169520159</v>
      </c>
      <c r="N1381">
        <v>101335805</v>
      </c>
      <c r="P1381">
        <v>507</v>
      </c>
      <c r="Q1381" t="s">
        <v>3058</v>
      </c>
    </row>
    <row r="1382" spans="1:17" x14ac:dyDescent="0.3">
      <c r="A1382" t="s">
        <v>17</v>
      </c>
      <c r="B1382" t="str">
        <f>"603610"</f>
        <v>603610</v>
      </c>
      <c r="C1382" t="s">
        <v>3059</v>
      </c>
      <c r="D1382" t="s">
        <v>757</v>
      </c>
      <c r="F1382">
        <v>251392645</v>
      </c>
      <c r="G1382">
        <v>190264544</v>
      </c>
      <c r="H1382">
        <v>271683717</v>
      </c>
      <c r="I1382">
        <v>229464597</v>
      </c>
      <c r="P1382">
        <v>230</v>
      </c>
      <c r="Q1382" t="s">
        <v>3060</v>
      </c>
    </row>
    <row r="1383" spans="1:17" x14ac:dyDescent="0.3">
      <c r="A1383" t="s">
        <v>17</v>
      </c>
      <c r="B1383" t="str">
        <f>"603611"</f>
        <v>603611</v>
      </c>
      <c r="C1383" t="s">
        <v>3061</v>
      </c>
      <c r="D1383" t="s">
        <v>83</v>
      </c>
      <c r="F1383">
        <v>235978794</v>
      </c>
      <c r="G1383">
        <v>198302888</v>
      </c>
      <c r="H1383">
        <v>187926238</v>
      </c>
      <c r="I1383">
        <v>154887742</v>
      </c>
      <c r="J1383">
        <v>119421040</v>
      </c>
      <c r="K1383">
        <v>120362812</v>
      </c>
      <c r="L1383">
        <v>77651358</v>
      </c>
      <c r="M1383">
        <v>61600370</v>
      </c>
      <c r="N1383">
        <v>57856419</v>
      </c>
      <c r="P1383">
        <v>315</v>
      </c>
      <c r="Q1383" t="s">
        <v>3062</v>
      </c>
    </row>
    <row r="1384" spans="1:17" x14ac:dyDescent="0.3">
      <c r="A1384" t="s">
        <v>17</v>
      </c>
      <c r="B1384" t="str">
        <f>"603612"</f>
        <v>603612</v>
      </c>
      <c r="C1384" t="s">
        <v>3063</v>
      </c>
      <c r="D1384" t="s">
        <v>2739</v>
      </c>
      <c r="F1384">
        <v>473703950</v>
      </c>
      <c r="G1384">
        <v>116926549</v>
      </c>
      <c r="H1384">
        <v>58845322</v>
      </c>
      <c r="I1384">
        <v>170691159</v>
      </c>
      <c r="J1384">
        <v>349308825</v>
      </c>
      <c r="K1384">
        <v>50312791</v>
      </c>
      <c r="P1384">
        <v>162</v>
      </c>
      <c r="Q1384" t="s">
        <v>3064</v>
      </c>
    </row>
    <row r="1385" spans="1:17" x14ac:dyDescent="0.3">
      <c r="A1385" t="s">
        <v>17</v>
      </c>
      <c r="B1385" t="str">
        <f>"603613"</f>
        <v>603613</v>
      </c>
      <c r="C1385" t="s">
        <v>3065</v>
      </c>
      <c r="D1385" t="s">
        <v>3066</v>
      </c>
      <c r="F1385">
        <v>338769184</v>
      </c>
      <c r="G1385">
        <v>178792006</v>
      </c>
      <c r="H1385">
        <v>98626866</v>
      </c>
      <c r="I1385">
        <v>61236453</v>
      </c>
      <c r="P1385">
        <v>827</v>
      </c>
      <c r="Q1385" t="s">
        <v>3067</v>
      </c>
    </row>
    <row r="1386" spans="1:17" x14ac:dyDescent="0.3">
      <c r="A1386" t="s">
        <v>17</v>
      </c>
      <c r="B1386" t="str">
        <f>"603615"</f>
        <v>603615</v>
      </c>
      <c r="C1386" t="s">
        <v>3068</v>
      </c>
      <c r="D1386" t="s">
        <v>2436</v>
      </c>
      <c r="F1386">
        <v>1083385</v>
      </c>
      <c r="G1386">
        <v>28921748</v>
      </c>
      <c r="H1386">
        <v>59359050</v>
      </c>
      <c r="I1386">
        <v>57592465</v>
      </c>
      <c r="J1386">
        <v>68856774</v>
      </c>
      <c r="K1386">
        <v>74562400</v>
      </c>
      <c r="L1386">
        <v>61411700</v>
      </c>
      <c r="P1386">
        <v>107</v>
      </c>
      <c r="Q1386" t="s">
        <v>3069</v>
      </c>
    </row>
    <row r="1387" spans="1:17" x14ac:dyDescent="0.3">
      <c r="A1387" t="s">
        <v>17</v>
      </c>
      <c r="B1387" t="str">
        <f>"603616"</f>
        <v>603616</v>
      </c>
      <c r="C1387" t="s">
        <v>3070</v>
      </c>
      <c r="D1387" t="s">
        <v>3071</v>
      </c>
      <c r="F1387">
        <v>40087850</v>
      </c>
      <c r="G1387">
        <v>-53214767</v>
      </c>
      <c r="H1387">
        <v>1299541</v>
      </c>
      <c r="I1387">
        <v>7273699</v>
      </c>
      <c r="J1387">
        <v>-26014625</v>
      </c>
      <c r="K1387">
        <v>-6650038</v>
      </c>
      <c r="L1387">
        <v>5137678</v>
      </c>
      <c r="M1387">
        <v>67141168</v>
      </c>
      <c r="P1387">
        <v>71</v>
      </c>
      <c r="Q1387" t="s">
        <v>3072</v>
      </c>
    </row>
    <row r="1388" spans="1:17" x14ac:dyDescent="0.3">
      <c r="A1388" t="s">
        <v>17</v>
      </c>
      <c r="B1388" t="str">
        <f>"603617"</f>
        <v>603617</v>
      </c>
      <c r="C1388" t="s">
        <v>3073</v>
      </c>
      <c r="D1388" t="s">
        <v>560</v>
      </c>
      <c r="F1388">
        <v>78776315</v>
      </c>
      <c r="G1388">
        <v>68802402</v>
      </c>
      <c r="H1388">
        <v>54344958</v>
      </c>
      <c r="I1388">
        <v>55673286</v>
      </c>
      <c r="J1388">
        <v>41736738</v>
      </c>
      <c r="K1388">
        <v>39232269</v>
      </c>
      <c r="P1388">
        <v>104</v>
      </c>
      <c r="Q1388" t="s">
        <v>3074</v>
      </c>
    </row>
    <row r="1389" spans="1:17" x14ac:dyDescent="0.3">
      <c r="A1389" t="s">
        <v>17</v>
      </c>
      <c r="B1389" t="str">
        <f>"603618"</f>
        <v>603618</v>
      </c>
      <c r="C1389" t="s">
        <v>3075</v>
      </c>
      <c r="D1389" t="s">
        <v>1164</v>
      </c>
      <c r="F1389">
        <v>90662270</v>
      </c>
      <c r="G1389">
        <v>114605075</v>
      </c>
      <c r="H1389">
        <v>97390685</v>
      </c>
      <c r="I1389">
        <v>74059445</v>
      </c>
      <c r="J1389">
        <v>94364391</v>
      </c>
      <c r="K1389">
        <v>121557992</v>
      </c>
      <c r="L1389">
        <v>93866828</v>
      </c>
      <c r="M1389">
        <v>75940010</v>
      </c>
      <c r="P1389">
        <v>169</v>
      </c>
      <c r="Q1389" t="s">
        <v>3076</v>
      </c>
    </row>
    <row r="1390" spans="1:17" x14ac:dyDescent="0.3">
      <c r="A1390" t="s">
        <v>17</v>
      </c>
      <c r="B1390" t="str">
        <f>"603619"</f>
        <v>603619</v>
      </c>
      <c r="C1390" t="s">
        <v>3077</v>
      </c>
      <c r="D1390" t="s">
        <v>1758</v>
      </c>
      <c r="F1390">
        <v>39334864</v>
      </c>
      <c r="G1390">
        <v>-278720398</v>
      </c>
      <c r="H1390">
        <v>38671791</v>
      </c>
      <c r="I1390">
        <v>77537364</v>
      </c>
      <c r="J1390">
        <v>337150772</v>
      </c>
      <c r="K1390">
        <v>301899553</v>
      </c>
      <c r="P1390">
        <v>74</v>
      </c>
      <c r="Q1390" t="s">
        <v>3078</v>
      </c>
    </row>
    <row r="1391" spans="1:17" x14ac:dyDescent="0.3">
      <c r="A1391" t="s">
        <v>17</v>
      </c>
      <c r="B1391" t="str">
        <f>"603626"</f>
        <v>603626</v>
      </c>
      <c r="C1391" t="s">
        <v>3079</v>
      </c>
      <c r="D1391" t="s">
        <v>313</v>
      </c>
      <c r="F1391">
        <v>364490262</v>
      </c>
      <c r="G1391">
        <v>75137307</v>
      </c>
      <c r="H1391">
        <v>-69479477</v>
      </c>
      <c r="I1391">
        <v>67385182</v>
      </c>
      <c r="J1391">
        <v>118382029</v>
      </c>
      <c r="K1391">
        <v>125102212</v>
      </c>
      <c r="L1391">
        <v>107257406</v>
      </c>
      <c r="P1391">
        <v>173</v>
      </c>
      <c r="Q1391" t="s">
        <v>3080</v>
      </c>
    </row>
    <row r="1392" spans="1:17" x14ac:dyDescent="0.3">
      <c r="A1392" t="s">
        <v>17</v>
      </c>
      <c r="B1392" t="str">
        <f>"603628"</f>
        <v>603628</v>
      </c>
      <c r="C1392" t="s">
        <v>3081</v>
      </c>
      <c r="D1392" t="s">
        <v>478</v>
      </c>
      <c r="F1392">
        <v>47463412</v>
      </c>
      <c r="G1392">
        <v>50776035</v>
      </c>
      <c r="H1392">
        <v>5956103</v>
      </c>
      <c r="I1392">
        <v>13189048</v>
      </c>
      <c r="J1392">
        <v>48035958</v>
      </c>
      <c r="K1392">
        <v>48743188</v>
      </c>
      <c r="P1392">
        <v>80</v>
      </c>
      <c r="Q1392" t="s">
        <v>3082</v>
      </c>
    </row>
    <row r="1393" spans="1:17" x14ac:dyDescent="0.3">
      <c r="A1393" t="s">
        <v>17</v>
      </c>
      <c r="B1393" t="str">
        <f>"603629"</f>
        <v>603629</v>
      </c>
      <c r="C1393" t="s">
        <v>3083</v>
      </c>
      <c r="D1393" t="s">
        <v>313</v>
      </c>
      <c r="F1393">
        <v>33019346</v>
      </c>
      <c r="G1393">
        <v>33161194</v>
      </c>
      <c r="H1393">
        <v>50172159</v>
      </c>
      <c r="I1393">
        <v>67826661</v>
      </c>
      <c r="J1393">
        <v>53604456</v>
      </c>
      <c r="P1393">
        <v>51</v>
      </c>
      <c r="Q1393" t="s">
        <v>3084</v>
      </c>
    </row>
    <row r="1394" spans="1:17" x14ac:dyDescent="0.3">
      <c r="A1394" t="s">
        <v>17</v>
      </c>
      <c r="B1394" t="str">
        <f>"603630"</f>
        <v>603630</v>
      </c>
      <c r="C1394" t="s">
        <v>3085</v>
      </c>
      <c r="D1394" t="s">
        <v>709</v>
      </c>
      <c r="F1394">
        <v>62291785</v>
      </c>
      <c r="G1394">
        <v>82162710</v>
      </c>
      <c r="H1394">
        <v>57541476</v>
      </c>
      <c r="I1394">
        <v>132247824</v>
      </c>
      <c r="J1394">
        <v>98671606</v>
      </c>
      <c r="K1394">
        <v>102534624</v>
      </c>
      <c r="P1394">
        <v>148</v>
      </c>
      <c r="Q1394" t="s">
        <v>3086</v>
      </c>
    </row>
    <row r="1395" spans="1:17" x14ac:dyDescent="0.3">
      <c r="A1395" t="s">
        <v>17</v>
      </c>
      <c r="B1395" t="str">
        <f>"603633"</f>
        <v>603633</v>
      </c>
      <c r="C1395" t="s">
        <v>3087</v>
      </c>
      <c r="D1395" t="s">
        <v>313</v>
      </c>
      <c r="F1395">
        <v>39294298</v>
      </c>
      <c r="G1395">
        <v>31060363</v>
      </c>
      <c r="H1395">
        <v>36039658</v>
      </c>
      <c r="I1395">
        <v>37047567</v>
      </c>
      <c r="J1395">
        <v>40450808</v>
      </c>
      <c r="K1395">
        <v>38109900</v>
      </c>
      <c r="L1395">
        <v>21478300</v>
      </c>
      <c r="P1395">
        <v>90</v>
      </c>
      <c r="Q1395" t="s">
        <v>3088</v>
      </c>
    </row>
    <row r="1396" spans="1:17" x14ac:dyDescent="0.3">
      <c r="A1396" t="s">
        <v>17</v>
      </c>
      <c r="B1396" t="str">
        <f>"603636"</f>
        <v>603636</v>
      </c>
      <c r="C1396" t="s">
        <v>3089</v>
      </c>
      <c r="D1396" t="s">
        <v>316</v>
      </c>
      <c r="F1396">
        <v>-11223912</v>
      </c>
      <c r="G1396">
        <v>-6580088</v>
      </c>
      <c r="H1396">
        <v>82356695</v>
      </c>
      <c r="I1396">
        <v>122272706</v>
      </c>
      <c r="J1396">
        <v>33279039</v>
      </c>
      <c r="K1396">
        <v>23857119</v>
      </c>
      <c r="L1396">
        <v>31715043</v>
      </c>
      <c r="M1396">
        <v>43330800</v>
      </c>
      <c r="N1396">
        <v>27227100</v>
      </c>
      <c r="P1396">
        <v>202</v>
      </c>
      <c r="Q1396" t="s">
        <v>3090</v>
      </c>
    </row>
    <row r="1397" spans="1:17" x14ac:dyDescent="0.3">
      <c r="A1397" t="s">
        <v>17</v>
      </c>
      <c r="B1397" t="str">
        <f>"603637"</f>
        <v>603637</v>
      </c>
      <c r="C1397" t="s">
        <v>3091</v>
      </c>
      <c r="D1397" t="s">
        <v>2019</v>
      </c>
      <c r="F1397">
        <v>50099339</v>
      </c>
      <c r="G1397">
        <v>39713185</v>
      </c>
      <c r="H1397">
        <v>38183769</v>
      </c>
      <c r="I1397">
        <v>39808047</v>
      </c>
      <c r="J1397">
        <v>34536949</v>
      </c>
      <c r="K1397">
        <v>48579743</v>
      </c>
      <c r="L1397">
        <v>49675298</v>
      </c>
      <c r="P1397">
        <v>70</v>
      </c>
      <c r="Q1397" t="s">
        <v>3092</v>
      </c>
    </row>
    <row r="1398" spans="1:17" x14ac:dyDescent="0.3">
      <c r="A1398" t="s">
        <v>17</v>
      </c>
      <c r="B1398" t="str">
        <f>"603638"</f>
        <v>603638</v>
      </c>
      <c r="C1398" t="s">
        <v>3093</v>
      </c>
      <c r="D1398" t="s">
        <v>2001</v>
      </c>
      <c r="F1398">
        <v>385511211</v>
      </c>
      <c r="G1398">
        <v>420851061</v>
      </c>
      <c r="H1398">
        <v>257722006</v>
      </c>
      <c r="I1398">
        <v>174984421</v>
      </c>
      <c r="J1398">
        <v>102473503</v>
      </c>
      <c r="K1398">
        <v>57412200</v>
      </c>
      <c r="L1398">
        <v>38834000</v>
      </c>
      <c r="P1398">
        <v>665</v>
      </c>
      <c r="Q1398" t="s">
        <v>3094</v>
      </c>
    </row>
    <row r="1399" spans="1:17" x14ac:dyDescent="0.3">
      <c r="A1399" t="s">
        <v>17</v>
      </c>
      <c r="B1399" t="str">
        <f>"603639"</f>
        <v>603639</v>
      </c>
      <c r="C1399" t="s">
        <v>3095</v>
      </c>
      <c r="D1399" t="s">
        <v>853</v>
      </c>
      <c r="F1399">
        <v>311107833</v>
      </c>
      <c r="G1399">
        <v>332994320</v>
      </c>
      <c r="H1399">
        <v>276680323</v>
      </c>
      <c r="I1399">
        <v>317146519</v>
      </c>
      <c r="J1399">
        <v>190731402</v>
      </c>
      <c r="K1399">
        <v>138269228</v>
      </c>
      <c r="L1399">
        <v>122218012</v>
      </c>
      <c r="P1399">
        <v>1565</v>
      </c>
      <c r="Q1399" t="s">
        <v>3096</v>
      </c>
    </row>
    <row r="1400" spans="1:17" x14ac:dyDescent="0.3">
      <c r="A1400" t="s">
        <v>17</v>
      </c>
      <c r="B1400" t="str">
        <f>"603648"</f>
        <v>603648</v>
      </c>
      <c r="C1400" t="s">
        <v>3097</v>
      </c>
      <c r="D1400" t="s">
        <v>3098</v>
      </c>
      <c r="F1400">
        <v>114020031</v>
      </c>
      <c r="G1400">
        <v>88144202</v>
      </c>
      <c r="H1400">
        <v>90231302</v>
      </c>
      <c r="I1400">
        <v>125628336</v>
      </c>
      <c r="J1400">
        <v>119779177</v>
      </c>
      <c r="K1400">
        <v>114939119</v>
      </c>
      <c r="P1400">
        <v>72</v>
      </c>
      <c r="Q1400" t="s">
        <v>3099</v>
      </c>
    </row>
    <row r="1401" spans="1:17" x14ac:dyDescent="0.3">
      <c r="A1401" t="s">
        <v>17</v>
      </c>
      <c r="B1401" t="str">
        <f>"603650"</f>
        <v>603650</v>
      </c>
      <c r="C1401" t="s">
        <v>3100</v>
      </c>
      <c r="D1401" t="s">
        <v>3101</v>
      </c>
      <c r="F1401">
        <v>275944466</v>
      </c>
      <c r="G1401">
        <v>329279074</v>
      </c>
      <c r="H1401">
        <v>328311835</v>
      </c>
      <c r="I1401">
        <v>322509147</v>
      </c>
      <c r="J1401">
        <v>222989157</v>
      </c>
      <c r="P1401">
        <v>258</v>
      </c>
      <c r="Q1401" t="s">
        <v>3102</v>
      </c>
    </row>
    <row r="1402" spans="1:17" x14ac:dyDescent="0.3">
      <c r="A1402" t="s">
        <v>17</v>
      </c>
      <c r="B1402" t="str">
        <f>"603655"</f>
        <v>603655</v>
      </c>
      <c r="C1402" t="s">
        <v>3103</v>
      </c>
      <c r="D1402" t="s">
        <v>985</v>
      </c>
      <c r="F1402">
        <v>20737856</v>
      </c>
      <c r="G1402">
        <v>15942123</v>
      </c>
      <c r="H1402">
        <v>13615393</v>
      </c>
      <c r="I1402">
        <v>23446693</v>
      </c>
      <c r="J1402">
        <v>24940806</v>
      </c>
      <c r="K1402">
        <v>20721563</v>
      </c>
      <c r="P1402">
        <v>88</v>
      </c>
      <c r="Q1402" t="s">
        <v>3104</v>
      </c>
    </row>
    <row r="1403" spans="1:17" x14ac:dyDescent="0.3">
      <c r="A1403" t="s">
        <v>17</v>
      </c>
      <c r="B1403" t="str">
        <f>"603656"</f>
        <v>603656</v>
      </c>
      <c r="C1403" t="s">
        <v>3105</v>
      </c>
      <c r="D1403" t="s">
        <v>741</v>
      </c>
      <c r="F1403">
        <v>14087670</v>
      </c>
      <c r="G1403">
        <v>33619518</v>
      </c>
      <c r="H1403">
        <v>51519764</v>
      </c>
      <c r="I1403">
        <v>65641630</v>
      </c>
      <c r="J1403">
        <v>61654782</v>
      </c>
      <c r="K1403">
        <v>59146731</v>
      </c>
      <c r="P1403">
        <v>80</v>
      </c>
      <c r="Q1403" t="s">
        <v>3106</v>
      </c>
    </row>
    <row r="1404" spans="1:17" x14ac:dyDescent="0.3">
      <c r="A1404" t="s">
        <v>17</v>
      </c>
      <c r="B1404" t="str">
        <f>"603657"</f>
        <v>603657</v>
      </c>
      <c r="C1404" t="s">
        <v>3107</v>
      </c>
      <c r="D1404" t="s">
        <v>1253</v>
      </c>
      <c r="F1404">
        <v>89628984</v>
      </c>
      <c r="G1404">
        <v>93880231</v>
      </c>
      <c r="H1404">
        <v>76025950</v>
      </c>
      <c r="I1404">
        <v>74912937</v>
      </c>
      <c r="J1404">
        <v>65796017</v>
      </c>
      <c r="P1404">
        <v>152</v>
      </c>
      <c r="Q1404" t="s">
        <v>3108</v>
      </c>
    </row>
    <row r="1405" spans="1:17" x14ac:dyDescent="0.3">
      <c r="A1405" t="s">
        <v>17</v>
      </c>
      <c r="B1405" t="str">
        <f>"603658"</f>
        <v>603658</v>
      </c>
      <c r="C1405" t="s">
        <v>3109</v>
      </c>
      <c r="D1405" t="s">
        <v>1305</v>
      </c>
      <c r="F1405">
        <v>716573599</v>
      </c>
      <c r="G1405">
        <v>514301217</v>
      </c>
      <c r="H1405">
        <v>537907452</v>
      </c>
      <c r="I1405">
        <v>411013663</v>
      </c>
      <c r="J1405">
        <v>323615060</v>
      </c>
      <c r="K1405">
        <v>254829985</v>
      </c>
      <c r="L1405">
        <v>197545404</v>
      </c>
      <c r="P1405">
        <v>2606</v>
      </c>
      <c r="Q1405" t="s">
        <v>3110</v>
      </c>
    </row>
    <row r="1406" spans="1:17" x14ac:dyDescent="0.3">
      <c r="A1406" t="s">
        <v>17</v>
      </c>
      <c r="B1406" t="str">
        <f>"603659"</f>
        <v>603659</v>
      </c>
      <c r="C1406" t="s">
        <v>3111</v>
      </c>
      <c r="D1406" t="s">
        <v>1786</v>
      </c>
      <c r="F1406">
        <v>1230938594</v>
      </c>
      <c r="G1406">
        <v>415328621</v>
      </c>
      <c r="H1406">
        <v>458432037</v>
      </c>
      <c r="I1406">
        <v>429137682</v>
      </c>
      <c r="J1406">
        <v>323932506</v>
      </c>
      <c r="K1406">
        <v>192471680</v>
      </c>
      <c r="P1406">
        <v>1047</v>
      </c>
      <c r="Q1406" t="s">
        <v>3112</v>
      </c>
    </row>
    <row r="1407" spans="1:17" x14ac:dyDescent="0.3">
      <c r="A1407" t="s">
        <v>17</v>
      </c>
      <c r="B1407" t="str">
        <f>"603660"</f>
        <v>603660</v>
      </c>
      <c r="C1407" t="s">
        <v>3113</v>
      </c>
      <c r="D1407" t="s">
        <v>236</v>
      </c>
      <c r="F1407">
        <v>-107945694</v>
      </c>
      <c r="G1407">
        <v>-108109636</v>
      </c>
      <c r="H1407">
        <v>22927258</v>
      </c>
      <c r="I1407">
        <v>140172653</v>
      </c>
      <c r="J1407">
        <v>101595099</v>
      </c>
      <c r="K1407">
        <v>23653485</v>
      </c>
      <c r="P1407">
        <v>291</v>
      </c>
      <c r="Q1407" t="s">
        <v>3114</v>
      </c>
    </row>
    <row r="1408" spans="1:17" x14ac:dyDescent="0.3">
      <c r="A1408" t="s">
        <v>17</v>
      </c>
      <c r="B1408" t="str">
        <f>"603661"</f>
        <v>603661</v>
      </c>
      <c r="C1408" t="s">
        <v>3115</v>
      </c>
      <c r="D1408" t="s">
        <v>757</v>
      </c>
      <c r="F1408">
        <v>265280892</v>
      </c>
      <c r="G1408">
        <v>301959999</v>
      </c>
      <c r="H1408">
        <v>218129207</v>
      </c>
      <c r="I1408">
        <v>128074354</v>
      </c>
      <c r="J1408">
        <v>163579107</v>
      </c>
      <c r="K1408">
        <v>192594518</v>
      </c>
      <c r="P1408">
        <v>148</v>
      </c>
      <c r="Q1408" t="s">
        <v>3116</v>
      </c>
    </row>
    <row r="1409" spans="1:17" x14ac:dyDescent="0.3">
      <c r="A1409" t="s">
        <v>17</v>
      </c>
      <c r="B1409" t="str">
        <f>"603662"</f>
        <v>603662</v>
      </c>
      <c r="C1409" t="s">
        <v>3117</v>
      </c>
      <c r="D1409" t="s">
        <v>2551</v>
      </c>
      <c r="F1409">
        <v>190169271</v>
      </c>
      <c r="G1409">
        <v>156821123</v>
      </c>
      <c r="H1409">
        <v>130157300</v>
      </c>
      <c r="I1409">
        <v>98985049</v>
      </c>
      <c r="P1409">
        <v>125</v>
      </c>
      <c r="Q1409" t="s">
        <v>3118</v>
      </c>
    </row>
    <row r="1410" spans="1:17" x14ac:dyDescent="0.3">
      <c r="A1410" t="s">
        <v>17</v>
      </c>
      <c r="B1410" t="str">
        <f>"603663"</f>
        <v>603663</v>
      </c>
      <c r="C1410" t="s">
        <v>3119</v>
      </c>
      <c r="D1410" t="s">
        <v>736</v>
      </c>
      <c r="F1410">
        <v>69585560</v>
      </c>
      <c r="G1410">
        <v>43811632</v>
      </c>
      <c r="H1410">
        <v>66591947</v>
      </c>
      <c r="I1410">
        <v>65589066</v>
      </c>
      <c r="J1410">
        <v>41205470</v>
      </c>
      <c r="K1410">
        <v>31629152</v>
      </c>
      <c r="L1410">
        <v>26187092</v>
      </c>
      <c r="P1410">
        <v>143</v>
      </c>
      <c r="Q1410" t="s">
        <v>3120</v>
      </c>
    </row>
    <row r="1411" spans="1:17" x14ac:dyDescent="0.3">
      <c r="A1411" t="s">
        <v>17</v>
      </c>
      <c r="B1411" t="str">
        <f>"603665"</f>
        <v>603665</v>
      </c>
      <c r="C1411" t="s">
        <v>3121</v>
      </c>
      <c r="D1411" t="s">
        <v>330</v>
      </c>
      <c r="F1411">
        <v>35870123</v>
      </c>
      <c r="G1411">
        <v>75943034</v>
      </c>
      <c r="H1411">
        <v>65612093</v>
      </c>
      <c r="I1411">
        <v>73021736</v>
      </c>
      <c r="J1411">
        <v>65066134</v>
      </c>
      <c r="K1411">
        <v>76927888</v>
      </c>
      <c r="P1411">
        <v>89</v>
      </c>
      <c r="Q1411" t="s">
        <v>3122</v>
      </c>
    </row>
    <row r="1412" spans="1:17" x14ac:dyDescent="0.3">
      <c r="A1412" t="s">
        <v>17</v>
      </c>
      <c r="B1412" t="str">
        <f>"603666"</f>
        <v>603666</v>
      </c>
      <c r="C1412" t="s">
        <v>3123</v>
      </c>
      <c r="D1412" t="s">
        <v>2911</v>
      </c>
      <c r="F1412">
        <v>226009986</v>
      </c>
      <c r="G1412">
        <v>161456484</v>
      </c>
      <c r="H1412">
        <v>124066352</v>
      </c>
      <c r="I1412">
        <v>89825339</v>
      </c>
      <c r="J1412">
        <v>68857612</v>
      </c>
      <c r="P1412">
        <v>449</v>
      </c>
      <c r="Q1412" t="s">
        <v>3124</v>
      </c>
    </row>
    <row r="1413" spans="1:17" x14ac:dyDescent="0.3">
      <c r="A1413" t="s">
        <v>17</v>
      </c>
      <c r="B1413" t="str">
        <f>"603667"</f>
        <v>603667</v>
      </c>
      <c r="C1413" t="s">
        <v>3125</v>
      </c>
      <c r="D1413" t="s">
        <v>274</v>
      </c>
      <c r="F1413">
        <v>116884830</v>
      </c>
      <c r="G1413">
        <v>47626030</v>
      </c>
      <c r="H1413">
        <v>85501523</v>
      </c>
      <c r="I1413">
        <v>84346575</v>
      </c>
      <c r="J1413">
        <v>78130325</v>
      </c>
      <c r="K1413">
        <v>67369843</v>
      </c>
      <c r="L1413">
        <v>67093110</v>
      </c>
      <c r="P1413">
        <v>115</v>
      </c>
      <c r="Q1413" t="s">
        <v>3126</v>
      </c>
    </row>
    <row r="1414" spans="1:17" x14ac:dyDescent="0.3">
      <c r="A1414" t="s">
        <v>17</v>
      </c>
      <c r="B1414" t="str">
        <f>"603668"</f>
        <v>603668</v>
      </c>
      <c r="C1414" t="s">
        <v>3127</v>
      </c>
      <c r="D1414" t="s">
        <v>3128</v>
      </c>
      <c r="F1414">
        <v>83927575</v>
      </c>
      <c r="G1414">
        <v>81002465</v>
      </c>
      <c r="H1414">
        <v>72379097</v>
      </c>
      <c r="I1414">
        <v>71192133</v>
      </c>
      <c r="J1414">
        <v>70487697</v>
      </c>
      <c r="K1414">
        <v>63403731</v>
      </c>
      <c r="L1414">
        <v>45922305</v>
      </c>
      <c r="P1414">
        <v>126</v>
      </c>
      <c r="Q1414" t="s">
        <v>3129</v>
      </c>
    </row>
    <row r="1415" spans="1:17" x14ac:dyDescent="0.3">
      <c r="A1415" t="s">
        <v>17</v>
      </c>
      <c r="B1415" t="str">
        <f>"603669"</f>
        <v>603669</v>
      </c>
      <c r="C1415" t="s">
        <v>3130</v>
      </c>
      <c r="D1415" t="s">
        <v>143</v>
      </c>
      <c r="F1415">
        <v>78884394</v>
      </c>
      <c r="G1415">
        <v>152359598</v>
      </c>
      <c r="H1415">
        <v>150716017</v>
      </c>
      <c r="I1415">
        <v>166138584</v>
      </c>
      <c r="J1415">
        <v>96769709</v>
      </c>
      <c r="K1415">
        <v>101327107</v>
      </c>
      <c r="L1415">
        <v>100011254</v>
      </c>
      <c r="M1415">
        <v>94637294</v>
      </c>
      <c r="P1415">
        <v>194</v>
      </c>
      <c r="Q1415" t="s">
        <v>3131</v>
      </c>
    </row>
    <row r="1416" spans="1:17" x14ac:dyDescent="0.3">
      <c r="A1416" t="s">
        <v>17</v>
      </c>
      <c r="B1416" t="str">
        <f>"603676"</f>
        <v>603676</v>
      </c>
      <c r="C1416" t="s">
        <v>3132</v>
      </c>
      <c r="D1416" t="s">
        <v>143</v>
      </c>
      <c r="F1416">
        <v>82358522</v>
      </c>
      <c r="G1416">
        <v>45192750</v>
      </c>
      <c r="H1416">
        <v>44397925</v>
      </c>
      <c r="I1416">
        <v>64393156</v>
      </c>
      <c r="J1416">
        <v>77158400</v>
      </c>
      <c r="K1416">
        <v>79570760</v>
      </c>
      <c r="P1416">
        <v>108</v>
      </c>
      <c r="Q1416" t="s">
        <v>3133</v>
      </c>
    </row>
    <row r="1417" spans="1:17" x14ac:dyDescent="0.3">
      <c r="A1417" t="s">
        <v>17</v>
      </c>
      <c r="B1417" t="str">
        <f>"603677"</f>
        <v>603677</v>
      </c>
      <c r="C1417" t="s">
        <v>3134</v>
      </c>
      <c r="D1417" t="s">
        <v>1253</v>
      </c>
      <c r="F1417">
        <v>75535760</v>
      </c>
      <c r="G1417">
        <v>51031340</v>
      </c>
      <c r="H1417">
        <v>55800615</v>
      </c>
      <c r="I1417">
        <v>52100744</v>
      </c>
      <c r="J1417">
        <v>70114769</v>
      </c>
      <c r="K1417">
        <v>61326398</v>
      </c>
      <c r="L1417">
        <v>58314572</v>
      </c>
      <c r="P1417">
        <v>124</v>
      </c>
      <c r="Q1417" t="s">
        <v>3135</v>
      </c>
    </row>
    <row r="1418" spans="1:17" x14ac:dyDescent="0.3">
      <c r="A1418" t="s">
        <v>17</v>
      </c>
      <c r="B1418" t="str">
        <f>"603678"</f>
        <v>603678</v>
      </c>
      <c r="C1418" t="s">
        <v>3136</v>
      </c>
      <c r="D1418" t="s">
        <v>1136</v>
      </c>
      <c r="F1418">
        <v>781659282</v>
      </c>
      <c r="G1418">
        <v>425248111</v>
      </c>
      <c r="H1418">
        <v>290706738</v>
      </c>
      <c r="I1418">
        <v>252280898</v>
      </c>
      <c r="J1418">
        <v>164945476</v>
      </c>
      <c r="K1418">
        <v>144975710</v>
      </c>
      <c r="L1418">
        <v>110772277</v>
      </c>
      <c r="M1418">
        <v>104503806</v>
      </c>
      <c r="N1418">
        <v>76663775</v>
      </c>
      <c r="P1418">
        <v>639</v>
      </c>
      <c r="Q1418" t="s">
        <v>3137</v>
      </c>
    </row>
    <row r="1419" spans="1:17" x14ac:dyDescent="0.3">
      <c r="A1419" t="s">
        <v>17</v>
      </c>
      <c r="B1419" t="str">
        <f>"603679"</f>
        <v>603679</v>
      </c>
      <c r="C1419" t="s">
        <v>3138</v>
      </c>
      <c r="D1419" t="s">
        <v>803</v>
      </c>
      <c r="F1419">
        <v>10343996</v>
      </c>
      <c r="G1419">
        <v>53785224</v>
      </c>
      <c r="H1419">
        <v>80315400</v>
      </c>
      <c r="I1419">
        <v>47226684</v>
      </c>
      <c r="J1419">
        <v>30015522</v>
      </c>
      <c r="K1419">
        <v>29972437</v>
      </c>
      <c r="P1419">
        <v>164</v>
      </c>
      <c r="Q1419" t="s">
        <v>3139</v>
      </c>
    </row>
    <row r="1420" spans="1:17" x14ac:dyDescent="0.3">
      <c r="A1420" t="s">
        <v>17</v>
      </c>
      <c r="B1420" t="str">
        <f>"603680"</f>
        <v>603680</v>
      </c>
      <c r="C1420" t="s">
        <v>3140</v>
      </c>
      <c r="D1420" t="s">
        <v>1012</v>
      </c>
      <c r="F1420">
        <v>241869995</v>
      </c>
      <c r="G1420">
        <v>300092885</v>
      </c>
      <c r="H1420">
        <v>290630395</v>
      </c>
      <c r="I1420">
        <v>333645502</v>
      </c>
      <c r="J1420">
        <v>402150316</v>
      </c>
      <c r="K1420">
        <v>425592273</v>
      </c>
      <c r="P1420">
        <v>81</v>
      </c>
      <c r="Q1420" t="s">
        <v>3141</v>
      </c>
    </row>
    <row r="1421" spans="1:17" x14ac:dyDescent="0.3">
      <c r="A1421" t="s">
        <v>17</v>
      </c>
      <c r="B1421" t="str">
        <f>"603681"</f>
        <v>603681</v>
      </c>
      <c r="C1421" t="s">
        <v>3142</v>
      </c>
      <c r="D1421" t="s">
        <v>3143</v>
      </c>
      <c r="F1421">
        <v>194403157</v>
      </c>
      <c r="G1421">
        <v>138623186</v>
      </c>
      <c r="H1421">
        <v>107645972</v>
      </c>
      <c r="I1421">
        <v>104945440</v>
      </c>
      <c r="P1421">
        <v>113</v>
      </c>
      <c r="Q1421" t="s">
        <v>3144</v>
      </c>
    </row>
    <row r="1422" spans="1:17" x14ac:dyDescent="0.3">
      <c r="A1422" t="s">
        <v>17</v>
      </c>
      <c r="B1422" t="str">
        <f>"603682"</f>
        <v>603682</v>
      </c>
      <c r="C1422" t="s">
        <v>3145</v>
      </c>
      <c r="D1422" t="s">
        <v>271</v>
      </c>
      <c r="F1422">
        <v>96899009</v>
      </c>
      <c r="G1422">
        <v>119184919</v>
      </c>
      <c r="H1422">
        <v>131058792</v>
      </c>
      <c r="P1422">
        <v>156</v>
      </c>
      <c r="Q1422" t="s">
        <v>3146</v>
      </c>
    </row>
    <row r="1423" spans="1:17" x14ac:dyDescent="0.3">
      <c r="A1423" t="s">
        <v>17</v>
      </c>
      <c r="B1423" t="str">
        <f>"603683"</f>
        <v>603683</v>
      </c>
      <c r="C1423" t="s">
        <v>3147</v>
      </c>
      <c r="D1423" t="s">
        <v>3143</v>
      </c>
      <c r="F1423">
        <v>31187943</v>
      </c>
      <c r="G1423">
        <v>34096727</v>
      </c>
      <c r="H1423">
        <v>3124584</v>
      </c>
      <c r="I1423">
        <v>18231915</v>
      </c>
      <c r="J1423">
        <v>31578724</v>
      </c>
      <c r="K1423">
        <v>37915675</v>
      </c>
      <c r="P1423">
        <v>58</v>
      </c>
      <c r="Q1423" t="s">
        <v>3148</v>
      </c>
    </row>
    <row r="1424" spans="1:17" x14ac:dyDescent="0.3">
      <c r="A1424" t="s">
        <v>17</v>
      </c>
      <c r="B1424" t="str">
        <f>"603685"</f>
        <v>603685</v>
      </c>
      <c r="C1424" t="s">
        <v>3149</v>
      </c>
      <c r="D1424" t="s">
        <v>803</v>
      </c>
      <c r="F1424">
        <v>88740804</v>
      </c>
      <c r="G1424">
        <v>50695933</v>
      </c>
      <c r="H1424">
        <v>83613197</v>
      </c>
      <c r="I1424">
        <v>70220157</v>
      </c>
      <c r="J1424">
        <v>88545732</v>
      </c>
      <c r="K1424">
        <v>67800764</v>
      </c>
      <c r="P1424">
        <v>102</v>
      </c>
      <c r="Q1424" t="s">
        <v>3150</v>
      </c>
    </row>
    <row r="1425" spans="1:17" x14ac:dyDescent="0.3">
      <c r="A1425" t="s">
        <v>17</v>
      </c>
      <c r="B1425" t="str">
        <f>"603686"</f>
        <v>603686</v>
      </c>
      <c r="C1425" t="s">
        <v>3151</v>
      </c>
      <c r="D1425" t="s">
        <v>1070</v>
      </c>
      <c r="F1425">
        <v>307603986</v>
      </c>
      <c r="G1425">
        <v>330822352</v>
      </c>
      <c r="H1425">
        <v>199246398</v>
      </c>
      <c r="I1425">
        <v>199034505</v>
      </c>
      <c r="J1425">
        <v>191484854</v>
      </c>
      <c r="K1425">
        <v>151936215</v>
      </c>
      <c r="L1425">
        <v>124618633</v>
      </c>
      <c r="M1425">
        <v>103199241</v>
      </c>
      <c r="P1425">
        <v>760</v>
      </c>
      <c r="Q1425" t="s">
        <v>3152</v>
      </c>
    </row>
    <row r="1426" spans="1:17" x14ac:dyDescent="0.3">
      <c r="A1426" t="s">
        <v>17</v>
      </c>
      <c r="B1426" t="str">
        <f>"603687"</f>
        <v>603687</v>
      </c>
      <c r="C1426" t="s">
        <v>3153</v>
      </c>
      <c r="D1426" t="s">
        <v>2156</v>
      </c>
      <c r="F1426">
        <v>47083466</v>
      </c>
      <c r="G1426">
        <v>116637943</v>
      </c>
      <c r="H1426">
        <v>88122781</v>
      </c>
      <c r="I1426">
        <v>93767865</v>
      </c>
      <c r="J1426">
        <v>111963416</v>
      </c>
      <c r="P1426">
        <v>92</v>
      </c>
      <c r="Q1426" t="s">
        <v>3154</v>
      </c>
    </row>
    <row r="1427" spans="1:17" x14ac:dyDescent="0.3">
      <c r="A1427" t="s">
        <v>17</v>
      </c>
      <c r="B1427" t="str">
        <f>"603688"</f>
        <v>603688</v>
      </c>
      <c r="C1427" t="s">
        <v>3155</v>
      </c>
      <c r="D1427" t="s">
        <v>2739</v>
      </c>
      <c r="F1427">
        <v>175334117</v>
      </c>
      <c r="G1427">
        <v>148881749</v>
      </c>
      <c r="H1427">
        <v>113598851</v>
      </c>
      <c r="I1427">
        <v>102648353</v>
      </c>
      <c r="J1427">
        <v>75313448</v>
      </c>
      <c r="K1427">
        <v>51599449</v>
      </c>
      <c r="L1427">
        <v>60375293</v>
      </c>
      <c r="M1427">
        <v>46518499</v>
      </c>
      <c r="N1427">
        <v>55065337</v>
      </c>
      <c r="O1427">
        <v>67716125</v>
      </c>
      <c r="P1427">
        <v>219</v>
      </c>
      <c r="Q1427" t="s">
        <v>3156</v>
      </c>
    </row>
    <row r="1428" spans="1:17" x14ac:dyDescent="0.3">
      <c r="A1428" t="s">
        <v>17</v>
      </c>
      <c r="B1428" t="str">
        <f>"603689"</f>
        <v>603689</v>
      </c>
      <c r="C1428" t="s">
        <v>3157</v>
      </c>
      <c r="D1428" t="s">
        <v>749</v>
      </c>
      <c r="F1428">
        <v>163510184</v>
      </c>
      <c r="G1428">
        <v>148053066</v>
      </c>
      <c r="H1428">
        <v>164896049</v>
      </c>
      <c r="I1428">
        <v>123749429</v>
      </c>
      <c r="J1428">
        <v>91587810</v>
      </c>
      <c r="K1428">
        <v>69711600</v>
      </c>
      <c r="L1428">
        <v>102727300</v>
      </c>
      <c r="P1428">
        <v>117</v>
      </c>
      <c r="Q1428" t="s">
        <v>3158</v>
      </c>
    </row>
    <row r="1429" spans="1:17" x14ac:dyDescent="0.3">
      <c r="A1429" t="s">
        <v>17</v>
      </c>
      <c r="B1429" t="str">
        <f>"603690"</f>
        <v>603690</v>
      </c>
      <c r="C1429" t="s">
        <v>3159</v>
      </c>
      <c r="D1429" t="s">
        <v>3160</v>
      </c>
      <c r="F1429">
        <v>188165430</v>
      </c>
      <c r="G1429">
        <v>82543392</v>
      </c>
      <c r="H1429">
        <v>74522526</v>
      </c>
      <c r="I1429">
        <v>27375313</v>
      </c>
      <c r="J1429">
        <v>36013465</v>
      </c>
      <c r="K1429">
        <v>35843844</v>
      </c>
      <c r="L1429">
        <v>11545789</v>
      </c>
      <c r="P1429">
        <v>450</v>
      </c>
      <c r="Q1429" t="s">
        <v>3161</v>
      </c>
    </row>
    <row r="1430" spans="1:17" x14ac:dyDescent="0.3">
      <c r="A1430" t="s">
        <v>17</v>
      </c>
      <c r="B1430" t="str">
        <f>"603693"</f>
        <v>603693</v>
      </c>
      <c r="C1430" t="s">
        <v>3162</v>
      </c>
      <c r="D1430" t="s">
        <v>383</v>
      </c>
      <c r="F1430">
        <v>390829601</v>
      </c>
      <c r="G1430">
        <v>350754485</v>
      </c>
      <c r="H1430">
        <v>191872963</v>
      </c>
      <c r="I1430">
        <v>283713905</v>
      </c>
      <c r="J1430">
        <v>224975887</v>
      </c>
      <c r="P1430">
        <v>160</v>
      </c>
      <c r="Q1430" t="s">
        <v>3163</v>
      </c>
    </row>
    <row r="1431" spans="1:17" x14ac:dyDescent="0.3">
      <c r="A1431" t="s">
        <v>17</v>
      </c>
      <c r="B1431" t="str">
        <f>"603696"</f>
        <v>603696</v>
      </c>
      <c r="C1431" t="s">
        <v>3164</v>
      </c>
      <c r="D1431" t="s">
        <v>433</v>
      </c>
      <c r="F1431">
        <v>35884313</v>
      </c>
      <c r="G1431">
        <v>39290850</v>
      </c>
      <c r="H1431">
        <v>38379419</v>
      </c>
      <c r="I1431">
        <v>30542823</v>
      </c>
      <c r="J1431">
        <v>26297587</v>
      </c>
      <c r="K1431">
        <v>29709899</v>
      </c>
      <c r="L1431">
        <v>37134956</v>
      </c>
      <c r="M1431">
        <v>40979760</v>
      </c>
      <c r="P1431">
        <v>195</v>
      </c>
      <c r="Q1431" t="s">
        <v>3165</v>
      </c>
    </row>
    <row r="1432" spans="1:17" x14ac:dyDescent="0.3">
      <c r="A1432" t="s">
        <v>17</v>
      </c>
      <c r="B1432" t="str">
        <f>"603697"</f>
        <v>603697</v>
      </c>
      <c r="C1432" t="s">
        <v>3166</v>
      </c>
      <c r="D1432" t="s">
        <v>3167</v>
      </c>
      <c r="F1432">
        <v>181715960</v>
      </c>
      <c r="G1432">
        <v>183946189</v>
      </c>
      <c r="H1432">
        <v>151081613</v>
      </c>
      <c r="I1432">
        <v>143247725</v>
      </c>
      <c r="P1432">
        <v>394</v>
      </c>
      <c r="Q1432" t="s">
        <v>3168</v>
      </c>
    </row>
    <row r="1433" spans="1:17" x14ac:dyDescent="0.3">
      <c r="A1433" t="s">
        <v>17</v>
      </c>
      <c r="B1433" t="str">
        <f>"603698"</f>
        <v>603698</v>
      </c>
      <c r="C1433" t="s">
        <v>3169</v>
      </c>
      <c r="D1433" t="s">
        <v>395</v>
      </c>
      <c r="F1433">
        <v>90962273</v>
      </c>
      <c r="G1433">
        <v>72316128</v>
      </c>
      <c r="H1433">
        <v>98254548</v>
      </c>
      <c r="I1433">
        <v>177231440</v>
      </c>
      <c r="J1433">
        <v>171629633</v>
      </c>
      <c r="K1433">
        <v>43418938</v>
      </c>
      <c r="L1433">
        <v>137759051</v>
      </c>
      <c r="M1433">
        <v>165138033</v>
      </c>
      <c r="P1433">
        <v>108</v>
      </c>
      <c r="Q1433" t="s">
        <v>3170</v>
      </c>
    </row>
    <row r="1434" spans="1:17" x14ac:dyDescent="0.3">
      <c r="A1434" t="s">
        <v>17</v>
      </c>
      <c r="B1434" t="str">
        <f>"603699"</f>
        <v>603699</v>
      </c>
      <c r="C1434" t="s">
        <v>3171</v>
      </c>
      <c r="D1434" t="s">
        <v>274</v>
      </c>
      <c r="F1434">
        <v>288566240</v>
      </c>
      <c r="G1434">
        <v>400710951</v>
      </c>
      <c r="H1434">
        <v>370678361</v>
      </c>
      <c r="I1434">
        <v>201830915</v>
      </c>
      <c r="J1434">
        <v>155569516</v>
      </c>
      <c r="K1434">
        <v>193550500</v>
      </c>
      <c r="L1434">
        <v>328920088</v>
      </c>
      <c r="M1434">
        <v>400344757</v>
      </c>
      <c r="N1434">
        <v>353726834</v>
      </c>
      <c r="P1434">
        <v>271</v>
      </c>
      <c r="Q1434" t="s">
        <v>3172</v>
      </c>
    </row>
    <row r="1435" spans="1:17" x14ac:dyDescent="0.3">
      <c r="A1435" t="s">
        <v>17</v>
      </c>
      <c r="B1435" t="str">
        <f>"603700"</f>
        <v>603700</v>
      </c>
      <c r="C1435" t="s">
        <v>3173</v>
      </c>
      <c r="D1435" t="s">
        <v>2551</v>
      </c>
      <c r="F1435">
        <v>164504366</v>
      </c>
      <c r="G1435">
        <v>182771888</v>
      </c>
      <c r="H1435">
        <v>134465649</v>
      </c>
      <c r="I1435">
        <v>102802600</v>
      </c>
      <c r="J1435">
        <v>89268999</v>
      </c>
      <c r="P1435">
        <v>395</v>
      </c>
      <c r="Q1435" t="s">
        <v>3174</v>
      </c>
    </row>
    <row r="1436" spans="1:17" x14ac:dyDescent="0.3">
      <c r="A1436" t="s">
        <v>17</v>
      </c>
      <c r="B1436" t="str">
        <f>"603701"</f>
        <v>603701</v>
      </c>
      <c r="C1436" t="s">
        <v>3175</v>
      </c>
      <c r="D1436" t="s">
        <v>348</v>
      </c>
      <c r="F1436">
        <v>29992213</v>
      </c>
      <c r="G1436">
        <v>51542725</v>
      </c>
      <c r="H1436">
        <v>44875775</v>
      </c>
      <c r="I1436">
        <v>101614968</v>
      </c>
      <c r="J1436">
        <v>59346309</v>
      </c>
      <c r="K1436">
        <v>52339246</v>
      </c>
      <c r="L1436">
        <v>44137286</v>
      </c>
      <c r="P1436">
        <v>93</v>
      </c>
      <c r="Q1436" t="s">
        <v>3176</v>
      </c>
    </row>
    <row r="1437" spans="1:17" x14ac:dyDescent="0.3">
      <c r="A1437" t="s">
        <v>17</v>
      </c>
      <c r="B1437" t="str">
        <f>"603703"</f>
        <v>603703</v>
      </c>
      <c r="C1437" t="s">
        <v>3177</v>
      </c>
      <c r="D1437" t="s">
        <v>803</v>
      </c>
      <c r="F1437">
        <v>15983124</v>
      </c>
      <c r="G1437">
        <v>5075689</v>
      </c>
      <c r="H1437">
        <v>3210013</v>
      </c>
      <c r="I1437">
        <v>-6262174</v>
      </c>
      <c r="J1437">
        <v>26726046</v>
      </c>
      <c r="K1437">
        <v>19081140</v>
      </c>
      <c r="L1437">
        <v>26360081</v>
      </c>
      <c r="M1437">
        <v>36665272</v>
      </c>
      <c r="P1437">
        <v>78</v>
      </c>
      <c r="Q1437" t="s">
        <v>3178</v>
      </c>
    </row>
    <row r="1438" spans="1:17" x14ac:dyDescent="0.3">
      <c r="A1438" t="s">
        <v>17</v>
      </c>
      <c r="B1438" t="str">
        <f>"603706"</f>
        <v>603706</v>
      </c>
      <c r="C1438" t="s">
        <v>3179</v>
      </c>
      <c r="D1438" t="s">
        <v>749</v>
      </c>
      <c r="F1438">
        <v>85912226</v>
      </c>
      <c r="G1438">
        <v>70579513</v>
      </c>
      <c r="H1438">
        <v>74284527</v>
      </c>
      <c r="I1438">
        <v>63123754</v>
      </c>
      <c r="J1438">
        <v>81409547</v>
      </c>
      <c r="P1438">
        <v>91</v>
      </c>
      <c r="Q1438" t="s">
        <v>3180</v>
      </c>
    </row>
    <row r="1439" spans="1:17" x14ac:dyDescent="0.3">
      <c r="A1439" t="s">
        <v>17</v>
      </c>
      <c r="B1439" t="str">
        <f>"603707"</f>
        <v>603707</v>
      </c>
      <c r="C1439" t="s">
        <v>3181</v>
      </c>
      <c r="D1439" t="s">
        <v>143</v>
      </c>
      <c r="F1439">
        <v>844697366</v>
      </c>
      <c r="G1439">
        <v>613125613</v>
      </c>
      <c r="H1439">
        <v>448538878</v>
      </c>
      <c r="I1439">
        <v>334464025</v>
      </c>
      <c r="J1439">
        <v>223663970</v>
      </c>
      <c r="K1439">
        <v>204891819</v>
      </c>
      <c r="P1439">
        <v>771</v>
      </c>
      <c r="Q1439" t="s">
        <v>3182</v>
      </c>
    </row>
    <row r="1440" spans="1:17" x14ac:dyDescent="0.3">
      <c r="A1440" t="s">
        <v>17</v>
      </c>
      <c r="B1440" t="str">
        <f>"603708"</f>
        <v>603708</v>
      </c>
      <c r="C1440" t="s">
        <v>3183</v>
      </c>
      <c r="D1440" t="s">
        <v>798</v>
      </c>
      <c r="F1440">
        <v>192005874</v>
      </c>
      <c r="G1440">
        <v>388716281</v>
      </c>
      <c r="H1440">
        <v>351379662</v>
      </c>
      <c r="I1440">
        <v>301100054</v>
      </c>
      <c r="J1440">
        <v>224643314</v>
      </c>
      <c r="K1440">
        <v>178371092</v>
      </c>
      <c r="P1440">
        <v>702</v>
      </c>
      <c r="Q1440" t="s">
        <v>3184</v>
      </c>
    </row>
    <row r="1441" spans="1:17" x14ac:dyDescent="0.3">
      <c r="A1441" t="s">
        <v>17</v>
      </c>
      <c r="B1441" t="str">
        <f>"603709"</f>
        <v>603709</v>
      </c>
      <c r="C1441" t="s">
        <v>3185</v>
      </c>
      <c r="D1441" t="s">
        <v>757</v>
      </c>
      <c r="F1441">
        <v>9467923</v>
      </c>
      <c r="G1441">
        <v>35424119</v>
      </c>
      <c r="H1441">
        <v>47038517</v>
      </c>
      <c r="I1441">
        <v>48763088</v>
      </c>
      <c r="J1441">
        <v>56450700</v>
      </c>
      <c r="K1441">
        <v>53538800</v>
      </c>
      <c r="P1441">
        <v>99</v>
      </c>
      <c r="Q1441" t="s">
        <v>3186</v>
      </c>
    </row>
    <row r="1442" spans="1:17" x14ac:dyDescent="0.3">
      <c r="A1442" t="s">
        <v>17</v>
      </c>
      <c r="B1442" t="str">
        <f>"603711"</f>
        <v>603711</v>
      </c>
      <c r="C1442" t="s">
        <v>3187</v>
      </c>
      <c r="D1442" t="s">
        <v>440</v>
      </c>
      <c r="F1442">
        <v>39395495</v>
      </c>
      <c r="G1442">
        <v>44490208</v>
      </c>
      <c r="H1442">
        <v>132229848</v>
      </c>
      <c r="I1442">
        <v>84004593</v>
      </c>
      <c r="J1442">
        <v>81833344</v>
      </c>
      <c r="P1442">
        <v>392</v>
      </c>
      <c r="Q1442" t="s">
        <v>3188</v>
      </c>
    </row>
    <row r="1443" spans="1:17" x14ac:dyDescent="0.3">
      <c r="A1443" t="s">
        <v>17</v>
      </c>
      <c r="B1443" t="str">
        <f>"603712"</f>
        <v>603712</v>
      </c>
      <c r="C1443" t="s">
        <v>3189</v>
      </c>
      <c r="D1443" t="s">
        <v>1136</v>
      </c>
      <c r="F1443">
        <v>245324830</v>
      </c>
      <c r="G1443">
        <v>172720268</v>
      </c>
      <c r="H1443">
        <v>112234914</v>
      </c>
      <c r="I1443">
        <v>77272878</v>
      </c>
      <c r="J1443">
        <v>76854231</v>
      </c>
      <c r="K1443">
        <v>29123824</v>
      </c>
      <c r="P1443">
        <v>325</v>
      </c>
      <c r="Q1443" t="s">
        <v>3190</v>
      </c>
    </row>
    <row r="1444" spans="1:17" x14ac:dyDescent="0.3">
      <c r="A1444" t="s">
        <v>17</v>
      </c>
      <c r="B1444" t="str">
        <f>"603713"</f>
        <v>603713</v>
      </c>
      <c r="C1444" t="s">
        <v>3191</v>
      </c>
      <c r="D1444" t="s">
        <v>1592</v>
      </c>
      <c r="F1444">
        <v>301443626</v>
      </c>
      <c r="G1444">
        <v>211338759</v>
      </c>
      <c r="H1444">
        <v>144202351</v>
      </c>
      <c r="I1444">
        <v>104516730</v>
      </c>
      <c r="J1444">
        <v>59797244</v>
      </c>
      <c r="P1444">
        <v>457</v>
      </c>
      <c r="Q1444" t="s">
        <v>3192</v>
      </c>
    </row>
    <row r="1445" spans="1:17" x14ac:dyDescent="0.3">
      <c r="A1445" t="s">
        <v>17</v>
      </c>
      <c r="B1445" t="str">
        <f>"603716"</f>
        <v>603716</v>
      </c>
      <c r="C1445" t="s">
        <v>3193</v>
      </c>
      <c r="D1445" t="s">
        <v>125</v>
      </c>
      <c r="F1445">
        <v>857679</v>
      </c>
      <c r="G1445">
        <v>28623409</v>
      </c>
      <c r="H1445">
        <v>88822899</v>
      </c>
      <c r="I1445">
        <v>71094515</v>
      </c>
      <c r="J1445">
        <v>55380574</v>
      </c>
      <c r="K1445">
        <v>49814046</v>
      </c>
      <c r="L1445">
        <v>41894444</v>
      </c>
      <c r="P1445">
        <v>137</v>
      </c>
      <c r="Q1445" t="s">
        <v>3194</v>
      </c>
    </row>
    <row r="1446" spans="1:17" x14ac:dyDescent="0.3">
      <c r="A1446" t="s">
        <v>17</v>
      </c>
      <c r="B1446" t="str">
        <f>"603717"</f>
        <v>603717</v>
      </c>
      <c r="C1446" t="s">
        <v>3195</v>
      </c>
      <c r="D1446" t="s">
        <v>2408</v>
      </c>
      <c r="F1446">
        <v>-60980076</v>
      </c>
      <c r="G1446">
        <v>-16436917</v>
      </c>
      <c r="H1446">
        <v>40044258</v>
      </c>
      <c r="I1446">
        <v>54410226</v>
      </c>
      <c r="J1446">
        <v>49614840</v>
      </c>
      <c r="K1446">
        <v>30626634</v>
      </c>
      <c r="P1446">
        <v>55</v>
      </c>
      <c r="Q1446" t="s">
        <v>3196</v>
      </c>
    </row>
    <row r="1447" spans="1:17" x14ac:dyDescent="0.3">
      <c r="A1447" t="s">
        <v>17</v>
      </c>
      <c r="B1447" t="str">
        <f>"603718"</f>
        <v>603718</v>
      </c>
      <c r="C1447" t="s">
        <v>3197</v>
      </c>
      <c r="D1447" t="s">
        <v>453</v>
      </c>
      <c r="F1447">
        <v>36552039</v>
      </c>
      <c r="G1447">
        <v>6789118</v>
      </c>
      <c r="H1447">
        <v>23406251</v>
      </c>
      <c r="I1447">
        <v>46491518</v>
      </c>
      <c r="J1447">
        <v>83849653</v>
      </c>
      <c r="K1447">
        <v>71298699</v>
      </c>
      <c r="L1447">
        <v>73853111</v>
      </c>
      <c r="M1447">
        <v>82689969</v>
      </c>
      <c r="P1447">
        <v>166</v>
      </c>
      <c r="Q1447" t="s">
        <v>3198</v>
      </c>
    </row>
    <row r="1448" spans="1:17" x14ac:dyDescent="0.3">
      <c r="A1448" t="s">
        <v>17</v>
      </c>
      <c r="B1448" t="str">
        <f>"603719"</f>
        <v>603719</v>
      </c>
      <c r="C1448" t="s">
        <v>3199</v>
      </c>
      <c r="D1448" t="s">
        <v>3167</v>
      </c>
      <c r="F1448">
        <v>315244865</v>
      </c>
      <c r="G1448">
        <v>263648413</v>
      </c>
      <c r="H1448">
        <v>314419673</v>
      </c>
      <c r="I1448">
        <v>171059587</v>
      </c>
      <c r="P1448">
        <v>715</v>
      </c>
      <c r="Q1448" t="s">
        <v>3200</v>
      </c>
    </row>
    <row r="1449" spans="1:17" x14ac:dyDescent="0.3">
      <c r="A1449" t="s">
        <v>17</v>
      </c>
      <c r="B1449" t="str">
        <f>"603721"</f>
        <v>603721</v>
      </c>
      <c r="C1449" t="s">
        <v>3201</v>
      </c>
      <c r="D1449" t="s">
        <v>113</v>
      </c>
      <c r="F1449">
        <v>10065806</v>
      </c>
      <c r="G1449">
        <v>-10134262</v>
      </c>
      <c r="H1449">
        <v>-11648498</v>
      </c>
      <c r="I1449">
        <v>20714443</v>
      </c>
      <c r="J1449">
        <v>57059772</v>
      </c>
      <c r="K1449">
        <v>23580092</v>
      </c>
      <c r="P1449">
        <v>89</v>
      </c>
      <c r="Q1449" t="s">
        <v>3202</v>
      </c>
    </row>
    <row r="1450" spans="1:17" x14ac:dyDescent="0.3">
      <c r="A1450" t="s">
        <v>17</v>
      </c>
      <c r="B1450" t="str">
        <f>"603722"</f>
        <v>603722</v>
      </c>
      <c r="C1450" t="s">
        <v>3203</v>
      </c>
      <c r="D1450" t="s">
        <v>1192</v>
      </c>
      <c r="F1450">
        <v>68611777</v>
      </c>
      <c r="G1450">
        <v>29930975</v>
      </c>
      <c r="H1450">
        <v>30759072</v>
      </c>
      <c r="I1450">
        <v>31861356</v>
      </c>
      <c r="J1450">
        <v>40622445</v>
      </c>
      <c r="K1450">
        <v>39558489</v>
      </c>
      <c r="P1450">
        <v>83</v>
      </c>
      <c r="Q1450" t="s">
        <v>3204</v>
      </c>
    </row>
    <row r="1451" spans="1:17" x14ac:dyDescent="0.3">
      <c r="A1451" t="s">
        <v>17</v>
      </c>
      <c r="B1451" t="str">
        <f>"603725"</f>
        <v>603725</v>
      </c>
      <c r="C1451" t="s">
        <v>3205</v>
      </c>
      <c r="D1451" t="s">
        <v>386</v>
      </c>
      <c r="F1451">
        <v>37964968</v>
      </c>
      <c r="G1451">
        <v>18276619</v>
      </c>
      <c r="H1451">
        <v>5110536</v>
      </c>
      <c r="I1451">
        <v>42080418</v>
      </c>
      <c r="J1451">
        <v>34025208</v>
      </c>
      <c r="K1451">
        <v>39305448</v>
      </c>
      <c r="P1451">
        <v>74</v>
      </c>
      <c r="Q1451" t="s">
        <v>3206</v>
      </c>
    </row>
    <row r="1452" spans="1:17" x14ac:dyDescent="0.3">
      <c r="A1452" t="s">
        <v>17</v>
      </c>
      <c r="B1452" t="str">
        <f>"603726"</f>
        <v>603726</v>
      </c>
      <c r="C1452" t="s">
        <v>3207</v>
      </c>
      <c r="D1452" t="s">
        <v>1253</v>
      </c>
      <c r="F1452">
        <v>123888357</v>
      </c>
      <c r="G1452">
        <v>78917444</v>
      </c>
      <c r="H1452">
        <v>85783630</v>
      </c>
      <c r="I1452">
        <v>95642258</v>
      </c>
      <c r="J1452">
        <v>87286915</v>
      </c>
      <c r="K1452">
        <v>49758790</v>
      </c>
      <c r="L1452">
        <v>56507621</v>
      </c>
      <c r="P1452">
        <v>123</v>
      </c>
      <c r="Q1452" t="s">
        <v>3208</v>
      </c>
    </row>
    <row r="1453" spans="1:17" x14ac:dyDescent="0.3">
      <c r="A1453" t="s">
        <v>17</v>
      </c>
      <c r="B1453" t="str">
        <f>"603727"</f>
        <v>603727</v>
      </c>
      <c r="C1453" t="s">
        <v>3209</v>
      </c>
      <c r="D1453" t="s">
        <v>762</v>
      </c>
      <c r="F1453">
        <v>185561112</v>
      </c>
      <c r="G1453">
        <v>79249364</v>
      </c>
      <c r="H1453">
        <v>23230204</v>
      </c>
      <c r="I1453">
        <v>-29512223</v>
      </c>
      <c r="J1453">
        <v>76658877</v>
      </c>
      <c r="K1453">
        <v>208568400</v>
      </c>
      <c r="P1453">
        <v>123</v>
      </c>
      <c r="Q1453" t="s">
        <v>3210</v>
      </c>
    </row>
    <row r="1454" spans="1:17" x14ac:dyDescent="0.3">
      <c r="A1454" t="s">
        <v>17</v>
      </c>
      <c r="B1454" t="str">
        <f>"603728"</f>
        <v>603728</v>
      </c>
      <c r="C1454" t="s">
        <v>3211</v>
      </c>
      <c r="D1454" t="s">
        <v>1171</v>
      </c>
      <c r="F1454">
        <v>203606098</v>
      </c>
      <c r="G1454">
        <v>141877506</v>
      </c>
      <c r="H1454">
        <v>128533092</v>
      </c>
      <c r="I1454">
        <v>127527477</v>
      </c>
      <c r="J1454">
        <v>117929612</v>
      </c>
      <c r="K1454">
        <v>102526571</v>
      </c>
      <c r="P1454">
        <v>310</v>
      </c>
      <c r="Q1454" t="s">
        <v>3212</v>
      </c>
    </row>
    <row r="1455" spans="1:17" x14ac:dyDescent="0.3">
      <c r="A1455" t="s">
        <v>17</v>
      </c>
      <c r="B1455" t="str">
        <f>"603729"</f>
        <v>603729</v>
      </c>
      <c r="C1455" t="s">
        <v>3213</v>
      </c>
      <c r="D1455" t="s">
        <v>207</v>
      </c>
      <c r="F1455">
        <v>-30055077</v>
      </c>
      <c r="G1455">
        <v>5908048</v>
      </c>
      <c r="H1455">
        <v>-48752181</v>
      </c>
      <c r="I1455">
        <v>19160299</v>
      </c>
      <c r="J1455">
        <v>14764484</v>
      </c>
      <c r="K1455">
        <v>31835800</v>
      </c>
      <c r="L1455">
        <v>40795693</v>
      </c>
      <c r="M1455">
        <v>55974621</v>
      </c>
      <c r="P1455">
        <v>51</v>
      </c>
      <c r="Q1455" t="s">
        <v>3214</v>
      </c>
    </row>
    <row r="1456" spans="1:17" x14ac:dyDescent="0.3">
      <c r="A1456" t="s">
        <v>17</v>
      </c>
      <c r="B1456" t="str">
        <f>"603730"</f>
        <v>603730</v>
      </c>
      <c r="C1456" t="s">
        <v>3215</v>
      </c>
      <c r="D1456" t="s">
        <v>191</v>
      </c>
      <c r="F1456">
        <v>432450999</v>
      </c>
      <c r="G1456">
        <v>392366221</v>
      </c>
      <c r="H1456">
        <v>480155242</v>
      </c>
      <c r="I1456">
        <v>445478397</v>
      </c>
      <c r="J1456">
        <v>436174940</v>
      </c>
      <c r="K1456">
        <v>325896688</v>
      </c>
      <c r="P1456">
        <v>522</v>
      </c>
      <c r="Q1456" t="s">
        <v>3216</v>
      </c>
    </row>
    <row r="1457" spans="1:17" x14ac:dyDescent="0.3">
      <c r="A1457" t="s">
        <v>17</v>
      </c>
      <c r="B1457" t="str">
        <f>"603733"</f>
        <v>603733</v>
      </c>
      <c r="C1457" t="s">
        <v>3217</v>
      </c>
      <c r="D1457" t="s">
        <v>244</v>
      </c>
      <c r="F1457">
        <v>903173179</v>
      </c>
      <c r="G1457">
        <v>494485766</v>
      </c>
      <c r="H1457">
        <v>268090618</v>
      </c>
      <c r="I1457">
        <v>250222140</v>
      </c>
      <c r="J1457">
        <v>276950003</v>
      </c>
      <c r="P1457">
        <v>233</v>
      </c>
      <c r="Q1457" t="s">
        <v>3218</v>
      </c>
    </row>
    <row r="1458" spans="1:17" x14ac:dyDescent="0.3">
      <c r="A1458" t="s">
        <v>17</v>
      </c>
      <c r="B1458" t="str">
        <f>"603737"</f>
        <v>603737</v>
      </c>
      <c r="C1458" t="s">
        <v>3219</v>
      </c>
      <c r="D1458" t="s">
        <v>2876</v>
      </c>
      <c r="F1458">
        <v>64017104</v>
      </c>
      <c r="G1458">
        <v>324906494</v>
      </c>
      <c r="H1458">
        <v>272301353</v>
      </c>
      <c r="I1458">
        <v>129172735</v>
      </c>
      <c r="J1458">
        <v>90058318</v>
      </c>
      <c r="K1458">
        <v>52302108</v>
      </c>
      <c r="L1458">
        <v>45515292</v>
      </c>
      <c r="P1458">
        <v>1048</v>
      </c>
      <c r="Q1458" t="s">
        <v>3220</v>
      </c>
    </row>
    <row r="1459" spans="1:17" x14ac:dyDescent="0.3">
      <c r="A1459" t="s">
        <v>17</v>
      </c>
      <c r="B1459" t="str">
        <f>"603738"</f>
        <v>603738</v>
      </c>
      <c r="C1459" t="s">
        <v>3221</v>
      </c>
      <c r="D1459" t="s">
        <v>546</v>
      </c>
      <c r="F1459">
        <v>171052708</v>
      </c>
      <c r="G1459">
        <v>11084634</v>
      </c>
      <c r="H1459">
        <v>6051141</v>
      </c>
      <c r="I1459">
        <v>41443125</v>
      </c>
      <c r="J1459">
        <v>44943988</v>
      </c>
      <c r="K1459">
        <v>39397331</v>
      </c>
      <c r="L1459">
        <v>26181736</v>
      </c>
      <c r="P1459">
        <v>246</v>
      </c>
      <c r="Q1459" t="s">
        <v>3222</v>
      </c>
    </row>
    <row r="1460" spans="1:17" x14ac:dyDescent="0.3">
      <c r="A1460" t="s">
        <v>17</v>
      </c>
      <c r="B1460" t="str">
        <f>"603739"</f>
        <v>603739</v>
      </c>
      <c r="C1460" t="s">
        <v>3223</v>
      </c>
      <c r="D1460" t="s">
        <v>453</v>
      </c>
      <c r="F1460">
        <v>94499159</v>
      </c>
      <c r="G1460">
        <v>73060721</v>
      </c>
      <c r="H1460">
        <v>47818978</v>
      </c>
      <c r="I1460">
        <v>52311653</v>
      </c>
      <c r="J1460">
        <v>51441503</v>
      </c>
      <c r="P1460">
        <v>123</v>
      </c>
      <c r="Q1460" t="s">
        <v>3224</v>
      </c>
    </row>
    <row r="1461" spans="1:17" x14ac:dyDescent="0.3">
      <c r="A1461" t="s">
        <v>17</v>
      </c>
      <c r="B1461" t="str">
        <f>"603755"</f>
        <v>603755</v>
      </c>
      <c r="C1461" t="s">
        <v>3225</v>
      </c>
      <c r="D1461" t="s">
        <v>433</v>
      </c>
      <c r="F1461">
        <v>56599446</v>
      </c>
      <c r="G1461">
        <v>59498094</v>
      </c>
      <c r="H1461">
        <v>55598481</v>
      </c>
      <c r="I1461">
        <v>45053459</v>
      </c>
      <c r="P1461">
        <v>370</v>
      </c>
      <c r="Q1461" t="s">
        <v>3226</v>
      </c>
    </row>
    <row r="1462" spans="1:17" x14ac:dyDescent="0.3">
      <c r="A1462" t="s">
        <v>17</v>
      </c>
      <c r="B1462" t="str">
        <f>"603757"</f>
        <v>603757</v>
      </c>
      <c r="C1462" t="s">
        <v>3227</v>
      </c>
      <c r="D1462" t="s">
        <v>560</v>
      </c>
      <c r="F1462">
        <v>113326944</v>
      </c>
      <c r="G1462">
        <v>171469898</v>
      </c>
      <c r="H1462">
        <v>136194640</v>
      </c>
      <c r="I1462">
        <v>140838012</v>
      </c>
      <c r="J1462">
        <v>124437055</v>
      </c>
      <c r="K1462">
        <v>96522039</v>
      </c>
      <c r="P1462">
        <v>523</v>
      </c>
      <c r="Q1462" t="s">
        <v>3228</v>
      </c>
    </row>
    <row r="1463" spans="1:17" x14ac:dyDescent="0.3">
      <c r="A1463" t="s">
        <v>17</v>
      </c>
      <c r="B1463" t="str">
        <f>"603758"</f>
        <v>603758</v>
      </c>
      <c r="C1463" t="s">
        <v>3229</v>
      </c>
      <c r="D1463" t="s">
        <v>348</v>
      </c>
      <c r="F1463">
        <v>90575359</v>
      </c>
      <c r="G1463">
        <v>293770942</v>
      </c>
      <c r="H1463">
        <v>-75351484</v>
      </c>
      <c r="I1463">
        <v>-15622157</v>
      </c>
      <c r="J1463">
        <v>156116861</v>
      </c>
      <c r="K1463">
        <v>148027288</v>
      </c>
      <c r="P1463">
        <v>133</v>
      </c>
      <c r="Q1463" t="s">
        <v>3230</v>
      </c>
    </row>
    <row r="1464" spans="1:17" x14ac:dyDescent="0.3">
      <c r="A1464" t="s">
        <v>17</v>
      </c>
      <c r="B1464" t="str">
        <f>"603759"</f>
        <v>603759</v>
      </c>
      <c r="C1464" t="s">
        <v>3231</v>
      </c>
      <c r="D1464" t="s">
        <v>33</v>
      </c>
      <c r="F1464">
        <v>127174215</v>
      </c>
      <c r="G1464">
        <v>106960359</v>
      </c>
      <c r="P1464">
        <v>48</v>
      </c>
      <c r="Q1464" t="s">
        <v>3232</v>
      </c>
    </row>
    <row r="1465" spans="1:17" x14ac:dyDescent="0.3">
      <c r="A1465" t="s">
        <v>17</v>
      </c>
      <c r="B1465" t="str">
        <f>"603766"</f>
        <v>603766</v>
      </c>
      <c r="C1465" t="s">
        <v>3233</v>
      </c>
      <c r="D1465" t="s">
        <v>1654</v>
      </c>
      <c r="F1465">
        <v>711249678</v>
      </c>
      <c r="G1465">
        <v>493280561</v>
      </c>
      <c r="H1465">
        <v>614712395</v>
      </c>
      <c r="I1465">
        <v>609803478</v>
      </c>
      <c r="J1465">
        <v>690651674</v>
      </c>
      <c r="K1465">
        <v>653082236</v>
      </c>
      <c r="L1465">
        <v>632810430</v>
      </c>
      <c r="M1465">
        <v>465363522</v>
      </c>
      <c r="N1465">
        <v>417062329</v>
      </c>
      <c r="O1465">
        <v>341986129</v>
      </c>
      <c r="P1465">
        <v>460</v>
      </c>
      <c r="Q1465" t="s">
        <v>3234</v>
      </c>
    </row>
    <row r="1466" spans="1:17" x14ac:dyDescent="0.3">
      <c r="A1466" t="s">
        <v>17</v>
      </c>
      <c r="B1466" t="str">
        <f>"603767"</f>
        <v>603767</v>
      </c>
      <c r="C1466" t="s">
        <v>3235</v>
      </c>
      <c r="D1466" t="s">
        <v>348</v>
      </c>
      <c r="F1466">
        <v>50155440</v>
      </c>
      <c r="G1466">
        <v>50074950</v>
      </c>
      <c r="H1466">
        <v>54209555</v>
      </c>
      <c r="I1466">
        <v>49101698</v>
      </c>
      <c r="J1466">
        <v>55535306</v>
      </c>
      <c r="K1466">
        <v>73079119</v>
      </c>
      <c r="P1466">
        <v>80</v>
      </c>
      <c r="Q1466" t="s">
        <v>3236</v>
      </c>
    </row>
    <row r="1467" spans="1:17" x14ac:dyDescent="0.3">
      <c r="A1467" t="s">
        <v>17</v>
      </c>
      <c r="B1467" t="str">
        <f>"603768"</f>
        <v>603768</v>
      </c>
      <c r="C1467" t="s">
        <v>3237</v>
      </c>
      <c r="D1467" t="s">
        <v>985</v>
      </c>
      <c r="F1467">
        <v>77332875</v>
      </c>
      <c r="G1467">
        <v>74295415</v>
      </c>
      <c r="H1467">
        <v>32161131</v>
      </c>
      <c r="I1467">
        <v>70106649</v>
      </c>
      <c r="J1467">
        <v>88784685</v>
      </c>
      <c r="K1467">
        <v>116476711</v>
      </c>
      <c r="P1467">
        <v>58</v>
      </c>
      <c r="Q1467" t="s">
        <v>3238</v>
      </c>
    </row>
    <row r="1468" spans="1:17" x14ac:dyDescent="0.3">
      <c r="A1468" t="s">
        <v>17</v>
      </c>
      <c r="B1468" t="str">
        <f>"603773"</f>
        <v>603773</v>
      </c>
      <c r="C1468" t="s">
        <v>3239</v>
      </c>
      <c r="D1468" t="s">
        <v>1117</v>
      </c>
      <c r="F1468">
        <v>-6704720</v>
      </c>
      <c r="G1468">
        <v>14896270</v>
      </c>
      <c r="H1468">
        <v>48324544</v>
      </c>
      <c r="I1468">
        <v>169276912</v>
      </c>
      <c r="J1468">
        <v>152642927</v>
      </c>
      <c r="P1468">
        <v>141</v>
      </c>
      <c r="Q1468" t="s">
        <v>3240</v>
      </c>
    </row>
    <row r="1469" spans="1:17" x14ac:dyDescent="0.3">
      <c r="A1469" t="s">
        <v>17</v>
      </c>
      <c r="B1469" t="str">
        <f>"603776"</f>
        <v>603776</v>
      </c>
      <c r="C1469" t="s">
        <v>3241</v>
      </c>
      <c r="D1469" t="s">
        <v>1654</v>
      </c>
      <c r="F1469">
        <v>110239170</v>
      </c>
      <c r="G1469">
        <v>109734989</v>
      </c>
      <c r="H1469">
        <v>108554418</v>
      </c>
      <c r="I1469">
        <v>90169046</v>
      </c>
      <c r="J1469">
        <v>79272209</v>
      </c>
      <c r="K1469">
        <v>72476325</v>
      </c>
      <c r="P1469">
        <v>189</v>
      </c>
      <c r="Q1469" t="s">
        <v>3242</v>
      </c>
    </row>
    <row r="1470" spans="1:17" x14ac:dyDescent="0.3">
      <c r="A1470" t="s">
        <v>17</v>
      </c>
      <c r="B1470" t="str">
        <f>"603777"</f>
        <v>603777</v>
      </c>
      <c r="C1470" t="s">
        <v>3243</v>
      </c>
      <c r="D1470" t="s">
        <v>3167</v>
      </c>
      <c r="F1470">
        <v>12785406</v>
      </c>
      <c r="G1470">
        <v>-37587018</v>
      </c>
      <c r="H1470">
        <v>15067234</v>
      </c>
      <c r="I1470">
        <v>13407769</v>
      </c>
      <c r="J1470">
        <v>100160635</v>
      </c>
      <c r="K1470">
        <v>80169563</v>
      </c>
      <c r="L1470">
        <v>82178032</v>
      </c>
      <c r="P1470">
        <v>259</v>
      </c>
      <c r="Q1470" t="s">
        <v>3244</v>
      </c>
    </row>
    <row r="1471" spans="1:17" x14ac:dyDescent="0.3">
      <c r="A1471" t="s">
        <v>17</v>
      </c>
      <c r="B1471" t="str">
        <f>"603778"</f>
        <v>603778</v>
      </c>
      <c r="C1471" t="s">
        <v>3245</v>
      </c>
      <c r="D1471" t="s">
        <v>2408</v>
      </c>
      <c r="F1471">
        <v>-49841333</v>
      </c>
      <c r="G1471">
        <v>-16915967</v>
      </c>
      <c r="H1471">
        <v>13691760</v>
      </c>
      <c r="I1471">
        <v>19366141</v>
      </c>
      <c r="J1471">
        <v>33420142</v>
      </c>
      <c r="K1471">
        <v>49857918</v>
      </c>
      <c r="L1471">
        <v>34260512</v>
      </c>
      <c r="M1471">
        <v>23814852</v>
      </c>
      <c r="P1471">
        <v>72</v>
      </c>
      <c r="Q1471" t="s">
        <v>3246</v>
      </c>
    </row>
    <row r="1472" spans="1:17" x14ac:dyDescent="0.3">
      <c r="A1472" t="s">
        <v>17</v>
      </c>
      <c r="B1472" t="str">
        <f>"603779"</f>
        <v>603779</v>
      </c>
      <c r="C1472" t="s">
        <v>3247</v>
      </c>
      <c r="D1472" t="s">
        <v>134</v>
      </c>
      <c r="F1472">
        <v>2992294</v>
      </c>
      <c r="G1472">
        <v>-164094963</v>
      </c>
      <c r="H1472">
        <v>22467768</v>
      </c>
      <c r="I1472">
        <v>34727546</v>
      </c>
      <c r="J1472">
        <v>34280064</v>
      </c>
      <c r="K1472">
        <v>29042984</v>
      </c>
      <c r="L1472">
        <v>11171299</v>
      </c>
      <c r="P1472">
        <v>101</v>
      </c>
      <c r="Q1472" t="s">
        <v>3248</v>
      </c>
    </row>
    <row r="1473" spans="1:17" x14ac:dyDescent="0.3">
      <c r="A1473" t="s">
        <v>17</v>
      </c>
      <c r="B1473" t="str">
        <f>"603786"</f>
        <v>603786</v>
      </c>
      <c r="C1473" t="s">
        <v>3249</v>
      </c>
      <c r="D1473" t="s">
        <v>1415</v>
      </c>
      <c r="F1473">
        <v>272087965</v>
      </c>
      <c r="G1473">
        <v>320703309</v>
      </c>
      <c r="H1473">
        <v>320906486</v>
      </c>
      <c r="I1473">
        <v>324932963</v>
      </c>
      <c r="P1473">
        <v>345</v>
      </c>
      <c r="Q1473" t="s">
        <v>3250</v>
      </c>
    </row>
    <row r="1474" spans="1:17" x14ac:dyDescent="0.3">
      <c r="A1474" t="s">
        <v>17</v>
      </c>
      <c r="B1474" t="str">
        <f>"603787"</f>
        <v>603787</v>
      </c>
      <c r="C1474" t="s">
        <v>3251</v>
      </c>
      <c r="D1474" t="s">
        <v>1654</v>
      </c>
      <c r="F1474">
        <v>33101320</v>
      </c>
      <c r="G1474">
        <v>124486978</v>
      </c>
      <c r="H1474">
        <v>89921936</v>
      </c>
      <c r="I1474">
        <v>87237637</v>
      </c>
      <c r="J1474">
        <v>71958219</v>
      </c>
      <c r="K1474">
        <v>78951789</v>
      </c>
      <c r="P1474">
        <v>103</v>
      </c>
      <c r="Q1474" t="s">
        <v>3252</v>
      </c>
    </row>
    <row r="1475" spans="1:17" x14ac:dyDescent="0.3">
      <c r="A1475" t="s">
        <v>17</v>
      </c>
      <c r="B1475" t="str">
        <f>"603788"</f>
        <v>603788</v>
      </c>
      <c r="C1475" t="s">
        <v>3253</v>
      </c>
      <c r="D1475" t="s">
        <v>348</v>
      </c>
      <c r="F1475">
        <v>130294967</v>
      </c>
      <c r="G1475">
        <v>134811138</v>
      </c>
      <c r="H1475">
        <v>139873003</v>
      </c>
      <c r="I1475">
        <v>206280278</v>
      </c>
      <c r="J1475">
        <v>169324792</v>
      </c>
      <c r="K1475">
        <v>111864652</v>
      </c>
      <c r="L1475">
        <v>82250637</v>
      </c>
      <c r="M1475">
        <v>64764892</v>
      </c>
      <c r="P1475">
        <v>330</v>
      </c>
      <c r="Q1475" t="s">
        <v>3254</v>
      </c>
    </row>
    <row r="1476" spans="1:17" x14ac:dyDescent="0.3">
      <c r="A1476" t="s">
        <v>17</v>
      </c>
      <c r="B1476" t="str">
        <f>"603789"</f>
        <v>603789</v>
      </c>
      <c r="C1476" t="s">
        <v>3255</v>
      </c>
      <c r="D1476" t="s">
        <v>1979</v>
      </c>
      <c r="F1476">
        <v>-72456899</v>
      </c>
      <c r="G1476">
        <v>-80482947</v>
      </c>
      <c r="H1476">
        <v>15721664</v>
      </c>
      <c r="I1476">
        <v>4910206</v>
      </c>
      <c r="J1476">
        <v>50235566</v>
      </c>
      <c r="K1476">
        <v>52500751</v>
      </c>
      <c r="L1476">
        <v>95378130</v>
      </c>
      <c r="M1476">
        <v>124442928</v>
      </c>
      <c r="P1476">
        <v>64</v>
      </c>
      <c r="Q1476" t="s">
        <v>3256</v>
      </c>
    </row>
    <row r="1477" spans="1:17" x14ac:dyDescent="0.3">
      <c r="A1477" t="s">
        <v>17</v>
      </c>
      <c r="B1477" t="str">
        <f>"603790"</f>
        <v>603790</v>
      </c>
      <c r="C1477" t="s">
        <v>3257</v>
      </c>
      <c r="D1477" t="s">
        <v>779</v>
      </c>
      <c r="F1477">
        <v>60997545</v>
      </c>
      <c r="G1477">
        <v>51383282</v>
      </c>
      <c r="H1477">
        <v>108590069</v>
      </c>
      <c r="I1477">
        <v>108090131</v>
      </c>
      <c r="J1477">
        <v>95306433</v>
      </c>
      <c r="P1477">
        <v>64</v>
      </c>
      <c r="Q1477" t="s">
        <v>3258</v>
      </c>
    </row>
    <row r="1478" spans="1:17" x14ac:dyDescent="0.3">
      <c r="A1478" t="s">
        <v>17</v>
      </c>
      <c r="B1478" t="str">
        <f>"603797"</f>
        <v>603797</v>
      </c>
      <c r="C1478" t="s">
        <v>3259</v>
      </c>
      <c r="D1478" t="s">
        <v>33</v>
      </c>
      <c r="F1478">
        <v>181813246</v>
      </c>
      <c r="G1478">
        <v>174553108</v>
      </c>
      <c r="H1478">
        <v>127453029</v>
      </c>
      <c r="I1478">
        <v>56725965</v>
      </c>
      <c r="J1478">
        <v>44630769</v>
      </c>
      <c r="K1478">
        <v>42966709</v>
      </c>
      <c r="P1478">
        <v>243</v>
      </c>
      <c r="Q1478" t="s">
        <v>3260</v>
      </c>
    </row>
    <row r="1479" spans="1:17" x14ac:dyDescent="0.3">
      <c r="A1479" t="s">
        <v>17</v>
      </c>
      <c r="B1479" t="str">
        <f>"603798"</f>
        <v>603798</v>
      </c>
      <c r="C1479" t="s">
        <v>3261</v>
      </c>
      <c r="D1479" t="s">
        <v>1615</v>
      </c>
      <c r="F1479">
        <v>95418694</v>
      </c>
      <c r="G1479">
        <v>89451109</v>
      </c>
      <c r="H1479">
        <v>81111967</v>
      </c>
      <c r="I1479">
        <v>63837823</v>
      </c>
      <c r="J1479">
        <v>96533726</v>
      </c>
      <c r="K1479">
        <v>94697040</v>
      </c>
      <c r="L1479">
        <v>76449993</v>
      </c>
      <c r="P1479">
        <v>141</v>
      </c>
      <c r="Q1479" t="s">
        <v>3262</v>
      </c>
    </row>
    <row r="1480" spans="1:17" x14ac:dyDescent="0.3">
      <c r="A1480" t="s">
        <v>17</v>
      </c>
      <c r="B1480" t="str">
        <f>"603799"</f>
        <v>603799</v>
      </c>
      <c r="C1480" t="s">
        <v>3263</v>
      </c>
      <c r="D1480" t="s">
        <v>1440</v>
      </c>
      <c r="F1480">
        <v>2368710171</v>
      </c>
      <c r="G1480">
        <v>686676330</v>
      </c>
      <c r="H1480">
        <v>92760186</v>
      </c>
      <c r="I1480">
        <v>1911846911</v>
      </c>
      <c r="J1480">
        <v>1097859763</v>
      </c>
      <c r="K1480">
        <v>11176022</v>
      </c>
      <c r="L1480">
        <v>-28848793</v>
      </c>
      <c r="M1480">
        <v>118185436</v>
      </c>
      <c r="P1480">
        <v>1518</v>
      </c>
      <c r="Q1480" t="s">
        <v>3264</v>
      </c>
    </row>
    <row r="1481" spans="1:17" x14ac:dyDescent="0.3">
      <c r="A1481" t="s">
        <v>17</v>
      </c>
      <c r="B1481" t="str">
        <f>"603800"</f>
        <v>603800</v>
      </c>
      <c r="C1481" t="s">
        <v>3265</v>
      </c>
      <c r="D1481" t="s">
        <v>395</v>
      </c>
      <c r="F1481">
        <v>-50593897</v>
      </c>
      <c r="G1481">
        <v>-15016292</v>
      </c>
      <c r="H1481">
        <v>105915259</v>
      </c>
      <c r="I1481">
        <v>61415727</v>
      </c>
      <c r="J1481">
        <v>20189484</v>
      </c>
      <c r="K1481">
        <v>-38382541</v>
      </c>
      <c r="L1481">
        <v>31654700</v>
      </c>
      <c r="M1481">
        <v>70098400</v>
      </c>
      <c r="P1481">
        <v>75</v>
      </c>
      <c r="Q1481" t="s">
        <v>3266</v>
      </c>
    </row>
    <row r="1482" spans="1:17" x14ac:dyDescent="0.3">
      <c r="A1482" t="s">
        <v>17</v>
      </c>
      <c r="B1482" t="str">
        <f>"603801"</f>
        <v>603801</v>
      </c>
      <c r="C1482" t="s">
        <v>3267</v>
      </c>
      <c r="D1482" t="s">
        <v>2647</v>
      </c>
      <c r="F1482">
        <v>300070602</v>
      </c>
      <c r="G1482">
        <v>197741854</v>
      </c>
      <c r="H1482">
        <v>232958531</v>
      </c>
      <c r="I1482">
        <v>203471017</v>
      </c>
      <c r="J1482">
        <v>154722765</v>
      </c>
      <c r="K1482">
        <v>118693127</v>
      </c>
      <c r="P1482">
        <v>768</v>
      </c>
      <c r="Q1482" t="s">
        <v>3268</v>
      </c>
    </row>
    <row r="1483" spans="1:17" x14ac:dyDescent="0.3">
      <c r="A1483" t="s">
        <v>17</v>
      </c>
      <c r="B1483" t="str">
        <f>"603803"</f>
        <v>603803</v>
      </c>
      <c r="C1483" t="s">
        <v>3269</v>
      </c>
      <c r="D1483" t="s">
        <v>786</v>
      </c>
      <c r="F1483">
        <v>-723074652</v>
      </c>
      <c r="G1483">
        <v>57287599</v>
      </c>
      <c r="H1483">
        <v>99369702</v>
      </c>
      <c r="I1483">
        <v>80435404</v>
      </c>
      <c r="J1483">
        <v>128242081</v>
      </c>
      <c r="K1483">
        <v>190121900</v>
      </c>
      <c r="P1483">
        <v>153</v>
      </c>
      <c r="Q1483" t="s">
        <v>3270</v>
      </c>
    </row>
    <row r="1484" spans="1:17" x14ac:dyDescent="0.3">
      <c r="A1484" t="s">
        <v>17</v>
      </c>
      <c r="B1484" t="str">
        <f>"603806"</f>
        <v>603806</v>
      </c>
      <c r="C1484" t="s">
        <v>3271</v>
      </c>
      <c r="D1484" t="s">
        <v>478</v>
      </c>
      <c r="F1484">
        <v>1336280266</v>
      </c>
      <c r="G1484">
        <v>871292449</v>
      </c>
      <c r="H1484">
        <v>592477576</v>
      </c>
      <c r="I1484">
        <v>346889398</v>
      </c>
      <c r="J1484">
        <v>369928633</v>
      </c>
      <c r="K1484">
        <v>612301012</v>
      </c>
      <c r="L1484">
        <v>413715176</v>
      </c>
      <c r="M1484">
        <v>328381535</v>
      </c>
      <c r="N1484">
        <v>407036512</v>
      </c>
      <c r="P1484">
        <v>1029</v>
      </c>
      <c r="Q1484" t="s">
        <v>3272</v>
      </c>
    </row>
    <row r="1485" spans="1:17" x14ac:dyDescent="0.3">
      <c r="A1485" t="s">
        <v>17</v>
      </c>
      <c r="B1485" t="str">
        <f>"603808"</f>
        <v>603808</v>
      </c>
      <c r="C1485" t="s">
        <v>3273</v>
      </c>
      <c r="D1485" t="s">
        <v>255</v>
      </c>
      <c r="F1485">
        <v>243708573</v>
      </c>
      <c r="G1485">
        <v>341550846</v>
      </c>
      <c r="H1485">
        <v>275244948</v>
      </c>
      <c r="I1485">
        <v>268211083</v>
      </c>
      <c r="J1485">
        <v>202201302</v>
      </c>
      <c r="K1485">
        <v>90167394</v>
      </c>
      <c r="L1485">
        <v>105067316</v>
      </c>
      <c r="M1485">
        <v>102791289</v>
      </c>
      <c r="P1485">
        <v>479</v>
      </c>
      <c r="Q1485" t="s">
        <v>3274</v>
      </c>
    </row>
    <row r="1486" spans="1:17" x14ac:dyDescent="0.3">
      <c r="A1486" t="s">
        <v>17</v>
      </c>
      <c r="B1486" t="str">
        <f>"603809"</f>
        <v>603809</v>
      </c>
      <c r="C1486" t="s">
        <v>3275</v>
      </c>
      <c r="D1486" t="s">
        <v>348</v>
      </c>
      <c r="F1486">
        <v>175510701</v>
      </c>
      <c r="G1486">
        <v>138323533</v>
      </c>
      <c r="H1486">
        <v>85860819</v>
      </c>
      <c r="I1486">
        <v>118641289</v>
      </c>
      <c r="J1486">
        <v>112526793</v>
      </c>
      <c r="K1486">
        <v>94010555</v>
      </c>
      <c r="P1486">
        <v>137</v>
      </c>
      <c r="Q1486" t="s">
        <v>3276</v>
      </c>
    </row>
    <row r="1487" spans="1:17" x14ac:dyDescent="0.3">
      <c r="A1487" t="s">
        <v>17</v>
      </c>
      <c r="B1487" t="str">
        <f>"603810"</f>
        <v>603810</v>
      </c>
      <c r="C1487" t="s">
        <v>3277</v>
      </c>
      <c r="D1487" t="s">
        <v>853</v>
      </c>
      <c r="F1487">
        <v>89780425</v>
      </c>
      <c r="G1487">
        <v>180433891</v>
      </c>
      <c r="H1487">
        <v>47747064</v>
      </c>
      <c r="I1487">
        <v>94972514</v>
      </c>
      <c r="J1487">
        <v>63436832</v>
      </c>
      <c r="P1487">
        <v>79</v>
      </c>
      <c r="Q1487" t="s">
        <v>3278</v>
      </c>
    </row>
    <row r="1488" spans="1:17" x14ac:dyDescent="0.3">
      <c r="A1488" t="s">
        <v>17</v>
      </c>
      <c r="B1488" t="str">
        <f>"603811"</f>
        <v>603811</v>
      </c>
      <c r="C1488" t="s">
        <v>3279</v>
      </c>
      <c r="D1488" t="s">
        <v>143</v>
      </c>
      <c r="F1488">
        <v>118099844</v>
      </c>
      <c r="G1488">
        <v>102731363</v>
      </c>
      <c r="H1488">
        <v>99164843</v>
      </c>
      <c r="I1488">
        <v>71178624</v>
      </c>
      <c r="J1488">
        <v>45617522</v>
      </c>
      <c r="K1488">
        <v>45140511</v>
      </c>
      <c r="P1488">
        <v>327</v>
      </c>
      <c r="Q1488" t="s">
        <v>3280</v>
      </c>
    </row>
    <row r="1489" spans="1:17" x14ac:dyDescent="0.3">
      <c r="A1489" t="s">
        <v>17</v>
      </c>
      <c r="B1489" t="str">
        <f>"603813"</f>
        <v>603813</v>
      </c>
      <c r="C1489" t="s">
        <v>3281</v>
      </c>
      <c r="D1489" t="s">
        <v>2492</v>
      </c>
      <c r="F1489">
        <v>13208823</v>
      </c>
      <c r="G1489">
        <v>15037183</v>
      </c>
      <c r="H1489">
        <v>49538139</v>
      </c>
      <c r="I1489">
        <v>41705063</v>
      </c>
      <c r="J1489">
        <v>37949869</v>
      </c>
      <c r="K1489">
        <v>24184910</v>
      </c>
      <c r="P1489">
        <v>59</v>
      </c>
      <c r="Q1489" t="s">
        <v>3282</v>
      </c>
    </row>
    <row r="1490" spans="1:17" x14ac:dyDescent="0.3">
      <c r="A1490" t="s">
        <v>17</v>
      </c>
      <c r="B1490" t="str">
        <f>"603815"</f>
        <v>603815</v>
      </c>
      <c r="C1490" t="s">
        <v>3283</v>
      </c>
      <c r="D1490" t="s">
        <v>101</v>
      </c>
      <c r="F1490">
        <v>83875728</v>
      </c>
      <c r="G1490">
        <v>41927235</v>
      </c>
      <c r="H1490">
        <v>50517764</v>
      </c>
      <c r="I1490">
        <v>43785273</v>
      </c>
      <c r="P1490">
        <v>85</v>
      </c>
      <c r="Q1490" t="s">
        <v>3284</v>
      </c>
    </row>
    <row r="1491" spans="1:17" x14ac:dyDescent="0.3">
      <c r="A1491" t="s">
        <v>17</v>
      </c>
      <c r="B1491" t="str">
        <f>"603816"</f>
        <v>603816</v>
      </c>
      <c r="C1491" t="s">
        <v>3285</v>
      </c>
      <c r="D1491" t="s">
        <v>757</v>
      </c>
      <c r="F1491">
        <v>1237848291</v>
      </c>
      <c r="G1491">
        <v>1009789626</v>
      </c>
      <c r="H1491">
        <v>917118760</v>
      </c>
      <c r="I1491">
        <v>785540605</v>
      </c>
      <c r="J1491">
        <v>620008051</v>
      </c>
      <c r="K1491">
        <v>419631472</v>
      </c>
      <c r="L1491">
        <v>344461103</v>
      </c>
      <c r="P1491">
        <v>1965</v>
      </c>
      <c r="Q1491" t="s">
        <v>3286</v>
      </c>
    </row>
    <row r="1492" spans="1:17" x14ac:dyDescent="0.3">
      <c r="A1492" t="s">
        <v>17</v>
      </c>
      <c r="B1492" t="str">
        <f>"603817"</f>
        <v>603817</v>
      </c>
      <c r="C1492" t="s">
        <v>3287</v>
      </c>
      <c r="D1492" t="s">
        <v>33</v>
      </c>
      <c r="F1492">
        <v>101616655</v>
      </c>
      <c r="G1492">
        <v>98431911</v>
      </c>
      <c r="H1492">
        <v>93727325</v>
      </c>
      <c r="I1492">
        <v>78529377</v>
      </c>
      <c r="J1492">
        <v>77821889</v>
      </c>
      <c r="K1492">
        <v>63337439</v>
      </c>
      <c r="L1492">
        <v>63078405</v>
      </c>
      <c r="P1492">
        <v>121</v>
      </c>
      <c r="Q1492" t="s">
        <v>3288</v>
      </c>
    </row>
    <row r="1493" spans="1:17" x14ac:dyDescent="0.3">
      <c r="A1493" t="s">
        <v>17</v>
      </c>
      <c r="B1493" t="str">
        <f>"603818"</f>
        <v>603818</v>
      </c>
      <c r="C1493" t="s">
        <v>3289</v>
      </c>
      <c r="D1493" t="s">
        <v>757</v>
      </c>
      <c r="F1493">
        <v>181382529</v>
      </c>
      <c r="G1493">
        <v>31182755</v>
      </c>
      <c r="H1493">
        <v>80118630</v>
      </c>
      <c r="I1493">
        <v>95054594</v>
      </c>
      <c r="J1493">
        <v>174100353</v>
      </c>
      <c r="K1493">
        <v>133239447</v>
      </c>
      <c r="L1493">
        <v>83461472</v>
      </c>
      <c r="M1493">
        <v>71227683</v>
      </c>
      <c r="P1493">
        <v>202</v>
      </c>
      <c r="Q1493" t="s">
        <v>3290</v>
      </c>
    </row>
    <row r="1494" spans="1:17" x14ac:dyDescent="0.3">
      <c r="A1494" t="s">
        <v>17</v>
      </c>
      <c r="B1494" t="str">
        <f>"603819"</f>
        <v>603819</v>
      </c>
      <c r="C1494" t="s">
        <v>3291</v>
      </c>
      <c r="D1494" t="s">
        <v>1171</v>
      </c>
      <c r="F1494">
        <v>12141685</v>
      </c>
      <c r="G1494">
        <v>12062239</v>
      </c>
      <c r="H1494">
        <v>90488365</v>
      </c>
      <c r="I1494">
        <v>32939331</v>
      </c>
      <c r="J1494">
        <v>25699009</v>
      </c>
      <c r="K1494">
        <v>34689240</v>
      </c>
      <c r="L1494">
        <v>33866743</v>
      </c>
      <c r="P1494">
        <v>74</v>
      </c>
      <c r="Q1494" t="s">
        <v>3292</v>
      </c>
    </row>
    <row r="1495" spans="1:17" x14ac:dyDescent="0.3">
      <c r="A1495" t="s">
        <v>17</v>
      </c>
      <c r="B1495" t="str">
        <f>"603822"</f>
        <v>603822</v>
      </c>
      <c r="C1495" t="s">
        <v>3293</v>
      </c>
      <c r="D1495" t="s">
        <v>386</v>
      </c>
      <c r="F1495">
        <v>71552588</v>
      </c>
      <c r="G1495">
        <v>31690372</v>
      </c>
      <c r="H1495">
        <v>45200735</v>
      </c>
      <c r="I1495">
        <v>40352080</v>
      </c>
      <c r="J1495">
        <v>29943579</v>
      </c>
      <c r="K1495">
        <v>27560912</v>
      </c>
      <c r="L1495">
        <v>28546527</v>
      </c>
      <c r="P1495">
        <v>124</v>
      </c>
      <c r="Q1495" t="s">
        <v>3294</v>
      </c>
    </row>
    <row r="1496" spans="1:17" x14ac:dyDescent="0.3">
      <c r="A1496" t="s">
        <v>17</v>
      </c>
      <c r="B1496" t="str">
        <f>"603823"</f>
        <v>603823</v>
      </c>
      <c r="C1496" t="s">
        <v>3295</v>
      </c>
      <c r="D1496" t="s">
        <v>2570</v>
      </c>
      <c r="F1496">
        <v>221542126</v>
      </c>
      <c r="G1496">
        <v>176993493</v>
      </c>
      <c r="H1496">
        <v>174739300</v>
      </c>
      <c r="I1496">
        <v>151078395</v>
      </c>
      <c r="J1496">
        <v>86478271</v>
      </c>
      <c r="K1496">
        <v>112390100</v>
      </c>
      <c r="L1496">
        <v>98516800</v>
      </c>
      <c r="P1496">
        <v>142</v>
      </c>
      <c r="Q1496" t="s">
        <v>3296</v>
      </c>
    </row>
    <row r="1497" spans="1:17" x14ac:dyDescent="0.3">
      <c r="A1497" t="s">
        <v>17</v>
      </c>
      <c r="B1497" t="str">
        <f>"603825"</f>
        <v>603825</v>
      </c>
      <c r="C1497" t="s">
        <v>3297</v>
      </c>
      <c r="D1497" t="s">
        <v>207</v>
      </c>
      <c r="F1497">
        <v>133286260</v>
      </c>
      <c r="G1497">
        <v>116356361</v>
      </c>
      <c r="H1497">
        <v>84511616</v>
      </c>
      <c r="I1497">
        <v>70519869</v>
      </c>
      <c r="J1497">
        <v>36973099</v>
      </c>
      <c r="K1497">
        <v>4517748</v>
      </c>
      <c r="P1497">
        <v>158</v>
      </c>
      <c r="Q1497" t="s">
        <v>3298</v>
      </c>
    </row>
    <row r="1498" spans="1:17" x14ac:dyDescent="0.3">
      <c r="A1498" t="s">
        <v>17</v>
      </c>
      <c r="B1498" t="str">
        <f>"603826"</f>
        <v>603826</v>
      </c>
      <c r="C1498" t="s">
        <v>3299</v>
      </c>
      <c r="D1498" t="s">
        <v>2739</v>
      </c>
      <c r="F1498">
        <v>128552527</v>
      </c>
      <c r="G1498">
        <v>116805811</v>
      </c>
      <c r="H1498">
        <v>115053604</v>
      </c>
      <c r="I1498">
        <v>139578010</v>
      </c>
      <c r="J1498">
        <v>88201819</v>
      </c>
      <c r="K1498">
        <v>78785278</v>
      </c>
      <c r="P1498">
        <v>265</v>
      </c>
      <c r="Q1498" t="s">
        <v>3300</v>
      </c>
    </row>
    <row r="1499" spans="1:17" x14ac:dyDescent="0.3">
      <c r="A1499" t="s">
        <v>17</v>
      </c>
      <c r="B1499" t="str">
        <f>"603828"</f>
        <v>603828</v>
      </c>
      <c r="C1499" t="s">
        <v>3301</v>
      </c>
      <c r="D1499" t="s">
        <v>450</v>
      </c>
      <c r="F1499">
        <v>40107160</v>
      </c>
      <c r="G1499">
        <v>38126940</v>
      </c>
      <c r="H1499">
        <v>39273202</v>
      </c>
      <c r="I1499">
        <v>66561564</v>
      </c>
      <c r="J1499">
        <v>39206241</v>
      </c>
      <c r="K1499">
        <v>31632097</v>
      </c>
      <c r="L1499">
        <v>42658985</v>
      </c>
      <c r="M1499">
        <v>57082031</v>
      </c>
      <c r="P1499">
        <v>66</v>
      </c>
      <c r="Q1499" t="s">
        <v>3302</v>
      </c>
    </row>
    <row r="1500" spans="1:17" x14ac:dyDescent="0.3">
      <c r="A1500" t="s">
        <v>17</v>
      </c>
      <c r="B1500" t="str">
        <f>"603829"</f>
        <v>603829</v>
      </c>
      <c r="C1500" t="s">
        <v>3303</v>
      </c>
      <c r="D1500" t="s">
        <v>657</v>
      </c>
      <c r="F1500">
        <v>50582683</v>
      </c>
      <c r="G1500">
        <v>47080154</v>
      </c>
      <c r="H1500">
        <v>23667974</v>
      </c>
      <c r="I1500">
        <v>33612216</v>
      </c>
      <c r="J1500">
        <v>40171505</v>
      </c>
      <c r="K1500">
        <v>38915418</v>
      </c>
      <c r="P1500">
        <v>50</v>
      </c>
      <c r="Q1500" t="s">
        <v>3304</v>
      </c>
    </row>
    <row r="1501" spans="1:17" x14ac:dyDescent="0.3">
      <c r="A1501" t="s">
        <v>17</v>
      </c>
      <c r="B1501" t="str">
        <f>"603833"</f>
        <v>603833</v>
      </c>
      <c r="C1501" t="s">
        <v>3305</v>
      </c>
      <c r="D1501" t="s">
        <v>2647</v>
      </c>
      <c r="F1501">
        <v>2113455280</v>
      </c>
      <c r="G1501">
        <v>1450210958</v>
      </c>
      <c r="H1501">
        <v>1378168038</v>
      </c>
      <c r="I1501">
        <v>1200212873</v>
      </c>
      <c r="J1501">
        <v>944533102</v>
      </c>
      <c r="K1501">
        <v>714638294</v>
      </c>
      <c r="P1501">
        <v>2566</v>
      </c>
      <c r="Q1501" t="s">
        <v>3306</v>
      </c>
    </row>
    <row r="1502" spans="1:17" x14ac:dyDescent="0.3">
      <c r="A1502" t="s">
        <v>17</v>
      </c>
      <c r="B1502" t="str">
        <f>"603836"</f>
        <v>603836</v>
      </c>
      <c r="C1502" t="s">
        <v>3307</v>
      </c>
      <c r="D1502" t="s">
        <v>287</v>
      </c>
      <c r="F1502">
        <v>360947429</v>
      </c>
      <c r="P1502">
        <v>29</v>
      </c>
      <c r="Q1502" t="s">
        <v>3308</v>
      </c>
    </row>
    <row r="1503" spans="1:17" x14ac:dyDescent="0.3">
      <c r="A1503" t="s">
        <v>17</v>
      </c>
      <c r="B1503" t="str">
        <f>"603838"</f>
        <v>603838</v>
      </c>
      <c r="C1503" t="s">
        <v>3309</v>
      </c>
      <c r="D1503" t="s">
        <v>2436</v>
      </c>
      <c r="F1503">
        <v>44961095</v>
      </c>
      <c r="G1503">
        <v>-4410138</v>
      </c>
      <c r="H1503">
        <v>51667433</v>
      </c>
      <c r="I1503">
        <v>53308137</v>
      </c>
      <c r="J1503">
        <v>35593431</v>
      </c>
      <c r="K1503">
        <v>47872411</v>
      </c>
      <c r="L1503">
        <v>44128383</v>
      </c>
      <c r="M1503">
        <v>42031716</v>
      </c>
      <c r="P1503">
        <v>49</v>
      </c>
      <c r="Q1503" t="s">
        <v>3310</v>
      </c>
    </row>
    <row r="1504" spans="1:17" x14ac:dyDescent="0.3">
      <c r="A1504" t="s">
        <v>17</v>
      </c>
      <c r="B1504" t="str">
        <f>"603839"</f>
        <v>603839</v>
      </c>
      <c r="C1504" t="s">
        <v>3311</v>
      </c>
      <c r="D1504" t="s">
        <v>255</v>
      </c>
      <c r="F1504">
        <v>118960950</v>
      </c>
      <c r="G1504">
        <v>132759734</v>
      </c>
      <c r="H1504">
        <v>277910818</v>
      </c>
      <c r="I1504">
        <v>246922115</v>
      </c>
      <c r="J1504">
        <v>204596596</v>
      </c>
      <c r="K1504">
        <v>172337103</v>
      </c>
      <c r="L1504">
        <v>170297165</v>
      </c>
      <c r="P1504">
        <v>136</v>
      </c>
      <c r="Q1504" t="s">
        <v>3312</v>
      </c>
    </row>
    <row r="1505" spans="1:17" x14ac:dyDescent="0.3">
      <c r="A1505" t="s">
        <v>17</v>
      </c>
      <c r="B1505" t="str">
        <f>"603843"</f>
        <v>603843</v>
      </c>
      <c r="C1505" t="s">
        <v>3313</v>
      </c>
      <c r="D1505" t="s">
        <v>101</v>
      </c>
      <c r="F1505">
        <v>65160443</v>
      </c>
      <c r="G1505">
        <v>55062986</v>
      </c>
      <c r="H1505">
        <v>52974674</v>
      </c>
      <c r="I1505">
        <v>50582951</v>
      </c>
      <c r="J1505">
        <v>25537729</v>
      </c>
      <c r="K1505">
        <v>49588704</v>
      </c>
      <c r="L1505">
        <v>54675905</v>
      </c>
      <c r="P1505">
        <v>90</v>
      </c>
      <c r="Q1505" t="s">
        <v>3314</v>
      </c>
    </row>
    <row r="1506" spans="1:17" x14ac:dyDescent="0.3">
      <c r="A1506" t="s">
        <v>17</v>
      </c>
      <c r="B1506" t="str">
        <f>"603848"</f>
        <v>603848</v>
      </c>
      <c r="C1506" t="s">
        <v>3315</v>
      </c>
      <c r="D1506" t="s">
        <v>757</v>
      </c>
      <c r="F1506">
        <v>218411893</v>
      </c>
      <c r="G1506">
        <v>151500397</v>
      </c>
      <c r="H1506">
        <v>175361482</v>
      </c>
      <c r="I1506">
        <v>186209192</v>
      </c>
      <c r="J1506">
        <v>137835800</v>
      </c>
      <c r="K1506">
        <v>102287800</v>
      </c>
      <c r="P1506">
        <v>415</v>
      </c>
      <c r="Q1506" t="s">
        <v>3316</v>
      </c>
    </row>
    <row r="1507" spans="1:17" x14ac:dyDescent="0.3">
      <c r="A1507" t="s">
        <v>17</v>
      </c>
      <c r="B1507" t="str">
        <f>"603855"</f>
        <v>603855</v>
      </c>
      <c r="C1507" t="s">
        <v>3317</v>
      </c>
      <c r="D1507" t="s">
        <v>741</v>
      </c>
      <c r="F1507">
        <v>297664906</v>
      </c>
      <c r="G1507">
        <v>202256525</v>
      </c>
      <c r="H1507">
        <v>133899494</v>
      </c>
      <c r="I1507">
        <v>102953688</v>
      </c>
      <c r="J1507">
        <v>63786821</v>
      </c>
      <c r="K1507">
        <v>50464281</v>
      </c>
      <c r="P1507">
        <v>220</v>
      </c>
      <c r="Q1507" t="s">
        <v>3318</v>
      </c>
    </row>
    <row r="1508" spans="1:17" x14ac:dyDescent="0.3">
      <c r="A1508" t="s">
        <v>17</v>
      </c>
      <c r="B1508" t="str">
        <f>"603856"</f>
        <v>603856</v>
      </c>
      <c r="C1508" t="s">
        <v>3319</v>
      </c>
      <c r="D1508" t="s">
        <v>3320</v>
      </c>
      <c r="F1508">
        <v>143062475</v>
      </c>
      <c r="G1508">
        <v>209871446</v>
      </c>
      <c r="H1508">
        <v>143978381</v>
      </c>
      <c r="I1508">
        <v>125061911</v>
      </c>
      <c r="J1508">
        <v>102283860</v>
      </c>
      <c r="K1508">
        <v>82174270</v>
      </c>
      <c r="P1508">
        <v>138</v>
      </c>
      <c r="Q1508" t="s">
        <v>3321</v>
      </c>
    </row>
    <row r="1509" spans="1:17" x14ac:dyDescent="0.3">
      <c r="A1509" t="s">
        <v>17</v>
      </c>
      <c r="B1509" t="str">
        <f>"603858"</f>
        <v>603858</v>
      </c>
      <c r="C1509" t="s">
        <v>3322</v>
      </c>
      <c r="D1509" t="s">
        <v>188</v>
      </c>
      <c r="F1509">
        <v>1273931225</v>
      </c>
      <c r="G1509">
        <v>1395754996</v>
      </c>
      <c r="H1509">
        <v>1349038537</v>
      </c>
      <c r="I1509">
        <v>1215640576</v>
      </c>
      <c r="J1509">
        <v>1130083364</v>
      </c>
      <c r="K1509">
        <v>1258498063</v>
      </c>
      <c r="L1509">
        <v>2892262959</v>
      </c>
      <c r="P1509">
        <v>828</v>
      </c>
      <c r="Q1509" t="s">
        <v>3323</v>
      </c>
    </row>
    <row r="1510" spans="1:17" x14ac:dyDescent="0.3">
      <c r="A1510" t="s">
        <v>17</v>
      </c>
      <c r="B1510" t="str">
        <f>"603859"</f>
        <v>603859</v>
      </c>
      <c r="C1510" t="s">
        <v>3324</v>
      </c>
      <c r="D1510" t="s">
        <v>2423</v>
      </c>
      <c r="F1510">
        <v>105855510</v>
      </c>
      <c r="G1510">
        <v>80396208</v>
      </c>
      <c r="H1510">
        <v>55694752</v>
      </c>
      <c r="I1510">
        <v>18060772</v>
      </c>
      <c r="J1510">
        <v>9935152</v>
      </c>
      <c r="K1510">
        <v>8877153</v>
      </c>
      <c r="L1510">
        <v>-4767591</v>
      </c>
      <c r="P1510">
        <v>205</v>
      </c>
      <c r="Q1510" t="s">
        <v>3325</v>
      </c>
    </row>
    <row r="1511" spans="1:17" x14ac:dyDescent="0.3">
      <c r="A1511" t="s">
        <v>17</v>
      </c>
      <c r="B1511" t="str">
        <f>"603860"</f>
        <v>603860</v>
      </c>
      <c r="C1511" t="s">
        <v>3326</v>
      </c>
      <c r="D1511" t="s">
        <v>1272</v>
      </c>
      <c r="F1511">
        <v>-1644962</v>
      </c>
      <c r="G1511">
        <v>-1631084</v>
      </c>
      <c r="H1511">
        <v>15067574</v>
      </c>
      <c r="I1511">
        <v>14595556</v>
      </c>
      <c r="J1511">
        <v>16630597</v>
      </c>
      <c r="K1511">
        <v>19946270</v>
      </c>
      <c r="P1511">
        <v>58</v>
      </c>
      <c r="Q1511" t="s">
        <v>3327</v>
      </c>
    </row>
    <row r="1512" spans="1:17" x14ac:dyDescent="0.3">
      <c r="A1512" t="s">
        <v>17</v>
      </c>
      <c r="B1512" t="str">
        <f>"603861"</f>
        <v>603861</v>
      </c>
      <c r="C1512" t="s">
        <v>3328</v>
      </c>
      <c r="D1512" t="s">
        <v>657</v>
      </c>
      <c r="F1512">
        <v>20654110</v>
      </c>
      <c r="G1512">
        <v>-69087125</v>
      </c>
      <c r="H1512">
        <v>52648442</v>
      </c>
      <c r="I1512">
        <v>111107221</v>
      </c>
      <c r="J1512">
        <v>85786054</v>
      </c>
      <c r="K1512">
        <v>68419745</v>
      </c>
      <c r="L1512">
        <v>76705664</v>
      </c>
      <c r="P1512">
        <v>109</v>
      </c>
      <c r="Q1512" t="s">
        <v>3329</v>
      </c>
    </row>
    <row r="1513" spans="1:17" x14ac:dyDescent="0.3">
      <c r="A1513" t="s">
        <v>17</v>
      </c>
      <c r="B1513" t="str">
        <f>"603863"</f>
        <v>603863</v>
      </c>
      <c r="C1513" t="s">
        <v>3330</v>
      </c>
      <c r="D1513" t="s">
        <v>694</v>
      </c>
      <c r="F1513">
        <v>14212626</v>
      </c>
      <c r="G1513">
        <v>50820883</v>
      </c>
      <c r="H1513">
        <v>63290530</v>
      </c>
      <c r="I1513">
        <v>72899953</v>
      </c>
      <c r="P1513">
        <v>51</v>
      </c>
      <c r="Q1513" t="s">
        <v>3331</v>
      </c>
    </row>
    <row r="1514" spans="1:17" x14ac:dyDescent="0.3">
      <c r="A1514" t="s">
        <v>17</v>
      </c>
      <c r="B1514" t="str">
        <f>"603866"</f>
        <v>603866</v>
      </c>
      <c r="C1514" t="s">
        <v>3332</v>
      </c>
      <c r="D1514" t="s">
        <v>2479</v>
      </c>
      <c r="F1514">
        <v>568323165</v>
      </c>
      <c r="G1514">
        <v>686028035</v>
      </c>
      <c r="H1514">
        <v>503070175</v>
      </c>
      <c r="I1514">
        <v>462762657</v>
      </c>
      <c r="J1514">
        <v>357986270</v>
      </c>
      <c r="K1514">
        <v>325135717</v>
      </c>
      <c r="L1514">
        <v>249447624</v>
      </c>
      <c r="M1514">
        <v>193415201</v>
      </c>
      <c r="P1514">
        <v>7676</v>
      </c>
      <c r="Q1514" t="s">
        <v>3333</v>
      </c>
    </row>
    <row r="1515" spans="1:17" x14ac:dyDescent="0.3">
      <c r="A1515" t="s">
        <v>17</v>
      </c>
      <c r="B1515" t="str">
        <f>"603867"</f>
        <v>603867</v>
      </c>
      <c r="C1515" t="s">
        <v>3334</v>
      </c>
      <c r="D1515" t="s">
        <v>386</v>
      </c>
      <c r="F1515">
        <v>109885186</v>
      </c>
      <c r="G1515">
        <v>156175831</v>
      </c>
      <c r="H1515">
        <v>107336870</v>
      </c>
      <c r="I1515">
        <v>126800443</v>
      </c>
      <c r="P1515">
        <v>88</v>
      </c>
      <c r="Q1515" t="s">
        <v>3335</v>
      </c>
    </row>
    <row r="1516" spans="1:17" x14ac:dyDescent="0.3">
      <c r="A1516" t="s">
        <v>17</v>
      </c>
      <c r="B1516" t="str">
        <f>"603868"</f>
        <v>603868</v>
      </c>
      <c r="C1516" t="s">
        <v>3336</v>
      </c>
      <c r="D1516" t="s">
        <v>3337</v>
      </c>
      <c r="F1516">
        <v>502852825</v>
      </c>
      <c r="G1516">
        <v>471049353</v>
      </c>
      <c r="H1516">
        <v>530361080</v>
      </c>
      <c r="I1516">
        <v>620663143</v>
      </c>
      <c r="J1516">
        <v>599854866</v>
      </c>
      <c r="K1516">
        <v>420156446</v>
      </c>
      <c r="L1516">
        <v>346861565</v>
      </c>
      <c r="P1516">
        <v>4434</v>
      </c>
      <c r="Q1516" t="s">
        <v>3338</v>
      </c>
    </row>
    <row r="1517" spans="1:17" x14ac:dyDescent="0.3">
      <c r="A1517" t="s">
        <v>17</v>
      </c>
      <c r="B1517" t="str">
        <f>"603869"</f>
        <v>603869</v>
      </c>
      <c r="C1517" t="s">
        <v>3339</v>
      </c>
      <c r="D1517" t="s">
        <v>316</v>
      </c>
      <c r="F1517">
        <v>58696069</v>
      </c>
      <c r="G1517">
        <v>-160295309</v>
      </c>
      <c r="H1517">
        <v>152217055</v>
      </c>
      <c r="I1517">
        <v>287350883</v>
      </c>
      <c r="J1517">
        <v>191253552</v>
      </c>
      <c r="K1517">
        <v>93751317</v>
      </c>
      <c r="L1517">
        <v>77954864</v>
      </c>
      <c r="M1517">
        <v>42625327</v>
      </c>
      <c r="P1517">
        <v>143</v>
      </c>
      <c r="Q1517" t="s">
        <v>3340</v>
      </c>
    </row>
    <row r="1518" spans="1:17" x14ac:dyDescent="0.3">
      <c r="A1518" t="s">
        <v>17</v>
      </c>
      <c r="B1518" t="str">
        <f>"603871"</f>
        <v>603871</v>
      </c>
      <c r="C1518" t="s">
        <v>3341</v>
      </c>
      <c r="D1518" t="s">
        <v>287</v>
      </c>
      <c r="F1518">
        <v>248224449</v>
      </c>
      <c r="G1518">
        <v>282534193</v>
      </c>
      <c r="H1518">
        <v>279660781</v>
      </c>
      <c r="I1518">
        <v>224069210</v>
      </c>
      <c r="J1518">
        <v>171765492</v>
      </c>
      <c r="K1518">
        <v>106285488</v>
      </c>
      <c r="P1518">
        <v>324</v>
      </c>
      <c r="Q1518" t="s">
        <v>3342</v>
      </c>
    </row>
    <row r="1519" spans="1:17" x14ac:dyDescent="0.3">
      <c r="A1519" t="s">
        <v>17</v>
      </c>
      <c r="B1519" t="str">
        <f>"603876"</f>
        <v>603876</v>
      </c>
      <c r="C1519" t="s">
        <v>3343</v>
      </c>
      <c r="D1519" t="s">
        <v>504</v>
      </c>
      <c r="F1519">
        <v>262700189</v>
      </c>
      <c r="G1519">
        <v>-11946000</v>
      </c>
      <c r="H1519">
        <v>191739253</v>
      </c>
      <c r="I1519">
        <v>178834110</v>
      </c>
      <c r="J1519">
        <v>163162556</v>
      </c>
      <c r="P1519">
        <v>143</v>
      </c>
      <c r="Q1519" t="s">
        <v>3344</v>
      </c>
    </row>
    <row r="1520" spans="1:17" x14ac:dyDescent="0.3">
      <c r="A1520" t="s">
        <v>17</v>
      </c>
      <c r="B1520" t="str">
        <f>"603877"</f>
        <v>603877</v>
      </c>
      <c r="C1520" t="s">
        <v>3345</v>
      </c>
      <c r="D1520" t="s">
        <v>255</v>
      </c>
      <c r="F1520">
        <v>553766279</v>
      </c>
      <c r="G1520">
        <v>310170477</v>
      </c>
      <c r="H1520">
        <v>206731637</v>
      </c>
      <c r="I1520">
        <v>282344391</v>
      </c>
      <c r="J1520">
        <v>169983050</v>
      </c>
      <c r="K1520">
        <v>238495010</v>
      </c>
      <c r="L1520">
        <v>275214530</v>
      </c>
      <c r="P1520">
        <v>364</v>
      </c>
      <c r="Q1520" t="s">
        <v>3346</v>
      </c>
    </row>
    <row r="1521" spans="1:17" x14ac:dyDescent="0.3">
      <c r="A1521" t="s">
        <v>17</v>
      </c>
      <c r="B1521" t="str">
        <f>"603878"</f>
        <v>603878</v>
      </c>
      <c r="C1521" t="s">
        <v>3347</v>
      </c>
      <c r="D1521" t="s">
        <v>2229</v>
      </c>
      <c r="F1521">
        <v>156968983</v>
      </c>
      <c r="G1521">
        <v>190680137</v>
      </c>
      <c r="H1521">
        <v>247294444</v>
      </c>
      <c r="I1521">
        <v>144606008</v>
      </c>
      <c r="J1521">
        <v>92865047</v>
      </c>
      <c r="K1521">
        <v>89277990</v>
      </c>
      <c r="P1521">
        <v>142</v>
      </c>
      <c r="Q1521" t="s">
        <v>3348</v>
      </c>
    </row>
    <row r="1522" spans="1:17" x14ac:dyDescent="0.3">
      <c r="A1522" t="s">
        <v>17</v>
      </c>
      <c r="B1522" t="str">
        <f>"603879"</f>
        <v>603879</v>
      </c>
      <c r="C1522" t="s">
        <v>3349</v>
      </c>
      <c r="D1522" t="s">
        <v>3350</v>
      </c>
      <c r="F1522">
        <v>7972978</v>
      </c>
      <c r="G1522">
        <v>-1290113</v>
      </c>
      <c r="H1522">
        <v>20280955</v>
      </c>
      <c r="I1522">
        <v>34105624</v>
      </c>
      <c r="J1522">
        <v>36503693</v>
      </c>
      <c r="K1522">
        <v>33082818</v>
      </c>
      <c r="P1522">
        <v>55</v>
      </c>
      <c r="Q1522" t="s">
        <v>3351</v>
      </c>
    </row>
    <row r="1523" spans="1:17" x14ac:dyDescent="0.3">
      <c r="A1523" t="s">
        <v>17</v>
      </c>
      <c r="B1523" t="str">
        <f>"603880"</f>
        <v>603880</v>
      </c>
      <c r="C1523" t="s">
        <v>3352</v>
      </c>
      <c r="D1523" t="s">
        <v>1077</v>
      </c>
      <c r="F1523">
        <v>14738567</v>
      </c>
      <c r="G1523">
        <v>91894726</v>
      </c>
      <c r="H1523">
        <v>33210276</v>
      </c>
      <c r="I1523">
        <v>52504846</v>
      </c>
      <c r="J1523">
        <v>41117144</v>
      </c>
      <c r="K1523">
        <v>36976905</v>
      </c>
      <c r="P1523">
        <v>125</v>
      </c>
      <c r="Q1523" t="s">
        <v>3353</v>
      </c>
    </row>
    <row r="1524" spans="1:17" x14ac:dyDescent="0.3">
      <c r="A1524" t="s">
        <v>17</v>
      </c>
      <c r="B1524" t="str">
        <f>"603881"</f>
        <v>603881</v>
      </c>
      <c r="C1524" t="s">
        <v>3354</v>
      </c>
      <c r="D1524" t="s">
        <v>316</v>
      </c>
      <c r="F1524">
        <v>103745165</v>
      </c>
      <c r="G1524">
        <v>110365962</v>
      </c>
      <c r="H1524">
        <v>93473766</v>
      </c>
      <c r="I1524">
        <v>95832071</v>
      </c>
      <c r="J1524">
        <v>82156143</v>
      </c>
      <c r="K1524">
        <v>56913716</v>
      </c>
      <c r="L1524">
        <v>48125059</v>
      </c>
      <c r="P1524">
        <v>486</v>
      </c>
      <c r="Q1524" t="s">
        <v>3355</v>
      </c>
    </row>
    <row r="1525" spans="1:17" x14ac:dyDescent="0.3">
      <c r="A1525" t="s">
        <v>17</v>
      </c>
      <c r="B1525" t="str">
        <f>"603882"</f>
        <v>603882</v>
      </c>
      <c r="C1525" t="s">
        <v>3356</v>
      </c>
      <c r="D1525" t="s">
        <v>2565</v>
      </c>
      <c r="F1525">
        <v>1672227691</v>
      </c>
      <c r="G1525">
        <v>1054925022</v>
      </c>
      <c r="H1525">
        <v>319044738</v>
      </c>
      <c r="I1525">
        <v>164324730</v>
      </c>
      <c r="J1525">
        <v>147558160</v>
      </c>
      <c r="K1525">
        <v>119368602</v>
      </c>
      <c r="P1525">
        <v>1844</v>
      </c>
      <c r="Q1525" t="s">
        <v>3357</v>
      </c>
    </row>
    <row r="1526" spans="1:17" x14ac:dyDescent="0.3">
      <c r="A1526" t="s">
        <v>17</v>
      </c>
      <c r="B1526" t="str">
        <f>"603883"</f>
        <v>603883</v>
      </c>
      <c r="C1526" t="s">
        <v>3358</v>
      </c>
      <c r="D1526" t="s">
        <v>1684</v>
      </c>
      <c r="F1526">
        <v>532624839</v>
      </c>
      <c r="G1526">
        <v>487337184</v>
      </c>
      <c r="H1526">
        <v>394275646</v>
      </c>
      <c r="I1526">
        <v>324663064</v>
      </c>
      <c r="J1526">
        <v>274379764</v>
      </c>
      <c r="K1526">
        <v>208251326</v>
      </c>
      <c r="L1526">
        <v>164063840</v>
      </c>
      <c r="M1526">
        <v>140845308</v>
      </c>
      <c r="P1526">
        <v>868</v>
      </c>
      <c r="Q1526" t="s">
        <v>3359</v>
      </c>
    </row>
    <row r="1527" spans="1:17" x14ac:dyDescent="0.3">
      <c r="A1527" t="s">
        <v>17</v>
      </c>
      <c r="B1527" t="str">
        <f>"603885"</f>
        <v>603885</v>
      </c>
      <c r="C1527" t="s">
        <v>3360</v>
      </c>
      <c r="D1527" t="s">
        <v>77</v>
      </c>
      <c r="F1527">
        <v>-49811115</v>
      </c>
      <c r="G1527">
        <v>-479701391</v>
      </c>
      <c r="H1527">
        <v>1235922834</v>
      </c>
      <c r="I1527">
        <v>1434436035</v>
      </c>
      <c r="J1527">
        <v>1243840610</v>
      </c>
      <c r="K1527">
        <v>1264542650</v>
      </c>
      <c r="L1527">
        <v>972228434</v>
      </c>
      <c r="M1527">
        <v>436933923</v>
      </c>
      <c r="P1527">
        <v>475</v>
      </c>
      <c r="Q1527" t="s">
        <v>3361</v>
      </c>
    </row>
    <row r="1528" spans="1:17" x14ac:dyDescent="0.3">
      <c r="A1528" t="s">
        <v>17</v>
      </c>
      <c r="B1528" t="str">
        <f>"603886"</f>
        <v>603886</v>
      </c>
      <c r="C1528" t="s">
        <v>3362</v>
      </c>
      <c r="D1528" t="s">
        <v>2479</v>
      </c>
      <c r="F1528">
        <v>332255308</v>
      </c>
      <c r="G1528">
        <v>293001893</v>
      </c>
      <c r="H1528">
        <v>275327562</v>
      </c>
      <c r="I1528">
        <v>247234232</v>
      </c>
      <c r="J1528">
        <v>196919982</v>
      </c>
      <c r="K1528">
        <v>147930210</v>
      </c>
      <c r="L1528">
        <v>120621446</v>
      </c>
      <c r="P1528">
        <v>3081</v>
      </c>
      <c r="Q1528" t="s">
        <v>3363</v>
      </c>
    </row>
    <row r="1529" spans="1:17" x14ac:dyDescent="0.3">
      <c r="A1529" t="s">
        <v>17</v>
      </c>
      <c r="B1529" t="str">
        <f>"603887"</f>
        <v>603887</v>
      </c>
      <c r="C1529" t="s">
        <v>3364</v>
      </c>
      <c r="D1529" t="s">
        <v>316</v>
      </c>
      <c r="F1529">
        <v>67361246</v>
      </c>
      <c r="G1529">
        <v>283486334</v>
      </c>
      <c r="H1529">
        <v>249612479</v>
      </c>
      <c r="I1529">
        <v>70953202</v>
      </c>
      <c r="J1529">
        <v>53692103</v>
      </c>
      <c r="K1529">
        <v>49181265</v>
      </c>
      <c r="L1529">
        <v>41193717</v>
      </c>
      <c r="P1529">
        <v>241</v>
      </c>
      <c r="Q1529" t="s">
        <v>3365</v>
      </c>
    </row>
    <row r="1530" spans="1:17" x14ac:dyDescent="0.3">
      <c r="A1530" t="s">
        <v>17</v>
      </c>
      <c r="B1530" t="str">
        <f>"603888"</f>
        <v>603888</v>
      </c>
      <c r="C1530" t="s">
        <v>3366</v>
      </c>
      <c r="D1530" t="s">
        <v>522</v>
      </c>
      <c r="F1530">
        <v>110509654</v>
      </c>
      <c r="G1530">
        <v>4428181</v>
      </c>
      <c r="H1530">
        <v>156808699</v>
      </c>
      <c r="I1530">
        <v>174432170</v>
      </c>
      <c r="J1530">
        <v>170833781</v>
      </c>
      <c r="K1530">
        <v>160791856</v>
      </c>
      <c r="L1530">
        <v>152208866</v>
      </c>
      <c r="P1530">
        <v>227</v>
      </c>
      <c r="Q1530" t="s">
        <v>3367</v>
      </c>
    </row>
    <row r="1531" spans="1:17" x14ac:dyDescent="0.3">
      <c r="A1531" t="s">
        <v>17</v>
      </c>
      <c r="B1531" t="str">
        <f>"603889"</f>
        <v>603889</v>
      </c>
      <c r="C1531" t="s">
        <v>3368</v>
      </c>
      <c r="D1531" t="s">
        <v>366</v>
      </c>
      <c r="F1531">
        <v>256172900</v>
      </c>
      <c r="G1531">
        <v>103035981</v>
      </c>
      <c r="H1531">
        <v>142652089</v>
      </c>
      <c r="I1531">
        <v>166607224</v>
      </c>
      <c r="J1531">
        <v>159113450</v>
      </c>
      <c r="K1531">
        <v>141638770</v>
      </c>
      <c r="L1531">
        <v>113359601</v>
      </c>
      <c r="M1531">
        <v>87563258</v>
      </c>
      <c r="N1531">
        <v>85703200</v>
      </c>
      <c r="P1531">
        <v>121</v>
      </c>
      <c r="Q1531" t="s">
        <v>3369</v>
      </c>
    </row>
    <row r="1532" spans="1:17" x14ac:dyDescent="0.3">
      <c r="A1532" t="s">
        <v>17</v>
      </c>
      <c r="B1532" t="str">
        <f>"603890"</f>
        <v>603890</v>
      </c>
      <c r="C1532" t="s">
        <v>3370</v>
      </c>
      <c r="D1532" t="s">
        <v>313</v>
      </c>
      <c r="F1532">
        <v>229981073</v>
      </c>
      <c r="G1532">
        <v>196207233</v>
      </c>
      <c r="H1532">
        <v>82981032</v>
      </c>
      <c r="I1532">
        <v>90622925</v>
      </c>
      <c r="J1532">
        <v>116791358</v>
      </c>
      <c r="K1532">
        <v>107962664</v>
      </c>
      <c r="P1532">
        <v>155</v>
      </c>
      <c r="Q1532" t="s">
        <v>3371</v>
      </c>
    </row>
    <row r="1533" spans="1:17" x14ac:dyDescent="0.3">
      <c r="A1533" t="s">
        <v>17</v>
      </c>
      <c r="B1533" t="str">
        <f>"603893"</f>
        <v>603893</v>
      </c>
      <c r="C1533" t="s">
        <v>3372</v>
      </c>
      <c r="D1533" t="s">
        <v>461</v>
      </c>
      <c r="F1533">
        <v>407699775</v>
      </c>
      <c r="G1533">
        <v>188609526</v>
      </c>
      <c r="H1533">
        <v>126866045</v>
      </c>
      <c r="I1533">
        <v>129807820</v>
      </c>
      <c r="P1533">
        <v>444</v>
      </c>
      <c r="Q1533" t="s">
        <v>3373</v>
      </c>
    </row>
    <row r="1534" spans="1:17" x14ac:dyDescent="0.3">
      <c r="A1534" t="s">
        <v>17</v>
      </c>
      <c r="B1534" t="str">
        <f>"603895"</f>
        <v>603895</v>
      </c>
      <c r="C1534" t="s">
        <v>3374</v>
      </c>
      <c r="D1534" t="s">
        <v>741</v>
      </c>
      <c r="F1534">
        <v>17224939</v>
      </c>
      <c r="G1534">
        <v>22418555</v>
      </c>
      <c r="H1534">
        <v>29535130</v>
      </c>
      <c r="I1534">
        <v>51203749</v>
      </c>
      <c r="J1534">
        <v>50400500</v>
      </c>
      <c r="K1534">
        <v>44504500</v>
      </c>
      <c r="P1534">
        <v>65</v>
      </c>
      <c r="Q1534" t="s">
        <v>3375</v>
      </c>
    </row>
    <row r="1535" spans="1:17" x14ac:dyDescent="0.3">
      <c r="A1535" t="s">
        <v>17</v>
      </c>
      <c r="B1535" t="str">
        <f>"603896"</f>
        <v>603896</v>
      </c>
      <c r="C1535" t="s">
        <v>3376</v>
      </c>
      <c r="D1535" t="s">
        <v>188</v>
      </c>
      <c r="F1535">
        <v>87051820</v>
      </c>
      <c r="G1535">
        <v>67002264</v>
      </c>
      <c r="H1535">
        <v>57007345</v>
      </c>
      <c r="I1535">
        <v>60000518</v>
      </c>
      <c r="J1535">
        <v>50795496</v>
      </c>
      <c r="K1535">
        <v>42981212</v>
      </c>
      <c r="P1535">
        <v>230</v>
      </c>
      <c r="Q1535" t="s">
        <v>3377</v>
      </c>
    </row>
    <row r="1536" spans="1:17" x14ac:dyDescent="0.3">
      <c r="A1536" t="s">
        <v>17</v>
      </c>
      <c r="B1536" t="str">
        <f>"603897"</f>
        <v>603897</v>
      </c>
      <c r="C1536" t="s">
        <v>3378</v>
      </c>
      <c r="D1536" t="s">
        <v>1164</v>
      </c>
      <c r="F1536">
        <v>294913841</v>
      </c>
      <c r="G1536">
        <v>125660693</v>
      </c>
      <c r="H1536">
        <v>116919998</v>
      </c>
      <c r="I1536">
        <v>142064978</v>
      </c>
      <c r="J1536">
        <v>123801187</v>
      </c>
      <c r="P1536">
        <v>137</v>
      </c>
      <c r="Q1536" t="s">
        <v>3379</v>
      </c>
    </row>
    <row r="1537" spans="1:17" x14ac:dyDescent="0.3">
      <c r="A1537" t="s">
        <v>17</v>
      </c>
      <c r="B1537" t="str">
        <f>"603898"</f>
        <v>603898</v>
      </c>
      <c r="C1537" t="s">
        <v>3380</v>
      </c>
      <c r="D1537" t="s">
        <v>2647</v>
      </c>
      <c r="F1537">
        <v>233818243</v>
      </c>
      <c r="G1537">
        <v>179794087</v>
      </c>
      <c r="H1537">
        <v>261114011</v>
      </c>
      <c r="I1537">
        <v>306586805</v>
      </c>
      <c r="J1537">
        <v>223297914</v>
      </c>
      <c r="K1537">
        <v>153724486</v>
      </c>
      <c r="L1537">
        <v>105411222</v>
      </c>
      <c r="M1537">
        <v>89026829</v>
      </c>
      <c r="P1537">
        <v>835</v>
      </c>
      <c r="Q1537" t="s">
        <v>3381</v>
      </c>
    </row>
    <row r="1538" spans="1:17" x14ac:dyDescent="0.3">
      <c r="A1538" t="s">
        <v>17</v>
      </c>
      <c r="B1538" t="str">
        <f>"603899"</f>
        <v>603899</v>
      </c>
      <c r="C1538" t="s">
        <v>3382</v>
      </c>
      <c r="D1538" t="s">
        <v>3383</v>
      </c>
      <c r="F1538">
        <v>1117202072</v>
      </c>
      <c r="G1538">
        <v>912908828</v>
      </c>
      <c r="H1538">
        <v>801875816</v>
      </c>
      <c r="I1538">
        <v>624717495</v>
      </c>
      <c r="J1538">
        <v>490701043</v>
      </c>
      <c r="K1538">
        <v>395281128</v>
      </c>
      <c r="L1538">
        <v>325349493</v>
      </c>
      <c r="M1538">
        <v>273197200</v>
      </c>
      <c r="P1538">
        <v>25827</v>
      </c>
      <c r="Q1538" t="s">
        <v>3384</v>
      </c>
    </row>
    <row r="1539" spans="1:17" x14ac:dyDescent="0.3">
      <c r="A1539" t="s">
        <v>17</v>
      </c>
      <c r="B1539" t="str">
        <f>"603900"</f>
        <v>603900</v>
      </c>
      <c r="C1539" t="s">
        <v>3385</v>
      </c>
      <c r="D1539" t="s">
        <v>1238</v>
      </c>
      <c r="F1539">
        <v>102209547</v>
      </c>
      <c r="G1539">
        <v>92994427</v>
      </c>
      <c r="H1539">
        <v>144161065</v>
      </c>
      <c r="I1539">
        <v>213302953</v>
      </c>
      <c r="J1539">
        <v>246056243</v>
      </c>
      <c r="K1539">
        <v>174802981</v>
      </c>
      <c r="L1539">
        <v>141377030</v>
      </c>
      <c r="P1539">
        <v>137</v>
      </c>
      <c r="Q1539" t="s">
        <v>3386</v>
      </c>
    </row>
    <row r="1540" spans="1:17" x14ac:dyDescent="0.3">
      <c r="A1540" t="s">
        <v>17</v>
      </c>
      <c r="B1540" t="str">
        <f>"603901"</f>
        <v>603901</v>
      </c>
      <c r="C1540" t="s">
        <v>3387</v>
      </c>
      <c r="D1540" t="s">
        <v>3388</v>
      </c>
      <c r="F1540">
        <v>217685484</v>
      </c>
      <c r="G1540">
        <v>135856288</v>
      </c>
      <c r="H1540">
        <v>91701861</v>
      </c>
      <c r="I1540">
        <v>69226193</v>
      </c>
      <c r="J1540">
        <v>57218316</v>
      </c>
      <c r="K1540">
        <v>70309818</v>
      </c>
      <c r="L1540">
        <v>58476258</v>
      </c>
      <c r="M1540">
        <v>52046632</v>
      </c>
      <c r="P1540">
        <v>140</v>
      </c>
      <c r="Q1540" t="s">
        <v>3389</v>
      </c>
    </row>
    <row r="1541" spans="1:17" x14ac:dyDescent="0.3">
      <c r="A1541" t="s">
        <v>17</v>
      </c>
      <c r="B1541" t="str">
        <f>"603903"</f>
        <v>603903</v>
      </c>
      <c r="C1541" t="s">
        <v>3390</v>
      </c>
      <c r="D1541" t="s">
        <v>33</v>
      </c>
      <c r="F1541">
        <v>94939496</v>
      </c>
      <c r="G1541">
        <v>80706960</v>
      </c>
      <c r="H1541">
        <v>63604729</v>
      </c>
      <c r="I1541">
        <v>64186821</v>
      </c>
      <c r="J1541">
        <v>29531142</v>
      </c>
      <c r="K1541">
        <v>26787604</v>
      </c>
      <c r="P1541">
        <v>119</v>
      </c>
      <c r="Q1541" t="s">
        <v>3391</v>
      </c>
    </row>
    <row r="1542" spans="1:17" x14ac:dyDescent="0.3">
      <c r="A1542" t="s">
        <v>17</v>
      </c>
      <c r="B1542" t="str">
        <f>"603906"</f>
        <v>603906</v>
      </c>
      <c r="C1542" t="s">
        <v>3392</v>
      </c>
      <c r="D1542" t="s">
        <v>386</v>
      </c>
      <c r="F1542">
        <v>194220793</v>
      </c>
      <c r="G1542">
        <v>143955626</v>
      </c>
      <c r="H1542">
        <v>94644871</v>
      </c>
      <c r="I1542">
        <v>55693083</v>
      </c>
      <c r="J1542">
        <v>71156540</v>
      </c>
      <c r="K1542">
        <v>64028150</v>
      </c>
      <c r="P1542">
        <v>185</v>
      </c>
      <c r="Q1542" t="s">
        <v>3393</v>
      </c>
    </row>
    <row r="1543" spans="1:17" x14ac:dyDescent="0.3">
      <c r="A1543" t="s">
        <v>17</v>
      </c>
      <c r="B1543" t="str">
        <f>"603908"</f>
        <v>603908</v>
      </c>
      <c r="C1543" t="s">
        <v>3394</v>
      </c>
      <c r="D1543" t="s">
        <v>330</v>
      </c>
      <c r="F1543">
        <v>71442858</v>
      </c>
      <c r="G1543">
        <v>49541922</v>
      </c>
      <c r="H1543">
        <v>42465938</v>
      </c>
      <c r="I1543">
        <v>42545440</v>
      </c>
      <c r="J1543">
        <v>51860440</v>
      </c>
      <c r="K1543">
        <v>43107706</v>
      </c>
      <c r="P1543">
        <v>114</v>
      </c>
      <c r="Q1543" t="s">
        <v>3395</v>
      </c>
    </row>
    <row r="1544" spans="1:17" x14ac:dyDescent="0.3">
      <c r="A1544" t="s">
        <v>17</v>
      </c>
      <c r="B1544" t="str">
        <f>"603909"</f>
        <v>603909</v>
      </c>
      <c r="C1544" t="s">
        <v>3396</v>
      </c>
      <c r="D1544" t="s">
        <v>1272</v>
      </c>
      <c r="F1544">
        <v>23853043</v>
      </c>
      <c r="G1544">
        <v>33786227</v>
      </c>
      <c r="H1544">
        <v>43828101</v>
      </c>
      <c r="I1544">
        <v>34825843</v>
      </c>
      <c r="J1544">
        <v>46636113</v>
      </c>
      <c r="K1544">
        <v>38824920</v>
      </c>
      <c r="L1544">
        <v>37860095</v>
      </c>
      <c r="P1544">
        <v>65</v>
      </c>
      <c r="Q1544" t="s">
        <v>3397</v>
      </c>
    </row>
    <row r="1545" spans="1:17" x14ac:dyDescent="0.3">
      <c r="A1545" t="s">
        <v>17</v>
      </c>
      <c r="B1545" t="str">
        <f>"603912"</f>
        <v>603912</v>
      </c>
      <c r="C1545" t="s">
        <v>3398</v>
      </c>
      <c r="D1545" t="s">
        <v>988</v>
      </c>
      <c r="F1545">
        <v>73435454</v>
      </c>
      <c r="G1545">
        <v>82928488</v>
      </c>
      <c r="H1545">
        <v>75839672</v>
      </c>
      <c r="I1545">
        <v>78961675</v>
      </c>
      <c r="J1545">
        <v>52979823</v>
      </c>
      <c r="K1545">
        <v>41137095</v>
      </c>
      <c r="P1545">
        <v>286</v>
      </c>
      <c r="Q1545" t="s">
        <v>3399</v>
      </c>
    </row>
    <row r="1546" spans="1:17" x14ac:dyDescent="0.3">
      <c r="A1546" t="s">
        <v>17</v>
      </c>
      <c r="B1546" t="str">
        <f>"603915"</f>
        <v>603915</v>
      </c>
      <c r="C1546" t="s">
        <v>3400</v>
      </c>
      <c r="D1546" t="s">
        <v>274</v>
      </c>
      <c r="F1546">
        <v>344815926</v>
      </c>
      <c r="G1546">
        <v>236716248</v>
      </c>
      <c r="H1546">
        <v>194453479</v>
      </c>
      <c r="I1546">
        <v>167551694</v>
      </c>
      <c r="P1546">
        <v>160</v>
      </c>
      <c r="Q1546" t="s">
        <v>3401</v>
      </c>
    </row>
    <row r="1547" spans="1:17" x14ac:dyDescent="0.3">
      <c r="A1547" t="s">
        <v>17</v>
      </c>
      <c r="B1547" t="str">
        <f>"603916"</f>
        <v>603916</v>
      </c>
      <c r="C1547" t="s">
        <v>3402</v>
      </c>
      <c r="D1547" t="s">
        <v>386</v>
      </c>
      <c r="F1547">
        <v>366840559</v>
      </c>
      <c r="G1547">
        <v>302217506</v>
      </c>
      <c r="H1547">
        <v>250636506</v>
      </c>
      <c r="I1547">
        <v>222316833</v>
      </c>
      <c r="J1547">
        <v>115071227</v>
      </c>
      <c r="K1547">
        <v>94328520</v>
      </c>
      <c r="P1547">
        <v>273</v>
      </c>
      <c r="Q1547" t="s">
        <v>3403</v>
      </c>
    </row>
    <row r="1548" spans="1:17" x14ac:dyDescent="0.3">
      <c r="A1548" t="s">
        <v>17</v>
      </c>
      <c r="B1548" t="str">
        <f>"603917"</f>
        <v>603917</v>
      </c>
      <c r="C1548" t="s">
        <v>3404</v>
      </c>
      <c r="D1548" t="s">
        <v>985</v>
      </c>
      <c r="F1548">
        <v>52620481</v>
      </c>
      <c r="G1548">
        <v>57479322</v>
      </c>
      <c r="H1548">
        <v>56789149</v>
      </c>
      <c r="I1548">
        <v>67405164</v>
      </c>
      <c r="J1548">
        <v>53281266</v>
      </c>
      <c r="K1548">
        <v>45070250</v>
      </c>
      <c r="P1548">
        <v>73</v>
      </c>
      <c r="Q1548" t="s">
        <v>3405</v>
      </c>
    </row>
    <row r="1549" spans="1:17" x14ac:dyDescent="0.3">
      <c r="A1549" t="s">
        <v>17</v>
      </c>
      <c r="B1549" t="str">
        <f>"603918"</f>
        <v>603918</v>
      </c>
      <c r="C1549" t="s">
        <v>3406</v>
      </c>
      <c r="D1549" t="s">
        <v>316</v>
      </c>
      <c r="F1549">
        <v>44429015</v>
      </c>
      <c r="G1549">
        <v>38153680</v>
      </c>
      <c r="H1549">
        <v>29809482</v>
      </c>
      <c r="I1549">
        <v>26896287</v>
      </c>
      <c r="J1549">
        <v>6209363</v>
      </c>
      <c r="K1549">
        <v>4206048</v>
      </c>
      <c r="L1549">
        <v>7159398</v>
      </c>
      <c r="M1549">
        <v>-5240824</v>
      </c>
      <c r="P1549">
        <v>142</v>
      </c>
      <c r="Q1549" t="s">
        <v>3407</v>
      </c>
    </row>
    <row r="1550" spans="1:17" x14ac:dyDescent="0.3">
      <c r="A1550" t="s">
        <v>17</v>
      </c>
      <c r="B1550" t="str">
        <f>"603919"</f>
        <v>603919</v>
      </c>
      <c r="C1550" t="s">
        <v>3408</v>
      </c>
      <c r="D1550" t="s">
        <v>458</v>
      </c>
      <c r="F1550">
        <v>243084120</v>
      </c>
      <c r="G1550">
        <v>158799403</v>
      </c>
      <c r="H1550">
        <v>162511204</v>
      </c>
      <c r="I1550">
        <v>160434837</v>
      </c>
      <c r="J1550">
        <v>176691387</v>
      </c>
      <c r="K1550">
        <v>160376362</v>
      </c>
      <c r="L1550">
        <v>117121690</v>
      </c>
      <c r="P1550">
        <v>446</v>
      </c>
      <c r="Q1550" t="s">
        <v>3409</v>
      </c>
    </row>
    <row r="1551" spans="1:17" x14ac:dyDescent="0.3">
      <c r="A1551" t="s">
        <v>17</v>
      </c>
      <c r="B1551" t="str">
        <f>"603920"</f>
        <v>603920</v>
      </c>
      <c r="C1551" t="s">
        <v>3410</v>
      </c>
      <c r="D1551" t="s">
        <v>425</v>
      </c>
      <c r="F1551">
        <v>156289656</v>
      </c>
      <c r="G1551">
        <v>215317202</v>
      </c>
      <c r="H1551">
        <v>217424742</v>
      </c>
      <c r="I1551">
        <v>164395942</v>
      </c>
      <c r="J1551">
        <v>158602351</v>
      </c>
      <c r="K1551">
        <v>193702885</v>
      </c>
      <c r="P1551">
        <v>267</v>
      </c>
      <c r="Q1551" t="s">
        <v>3411</v>
      </c>
    </row>
    <row r="1552" spans="1:17" x14ac:dyDescent="0.3">
      <c r="A1552" t="s">
        <v>17</v>
      </c>
      <c r="B1552" t="str">
        <f>"603922"</f>
        <v>603922</v>
      </c>
      <c r="C1552" t="s">
        <v>3412</v>
      </c>
      <c r="D1552" t="s">
        <v>985</v>
      </c>
      <c r="F1552">
        <v>-15110114</v>
      </c>
      <c r="G1552">
        <v>-13731602</v>
      </c>
      <c r="H1552">
        <v>-39509734</v>
      </c>
      <c r="I1552">
        <v>48098615</v>
      </c>
      <c r="J1552">
        <v>72715872</v>
      </c>
      <c r="K1552">
        <v>82987300</v>
      </c>
      <c r="P1552">
        <v>54</v>
      </c>
      <c r="Q1552" t="s">
        <v>3413</v>
      </c>
    </row>
    <row r="1553" spans="1:17" x14ac:dyDescent="0.3">
      <c r="A1553" t="s">
        <v>17</v>
      </c>
      <c r="B1553" t="str">
        <f>"603926"</f>
        <v>603926</v>
      </c>
      <c r="C1553" t="s">
        <v>3414</v>
      </c>
      <c r="D1553" t="s">
        <v>348</v>
      </c>
      <c r="F1553">
        <v>151198715</v>
      </c>
      <c r="G1553">
        <v>89362179</v>
      </c>
      <c r="H1553">
        <v>78671696</v>
      </c>
      <c r="I1553">
        <v>64043389</v>
      </c>
      <c r="J1553">
        <v>89084399</v>
      </c>
      <c r="K1553">
        <v>81151356</v>
      </c>
      <c r="P1553">
        <v>104</v>
      </c>
      <c r="Q1553" t="s">
        <v>3415</v>
      </c>
    </row>
    <row r="1554" spans="1:17" x14ac:dyDescent="0.3">
      <c r="A1554" t="s">
        <v>17</v>
      </c>
      <c r="B1554" t="str">
        <f>"603927"</f>
        <v>603927</v>
      </c>
      <c r="C1554" t="s">
        <v>3416</v>
      </c>
      <c r="D1554" t="s">
        <v>945</v>
      </c>
      <c r="F1554">
        <v>284746444</v>
      </c>
      <c r="G1554">
        <v>205324621</v>
      </c>
      <c r="H1554">
        <v>159880784</v>
      </c>
      <c r="I1554">
        <v>29648813</v>
      </c>
      <c r="P1554">
        <v>821</v>
      </c>
      <c r="Q1554" t="s">
        <v>3417</v>
      </c>
    </row>
    <row r="1555" spans="1:17" x14ac:dyDescent="0.3">
      <c r="A1555" t="s">
        <v>17</v>
      </c>
      <c r="B1555" t="str">
        <f>"603928"</f>
        <v>603928</v>
      </c>
      <c r="C1555" t="s">
        <v>3418</v>
      </c>
      <c r="D1555" t="s">
        <v>3350</v>
      </c>
      <c r="F1555">
        <v>86359145</v>
      </c>
      <c r="G1555">
        <v>106871333</v>
      </c>
      <c r="H1555">
        <v>95998940</v>
      </c>
      <c r="I1555">
        <v>107959656</v>
      </c>
      <c r="J1555">
        <v>92041791</v>
      </c>
      <c r="K1555">
        <v>84026600</v>
      </c>
      <c r="L1555">
        <v>81303000</v>
      </c>
      <c r="P1555">
        <v>102</v>
      </c>
      <c r="Q1555" t="s">
        <v>3419</v>
      </c>
    </row>
    <row r="1556" spans="1:17" x14ac:dyDescent="0.3">
      <c r="A1556" t="s">
        <v>17</v>
      </c>
      <c r="B1556" t="str">
        <f>"603929"</f>
        <v>603929</v>
      </c>
      <c r="C1556" t="s">
        <v>3420</v>
      </c>
      <c r="D1556" t="s">
        <v>1986</v>
      </c>
      <c r="F1556">
        <v>17735940</v>
      </c>
      <c r="G1556">
        <v>-9505303</v>
      </c>
      <c r="H1556">
        <v>86950386</v>
      </c>
      <c r="I1556">
        <v>140897360</v>
      </c>
      <c r="J1556">
        <v>102275799</v>
      </c>
      <c r="K1556">
        <v>151934905</v>
      </c>
      <c r="P1556">
        <v>109</v>
      </c>
      <c r="Q1556" t="s">
        <v>3421</v>
      </c>
    </row>
    <row r="1557" spans="1:17" x14ac:dyDescent="0.3">
      <c r="A1557" t="s">
        <v>17</v>
      </c>
      <c r="B1557" t="str">
        <f>"603931"</f>
        <v>603931</v>
      </c>
      <c r="C1557" t="s">
        <v>3422</v>
      </c>
      <c r="D1557" t="s">
        <v>2399</v>
      </c>
      <c r="F1557">
        <v>101255501</v>
      </c>
      <c r="G1557">
        <v>81423345</v>
      </c>
      <c r="H1557">
        <v>80185614</v>
      </c>
      <c r="P1557">
        <v>88</v>
      </c>
      <c r="Q1557" t="s">
        <v>3423</v>
      </c>
    </row>
    <row r="1558" spans="1:17" x14ac:dyDescent="0.3">
      <c r="A1558" t="s">
        <v>17</v>
      </c>
      <c r="B1558" t="str">
        <f>"603933"</f>
        <v>603933</v>
      </c>
      <c r="C1558" t="s">
        <v>3424</v>
      </c>
      <c r="D1558" t="s">
        <v>651</v>
      </c>
      <c r="F1558">
        <v>84649437</v>
      </c>
      <c r="G1558">
        <v>16644269</v>
      </c>
      <c r="H1558">
        <v>36263342</v>
      </c>
      <c r="I1558">
        <v>104411175</v>
      </c>
      <c r="J1558">
        <v>130543244</v>
      </c>
      <c r="K1558">
        <v>67482689</v>
      </c>
      <c r="P1558">
        <v>122</v>
      </c>
      <c r="Q1558" t="s">
        <v>3425</v>
      </c>
    </row>
    <row r="1559" spans="1:17" x14ac:dyDescent="0.3">
      <c r="A1559" t="s">
        <v>17</v>
      </c>
      <c r="B1559" t="str">
        <f>"603936"</f>
        <v>603936</v>
      </c>
      <c r="C1559" t="s">
        <v>3426</v>
      </c>
      <c r="D1559" t="s">
        <v>425</v>
      </c>
      <c r="F1559">
        <v>204748441</v>
      </c>
      <c r="G1559">
        <v>156695081</v>
      </c>
      <c r="H1559">
        <v>143000658</v>
      </c>
      <c r="I1559">
        <v>82432061</v>
      </c>
      <c r="J1559">
        <v>56512010</v>
      </c>
      <c r="K1559">
        <v>39202569</v>
      </c>
      <c r="L1559">
        <v>43940632</v>
      </c>
      <c r="M1559">
        <v>47003539</v>
      </c>
      <c r="P1559">
        <v>222</v>
      </c>
      <c r="Q1559" t="s">
        <v>3427</v>
      </c>
    </row>
    <row r="1560" spans="1:17" x14ac:dyDescent="0.3">
      <c r="A1560" t="s">
        <v>17</v>
      </c>
      <c r="B1560" t="str">
        <f>"603937"</f>
        <v>603937</v>
      </c>
      <c r="C1560" t="s">
        <v>3428</v>
      </c>
      <c r="D1560" t="s">
        <v>504</v>
      </c>
      <c r="F1560">
        <v>102528121</v>
      </c>
      <c r="G1560">
        <v>82621334</v>
      </c>
      <c r="H1560">
        <v>91721573</v>
      </c>
      <c r="I1560">
        <v>86772674</v>
      </c>
      <c r="J1560">
        <v>70720800</v>
      </c>
      <c r="K1560">
        <v>63776194</v>
      </c>
      <c r="P1560">
        <v>61</v>
      </c>
      <c r="Q1560" t="s">
        <v>3429</v>
      </c>
    </row>
    <row r="1561" spans="1:17" x14ac:dyDescent="0.3">
      <c r="A1561" t="s">
        <v>17</v>
      </c>
      <c r="B1561" t="str">
        <f>"603938"</f>
        <v>603938</v>
      </c>
      <c r="C1561" t="s">
        <v>3430</v>
      </c>
      <c r="D1561" t="s">
        <v>3431</v>
      </c>
      <c r="F1561">
        <v>246862504</v>
      </c>
      <c r="G1561">
        <v>67013993</v>
      </c>
      <c r="H1561">
        <v>87534173</v>
      </c>
      <c r="I1561">
        <v>87140862</v>
      </c>
      <c r="J1561">
        <v>94853831</v>
      </c>
      <c r="K1561">
        <v>54420182</v>
      </c>
      <c r="P1561">
        <v>102</v>
      </c>
      <c r="Q1561" t="s">
        <v>3432</v>
      </c>
    </row>
    <row r="1562" spans="1:17" x14ac:dyDescent="0.3">
      <c r="A1562" t="s">
        <v>17</v>
      </c>
      <c r="B1562" t="str">
        <f>"603939"</f>
        <v>603939</v>
      </c>
      <c r="C1562" t="s">
        <v>3433</v>
      </c>
      <c r="D1562" t="s">
        <v>1684</v>
      </c>
      <c r="F1562">
        <v>695956486</v>
      </c>
      <c r="G1562">
        <v>590486695</v>
      </c>
      <c r="H1562">
        <v>418313234</v>
      </c>
      <c r="I1562">
        <v>308759087</v>
      </c>
      <c r="J1562">
        <v>220185592</v>
      </c>
      <c r="K1562">
        <v>159365693</v>
      </c>
      <c r="L1562">
        <v>125260821</v>
      </c>
      <c r="M1562">
        <v>96591441</v>
      </c>
      <c r="P1562">
        <v>1482</v>
      </c>
      <c r="Q1562" t="s">
        <v>3434</v>
      </c>
    </row>
    <row r="1563" spans="1:17" x14ac:dyDescent="0.3">
      <c r="A1563" t="s">
        <v>17</v>
      </c>
      <c r="B1563" t="str">
        <f>"603948"</f>
        <v>603948</v>
      </c>
      <c r="C1563" t="s">
        <v>3435</v>
      </c>
      <c r="D1563" t="s">
        <v>386</v>
      </c>
      <c r="F1563">
        <v>155454667</v>
      </c>
      <c r="G1563">
        <v>95057442</v>
      </c>
      <c r="H1563">
        <v>106778772</v>
      </c>
      <c r="P1563">
        <v>60</v>
      </c>
      <c r="Q1563" t="s">
        <v>3436</v>
      </c>
    </row>
    <row r="1564" spans="1:17" x14ac:dyDescent="0.3">
      <c r="A1564" t="s">
        <v>17</v>
      </c>
      <c r="B1564" t="str">
        <f>"603949"</f>
        <v>603949</v>
      </c>
      <c r="C1564" t="s">
        <v>3437</v>
      </c>
      <c r="D1564" t="s">
        <v>348</v>
      </c>
      <c r="F1564">
        <v>102196323</v>
      </c>
      <c r="G1564">
        <v>97457887</v>
      </c>
      <c r="H1564">
        <v>69164617</v>
      </c>
      <c r="I1564">
        <v>67808316</v>
      </c>
      <c r="P1564">
        <v>158</v>
      </c>
      <c r="Q1564" t="s">
        <v>3438</v>
      </c>
    </row>
    <row r="1565" spans="1:17" x14ac:dyDescent="0.3">
      <c r="A1565" t="s">
        <v>17</v>
      </c>
      <c r="B1565" t="str">
        <f>"603950"</f>
        <v>603950</v>
      </c>
      <c r="C1565" t="s">
        <v>3439</v>
      </c>
      <c r="D1565" t="s">
        <v>348</v>
      </c>
      <c r="F1565">
        <v>219248823</v>
      </c>
      <c r="G1565">
        <v>217305446</v>
      </c>
      <c r="H1565">
        <v>119429063</v>
      </c>
      <c r="P1565">
        <v>97</v>
      </c>
      <c r="Q1565" t="s">
        <v>3440</v>
      </c>
    </row>
    <row r="1566" spans="1:17" x14ac:dyDescent="0.3">
      <c r="A1566" t="s">
        <v>17</v>
      </c>
      <c r="B1566" t="str">
        <f>"603955"</f>
        <v>603955</v>
      </c>
      <c r="C1566" t="s">
        <v>3441</v>
      </c>
      <c r="D1566" t="s">
        <v>2408</v>
      </c>
      <c r="F1566">
        <v>41830136</v>
      </c>
      <c r="G1566">
        <v>70134514</v>
      </c>
      <c r="H1566">
        <v>65053109</v>
      </c>
      <c r="I1566">
        <v>56414296</v>
      </c>
      <c r="J1566">
        <v>54730318</v>
      </c>
      <c r="K1566">
        <v>39786999</v>
      </c>
      <c r="L1566">
        <v>34654443</v>
      </c>
      <c r="P1566">
        <v>60</v>
      </c>
      <c r="Q1566" t="s">
        <v>3442</v>
      </c>
    </row>
    <row r="1567" spans="1:17" x14ac:dyDescent="0.3">
      <c r="A1567" t="s">
        <v>17</v>
      </c>
      <c r="B1567" t="str">
        <f>"603956"</f>
        <v>603956</v>
      </c>
      <c r="C1567" t="s">
        <v>3443</v>
      </c>
      <c r="D1567" t="s">
        <v>741</v>
      </c>
      <c r="F1567">
        <v>141331988</v>
      </c>
      <c r="G1567">
        <v>83760437</v>
      </c>
      <c r="H1567">
        <v>71992280</v>
      </c>
      <c r="I1567">
        <v>66404300</v>
      </c>
      <c r="J1567">
        <v>52943500</v>
      </c>
      <c r="P1567">
        <v>181</v>
      </c>
      <c r="Q1567" t="s">
        <v>3444</v>
      </c>
    </row>
    <row r="1568" spans="1:17" x14ac:dyDescent="0.3">
      <c r="A1568" t="s">
        <v>17</v>
      </c>
      <c r="B1568" t="str">
        <f>"603958"</f>
        <v>603958</v>
      </c>
      <c r="C1568" t="s">
        <v>3445</v>
      </c>
      <c r="D1568" t="s">
        <v>330</v>
      </c>
      <c r="F1568">
        <v>-13393683</v>
      </c>
      <c r="G1568">
        <v>-34027018</v>
      </c>
      <c r="H1568">
        <v>939761</v>
      </c>
      <c r="I1568">
        <v>7339233</v>
      </c>
      <c r="J1568">
        <v>20928368</v>
      </c>
      <c r="K1568">
        <v>55599385</v>
      </c>
      <c r="L1568">
        <v>76188397</v>
      </c>
      <c r="P1568">
        <v>67</v>
      </c>
      <c r="Q1568" t="s">
        <v>3446</v>
      </c>
    </row>
    <row r="1569" spans="1:17" x14ac:dyDescent="0.3">
      <c r="A1569" t="s">
        <v>17</v>
      </c>
      <c r="B1569" t="str">
        <f>"603959"</f>
        <v>603959</v>
      </c>
      <c r="C1569" t="s">
        <v>3447</v>
      </c>
      <c r="D1569" t="s">
        <v>2019</v>
      </c>
      <c r="F1569">
        <v>48425838</v>
      </c>
      <c r="G1569">
        <v>50005174</v>
      </c>
      <c r="H1569">
        <v>64874588</v>
      </c>
      <c r="I1569">
        <v>90580152</v>
      </c>
      <c r="J1569">
        <v>58276887</v>
      </c>
      <c r="K1569">
        <v>52258571</v>
      </c>
      <c r="L1569">
        <v>37748723</v>
      </c>
      <c r="P1569">
        <v>80</v>
      </c>
      <c r="Q1569" t="s">
        <v>3448</v>
      </c>
    </row>
    <row r="1570" spans="1:17" x14ac:dyDescent="0.3">
      <c r="A1570" t="s">
        <v>17</v>
      </c>
      <c r="B1570" t="str">
        <f>"603960"</f>
        <v>603960</v>
      </c>
      <c r="C1570" t="s">
        <v>3449</v>
      </c>
      <c r="D1570" t="s">
        <v>3450</v>
      </c>
      <c r="F1570">
        <v>49546611</v>
      </c>
      <c r="G1570">
        <v>96142928</v>
      </c>
      <c r="H1570">
        <v>70036949</v>
      </c>
      <c r="I1570">
        <v>42436750</v>
      </c>
      <c r="J1570">
        <v>26561076</v>
      </c>
      <c r="K1570">
        <v>11036714</v>
      </c>
      <c r="P1570">
        <v>383</v>
      </c>
      <c r="Q1570" t="s">
        <v>3451</v>
      </c>
    </row>
    <row r="1571" spans="1:17" x14ac:dyDescent="0.3">
      <c r="A1571" t="s">
        <v>17</v>
      </c>
      <c r="B1571" t="str">
        <f>"603963"</f>
        <v>603963</v>
      </c>
      <c r="C1571" t="s">
        <v>3452</v>
      </c>
      <c r="D1571" t="s">
        <v>188</v>
      </c>
      <c r="F1571">
        <v>-5953514</v>
      </c>
      <c r="G1571">
        <v>4835177</v>
      </c>
      <c r="H1571">
        <v>14719734</v>
      </c>
      <c r="I1571">
        <v>5406256</v>
      </c>
      <c r="J1571">
        <v>39021887</v>
      </c>
      <c r="K1571">
        <v>35680260</v>
      </c>
      <c r="P1571">
        <v>109</v>
      </c>
      <c r="Q1571" t="s">
        <v>3453</v>
      </c>
    </row>
    <row r="1572" spans="1:17" x14ac:dyDescent="0.3">
      <c r="A1572" t="s">
        <v>17</v>
      </c>
      <c r="B1572" t="str">
        <f>"603966"</f>
        <v>603966</v>
      </c>
      <c r="C1572" t="s">
        <v>3454</v>
      </c>
      <c r="D1572" t="s">
        <v>395</v>
      </c>
      <c r="F1572">
        <v>154269868</v>
      </c>
      <c r="G1572">
        <v>117658213</v>
      </c>
      <c r="H1572">
        <v>77524760</v>
      </c>
      <c r="I1572">
        <v>47529987</v>
      </c>
      <c r="J1572">
        <v>43406790</v>
      </c>
      <c r="K1572">
        <v>36537358</v>
      </c>
      <c r="L1572">
        <v>25965056</v>
      </c>
      <c r="P1572">
        <v>122</v>
      </c>
      <c r="Q1572" t="s">
        <v>3455</v>
      </c>
    </row>
    <row r="1573" spans="1:17" x14ac:dyDescent="0.3">
      <c r="A1573" t="s">
        <v>17</v>
      </c>
      <c r="B1573" t="str">
        <f>"603967"</f>
        <v>603967</v>
      </c>
      <c r="C1573" t="s">
        <v>3456</v>
      </c>
      <c r="D1573" t="s">
        <v>287</v>
      </c>
      <c r="F1573">
        <v>163269232</v>
      </c>
      <c r="G1573">
        <v>136013196</v>
      </c>
      <c r="H1573">
        <v>148292306</v>
      </c>
      <c r="I1573">
        <v>143420627</v>
      </c>
      <c r="P1573">
        <v>85</v>
      </c>
      <c r="Q1573" t="s">
        <v>3457</v>
      </c>
    </row>
    <row r="1574" spans="1:17" x14ac:dyDescent="0.3">
      <c r="A1574" t="s">
        <v>17</v>
      </c>
      <c r="B1574" t="str">
        <f>"603968"</f>
        <v>603968</v>
      </c>
      <c r="C1574" t="s">
        <v>3458</v>
      </c>
      <c r="D1574" t="s">
        <v>677</v>
      </c>
      <c r="F1574">
        <v>98894791</v>
      </c>
      <c r="G1574">
        <v>194468574</v>
      </c>
      <c r="H1574">
        <v>155462333</v>
      </c>
      <c r="I1574">
        <v>149760507</v>
      </c>
      <c r="J1574">
        <v>106358699</v>
      </c>
      <c r="K1574">
        <v>102281770</v>
      </c>
      <c r="L1574">
        <v>88019542</v>
      </c>
      <c r="M1574">
        <v>87103315</v>
      </c>
      <c r="P1574">
        <v>243</v>
      </c>
      <c r="Q1574" t="s">
        <v>3459</v>
      </c>
    </row>
    <row r="1575" spans="1:17" x14ac:dyDescent="0.3">
      <c r="A1575" t="s">
        <v>17</v>
      </c>
      <c r="B1575" t="str">
        <f>"603969"</f>
        <v>603969</v>
      </c>
      <c r="C1575" t="s">
        <v>3460</v>
      </c>
      <c r="D1575" t="s">
        <v>274</v>
      </c>
      <c r="F1575">
        <v>135902431</v>
      </c>
      <c r="G1575">
        <v>98128850</v>
      </c>
      <c r="H1575">
        <v>128522761</v>
      </c>
      <c r="I1575">
        <v>92244711</v>
      </c>
      <c r="J1575">
        <v>91769724</v>
      </c>
      <c r="K1575">
        <v>99297025</v>
      </c>
      <c r="L1575">
        <v>97187261</v>
      </c>
      <c r="M1575">
        <v>119305810</v>
      </c>
      <c r="P1575">
        <v>94</v>
      </c>
      <c r="Q1575" t="s">
        <v>3461</v>
      </c>
    </row>
    <row r="1576" spans="1:17" x14ac:dyDescent="0.3">
      <c r="A1576" t="s">
        <v>17</v>
      </c>
      <c r="B1576" t="str">
        <f>"603970"</f>
        <v>603970</v>
      </c>
      <c r="C1576" t="s">
        <v>3462</v>
      </c>
      <c r="D1576" t="s">
        <v>853</v>
      </c>
      <c r="F1576">
        <v>136891790</v>
      </c>
      <c r="G1576">
        <v>107519460</v>
      </c>
      <c r="H1576">
        <v>96236839</v>
      </c>
      <c r="I1576">
        <v>90718236</v>
      </c>
      <c r="J1576">
        <v>72526729</v>
      </c>
      <c r="K1576">
        <v>65977599</v>
      </c>
      <c r="P1576">
        <v>90</v>
      </c>
      <c r="Q1576" t="s">
        <v>3463</v>
      </c>
    </row>
    <row r="1577" spans="1:17" x14ac:dyDescent="0.3">
      <c r="A1577" t="s">
        <v>17</v>
      </c>
      <c r="B1577" t="str">
        <f>"603976"</f>
        <v>603976</v>
      </c>
      <c r="C1577" t="s">
        <v>3464</v>
      </c>
      <c r="D1577" t="s">
        <v>1077</v>
      </c>
      <c r="F1577">
        <v>68802010</v>
      </c>
      <c r="G1577">
        <v>41282910</v>
      </c>
      <c r="H1577">
        <v>47068000</v>
      </c>
      <c r="I1577">
        <v>66458345</v>
      </c>
      <c r="J1577">
        <v>64414906</v>
      </c>
      <c r="K1577">
        <v>57534180</v>
      </c>
      <c r="P1577">
        <v>216</v>
      </c>
      <c r="Q1577" t="s">
        <v>3465</v>
      </c>
    </row>
    <row r="1578" spans="1:17" x14ac:dyDescent="0.3">
      <c r="A1578" t="s">
        <v>17</v>
      </c>
      <c r="B1578" t="str">
        <f>"603977"</f>
        <v>603977</v>
      </c>
      <c r="C1578" t="s">
        <v>3466</v>
      </c>
      <c r="D1578" t="s">
        <v>2713</v>
      </c>
      <c r="F1578">
        <v>157025854</v>
      </c>
      <c r="G1578">
        <v>144369364</v>
      </c>
      <c r="H1578">
        <v>114981149</v>
      </c>
      <c r="I1578">
        <v>52621593</v>
      </c>
      <c r="J1578">
        <v>56792605</v>
      </c>
      <c r="K1578">
        <v>85132719</v>
      </c>
      <c r="L1578">
        <v>67639173</v>
      </c>
      <c r="P1578">
        <v>87</v>
      </c>
      <c r="Q1578" t="s">
        <v>3467</v>
      </c>
    </row>
    <row r="1579" spans="1:17" x14ac:dyDescent="0.3">
      <c r="A1579" t="s">
        <v>17</v>
      </c>
      <c r="B1579" t="str">
        <f>"603978"</f>
        <v>603978</v>
      </c>
      <c r="C1579" t="s">
        <v>3468</v>
      </c>
      <c r="D1579" t="s">
        <v>581</v>
      </c>
      <c r="F1579">
        <v>30691181</v>
      </c>
      <c r="G1579">
        <v>28288865</v>
      </c>
      <c r="H1579">
        <v>76343912</v>
      </c>
      <c r="I1579">
        <v>82024011</v>
      </c>
      <c r="J1579">
        <v>82505090</v>
      </c>
      <c r="K1579">
        <v>92510222</v>
      </c>
      <c r="P1579">
        <v>112</v>
      </c>
      <c r="Q1579" t="s">
        <v>3469</v>
      </c>
    </row>
    <row r="1580" spans="1:17" x14ac:dyDescent="0.3">
      <c r="A1580" t="s">
        <v>17</v>
      </c>
      <c r="B1580" t="str">
        <f>"603979"</f>
        <v>603979</v>
      </c>
      <c r="C1580" t="s">
        <v>3470</v>
      </c>
      <c r="D1580" t="s">
        <v>1986</v>
      </c>
      <c r="F1580">
        <v>352499962</v>
      </c>
      <c r="G1580">
        <v>275844187</v>
      </c>
      <c r="H1580">
        <v>232821126</v>
      </c>
      <c r="I1580">
        <v>224328846</v>
      </c>
      <c r="J1580">
        <v>166658209</v>
      </c>
      <c r="K1580">
        <v>164673220</v>
      </c>
      <c r="L1580">
        <v>190360414</v>
      </c>
      <c r="M1580">
        <v>221021233</v>
      </c>
      <c r="P1580">
        <v>122</v>
      </c>
      <c r="Q1580" t="s">
        <v>3471</v>
      </c>
    </row>
    <row r="1581" spans="1:17" x14ac:dyDescent="0.3">
      <c r="A1581" t="s">
        <v>17</v>
      </c>
      <c r="B1581" t="str">
        <f>"603980"</f>
        <v>603980</v>
      </c>
      <c r="C1581" t="s">
        <v>3472</v>
      </c>
      <c r="D1581" t="s">
        <v>779</v>
      </c>
      <c r="F1581">
        <v>149536380</v>
      </c>
      <c r="G1581">
        <v>144087740</v>
      </c>
      <c r="H1581">
        <v>410361362</v>
      </c>
      <c r="I1581">
        <v>549957507</v>
      </c>
      <c r="J1581">
        <v>303405330</v>
      </c>
      <c r="K1581">
        <v>261964771</v>
      </c>
      <c r="P1581">
        <v>195</v>
      </c>
      <c r="Q1581" t="s">
        <v>3473</v>
      </c>
    </row>
    <row r="1582" spans="1:17" x14ac:dyDescent="0.3">
      <c r="A1582" t="s">
        <v>17</v>
      </c>
      <c r="B1582" t="str">
        <f>"603982"</f>
        <v>603982</v>
      </c>
      <c r="C1582" t="s">
        <v>3474</v>
      </c>
      <c r="D1582" t="s">
        <v>348</v>
      </c>
      <c r="F1582">
        <v>110769102</v>
      </c>
      <c r="G1582">
        <v>62722698</v>
      </c>
      <c r="H1582">
        <v>40796276</v>
      </c>
      <c r="I1582">
        <v>55651322</v>
      </c>
      <c r="P1582">
        <v>122</v>
      </c>
      <c r="Q1582" t="s">
        <v>3475</v>
      </c>
    </row>
    <row r="1583" spans="1:17" x14ac:dyDescent="0.3">
      <c r="A1583" t="s">
        <v>17</v>
      </c>
      <c r="B1583" t="str">
        <f>"603983"</f>
        <v>603983</v>
      </c>
      <c r="C1583" t="s">
        <v>3476</v>
      </c>
      <c r="D1583" t="s">
        <v>709</v>
      </c>
      <c r="F1583">
        <v>142002927</v>
      </c>
      <c r="G1583">
        <v>337964425</v>
      </c>
      <c r="H1583">
        <v>359094390</v>
      </c>
      <c r="I1583">
        <v>235840096</v>
      </c>
      <c r="P1583">
        <v>898</v>
      </c>
      <c r="Q1583" t="s">
        <v>3477</v>
      </c>
    </row>
    <row r="1584" spans="1:17" x14ac:dyDescent="0.3">
      <c r="A1584" t="s">
        <v>17</v>
      </c>
      <c r="B1584" t="str">
        <f>"603985"</f>
        <v>603985</v>
      </c>
      <c r="C1584" t="s">
        <v>3478</v>
      </c>
      <c r="D1584" t="s">
        <v>274</v>
      </c>
      <c r="F1584">
        <v>337175041</v>
      </c>
      <c r="G1584">
        <v>309730021</v>
      </c>
      <c r="H1584">
        <v>109529286</v>
      </c>
      <c r="I1584">
        <v>93416491</v>
      </c>
      <c r="J1584">
        <v>63624434</v>
      </c>
      <c r="K1584">
        <v>68767196</v>
      </c>
      <c r="P1584">
        <v>218</v>
      </c>
      <c r="Q1584" t="s">
        <v>3479</v>
      </c>
    </row>
    <row r="1585" spans="1:17" x14ac:dyDescent="0.3">
      <c r="A1585" t="s">
        <v>17</v>
      </c>
      <c r="B1585" t="str">
        <f>"603986"</f>
        <v>603986</v>
      </c>
      <c r="C1585" t="s">
        <v>3480</v>
      </c>
      <c r="D1585" t="s">
        <v>461</v>
      </c>
      <c r="F1585">
        <v>1648183513</v>
      </c>
      <c r="G1585">
        <v>672941065</v>
      </c>
      <c r="H1585">
        <v>449688469</v>
      </c>
      <c r="I1585">
        <v>367339610</v>
      </c>
      <c r="J1585">
        <v>339456419</v>
      </c>
      <c r="K1585">
        <v>144609406</v>
      </c>
      <c r="L1585">
        <v>120979339</v>
      </c>
      <c r="P1585">
        <v>2706</v>
      </c>
      <c r="Q1585" t="s">
        <v>3481</v>
      </c>
    </row>
    <row r="1586" spans="1:17" x14ac:dyDescent="0.3">
      <c r="A1586" t="s">
        <v>17</v>
      </c>
      <c r="B1586" t="str">
        <f>"603987"</f>
        <v>603987</v>
      </c>
      <c r="C1586" t="s">
        <v>3482</v>
      </c>
      <c r="D1586" t="s">
        <v>1077</v>
      </c>
      <c r="F1586">
        <v>212849770</v>
      </c>
      <c r="G1586">
        <v>152038737</v>
      </c>
      <c r="H1586">
        <v>118849108</v>
      </c>
      <c r="I1586">
        <v>113301673</v>
      </c>
      <c r="J1586">
        <v>90407394</v>
      </c>
      <c r="K1586">
        <v>76448621</v>
      </c>
      <c r="L1586">
        <v>69330226</v>
      </c>
      <c r="P1586">
        <v>266</v>
      </c>
      <c r="Q1586" t="s">
        <v>3483</v>
      </c>
    </row>
    <row r="1587" spans="1:17" x14ac:dyDescent="0.3">
      <c r="A1587" t="s">
        <v>17</v>
      </c>
      <c r="B1587" t="str">
        <f>"603988"</f>
        <v>603988</v>
      </c>
      <c r="C1587" t="s">
        <v>3484</v>
      </c>
      <c r="D1587" t="s">
        <v>1171</v>
      </c>
      <c r="F1587">
        <v>10753596</v>
      </c>
      <c r="G1587">
        <v>172334812</v>
      </c>
      <c r="H1587">
        <v>53893597</v>
      </c>
      <c r="I1587">
        <v>38836748</v>
      </c>
      <c r="J1587">
        <v>24106712</v>
      </c>
      <c r="K1587">
        <v>24623525</v>
      </c>
      <c r="L1587">
        <v>35622609</v>
      </c>
      <c r="M1587">
        <v>42676702</v>
      </c>
      <c r="N1587">
        <v>41015901</v>
      </c>
      <c r="P1587">
        <v>192</v>
      </c>
      <c r="Q1587" t="s">
        <v>3485</v>
      </c>
    </row>
    <row r="1588" spans="1:17" x14ac:dyDescent="0.3">
      <c r="A1588" t="s">
        <v>17</v>
      </c>
      <c r="B1588" t="str">
        <f>"603989"</f>
        <v>603989</v>
      </c>
      <c r="C1588" t="s">
        <v>3486</v>
      </c>
      <c r="D1588" t="s">
        <v>546</v>
      </c>
      <c r="F1588">
        <v>356904373</v>
      </c>
      <c r="G1588">
        <v>267473552</v>
      </c>
      <c r="H1588">
        <v>217068852</v>
      </c>
      <c r="I1588">
        <v>224902233</v>
      </c>
      <c r="J1588">
        <v>224024186</v>
      </c>
      <c r="K1588">
        <v>200631929</v>
      </c>
      <c r="L1588">
        <v>148377846</v>
      </c>
      <c r="M1588">
        <v>133431083</v>
      </c>
      <c r="P1588">
        <v>12176</v>
      </c>
      <c r="Q1588" t="s">
        <v>3487</v>
      </c>
    </row>
    <row r="1589" spans="1:17" x14ac:dyDescent="0.3">
      <c r="A1589" t="s">
        <v>17</v>
      </c>
      <c r="B1589" t="str">
        <f>"603990"</f>
        <v>603990</v>
      </c>
      <c r="C1589" t="s">
        <v>3488</v>
      </c>
      <c r="D1589" t="s">
        <v>945</v>
      </c>
      <c r="F1589">
        <v>14236657</v>
      </c>
      <c r="G1589">
        <v>1767660</v>
      </c>
      <c r="H1589">
        <v>10863588</v>
      </c>
      <c r="I1589">
        <v>11425729</v>
      </c>
      <c r="J1589">
        <v>29259530</v>
      </c>
      <c r="K1589">
        <v>21632167</v>
      </c>
      <c r="L1589">
        <v>4841329</v>
      </c>
      <c r="P1589">
        <v>143</v>
      </c>
      <c r="Q1589" t="s">
        <v>3489</v>
      </c>
    </row>
    <row r="1590" spans="1:17" x14ac:dyDescent="0.3">
      <c r="A1590" t="s">
        <v>17</v>
      </c>
      <c r="B1590" t="str">
        <f>"603991"</f>
        <v>603991</v>
      </c>
      <c r="C1590" t="s">
        <v>3490</v>
      </c>
      <c r="D1590" t="s">
        <v>1192</v>
      </c>
      <c r="F1590">
        <v>-16329959</v>
      </c>
      <c r="G1590">
        <v>-35779753</v>
      </c>
      <c r="H1590">
        <v>-9075026</v>
      </c>
      <c r="I1590">
        <v>22214368</v>
      </c>
      <c r="J1590">
        <v>20499272</v>
      </c>
      <c r="K1590">
        <v>20229250</v>
      </c>
      <c r="P1590">
        <v>96</v>
      </c>
      <c r="Q1590" t="s">
        <v>3491</v>
      </c>
    </row>
    <row r="1591" spans="1:17" x14ac:dyDescent="0.3">
      <c r="A1591" t="s">
        <v>17</v>
      </c>
      <c r="B1591" t="str">
        <f>"603992"</f>
        <v>603992</v>
      </c>
      <c r="C1591" t="s">
        <v>3492</v>
      </c>
      <c r="D1591" t="s">
        <v>2885</v>
      </c>
      <c r="F1591">
        <v>209530627</v>
      </c>
      <c r="G1591">
        <v>192285873</v>
      </c>
      <c r="H1591">
        <v>166264250</v>
      </c>
      <c r="I1591">
        <v>165831976</v>
      </c>
      <c r="P1591">
        <v>120</v>
      </c>
      <c r="Q1591" t="s">
        <v>3493</v>
      </c>
    </row>
    <row r="1592" spans="1:17" x14ac:dyDescent="0.3">
      <c r="A1592" t="s">
        <v>17</v>
      </c>
      <c r="B1592" t="str">
        <f>"603993"</f>
        <v>603993</v>
      </c>
      <c r="C1592" t="s">
        <v>3494</v>
      </c>
      <c r="D1592" t="s">
        <v>2354</v>
      </c>
      <c r="F1592">
        <v>3558157949</v>
      </c>
      <c r="G1592">
        <v>1609504258</v>
      </c>
      <c r="H1592">
        <v>1244135605</v>
      </c>
      <c r="I1592">
        <v>4136840000</v>
      </c>
      <c r="J1592">
        <v>1604540600</v>
      </c>
      <c r="K1592">
        <v>583502404</v>
      </c>
      <c r="L1592">
        <v>640919051</v>
      </c>
      <c r="M1592">
        <v>1465109883</v>
      </c>
      <c r="N1592">
        <v>902362920</v>
      </c>
      <c r="O1592">
        <v>929773043</v>
      </c>
      <c r="P1592">
        <v>1125</v>
      </c>
      <c r="Q1592" t="s">
        <v>3495</v>
      </c>
    </row>
    <row r="1593" spans="1:17" x14ac:dyDescent="0.3">
      <c r="A1593" t="s">
        <v>17</v>
      </c>
      <c r="B1593" t="str">
        <f>"603995"</f>
        <v>603995</v>
      </c>
      <c r="C1593" t="s">
        <v>3496</v>
      </c>
      <c r="D1593" t="s">
        <v>281</v>
      </c>
      <c r="F1593">
        <v>436249379</v>
      </c>
      <c r="G1593">
        <v>259286793</v>
      </c>
      <c r="H1593">
        <v>239084622</v>
      </c>
      <c r="I1593">
        <v>226289816</v>
      </c>
      <c r="P1593">
        <v>128</v>
      </c>
      <c r="Q1593" t="s">
        <v>3497</v>
      </c>
    </row>
    <row r="1594" spans="1:17" x14ac:dyDescent="0.3">
      <c r="A1594" t="s">
        <v>17</v>
      </c>
      <c r="B1594" t="str">
        <f>"603996"</f>
        <v>603996</v>
      </c>
      <c r="C1594" t="s">
        <v>3498</v>
      </c>
      <c r="D1594" t="s">
        <v>3499</v>
      </c>
      <c r="F1594">
        <v>-312057601</v>
      </c>
      <c r="G1594">
        <v>-390389763</v>
      </c>
      <c r="H1594">
        <v>-201083915</v>
      </c>
      <c r="I1594">
        <v>89303310</v>
      </c>
      <c r="J1594">
        <v>70009994</v>
      </c>
      <c r="K1594">
        <v>60906242</v>
      </c>
      <c r="L1594">
        <v>80659400</v>
      </c>
      <c r="M1594">
        <v>69545000</v>
      </c>
      <c r="P1594">
        <v>71</v>
      </c>
      <c r="Q1594" t="s">
        <v>3500</v>
      </c>
    </row>
    <row r="1595" spans="1:17" x14ac:dyDescent="0.3">
      <c r="A1595" t="s">
        <v>17</v>
      </c>
      <c r="B1595" t="str">
        <f>"603997"</f>
        <v>603997</v>
      </c>
      <c r="C1595" t="s">
        <v>3501</v>
      </c>
      <c r="D1595" t="s">
        <v>191</v>
      </c>
      <c r="F1595">
        <v>161497393</v>
      </c>
      <c r="G1595">
        <v>-293938490</v>
      </c>
      <c r="H1595">
        <v>190390690</v>
      </c>
      <c r="I1595">
        <v>232517879</v>
      </c>
      <c r="J1595">
        <v>217957518</v>
      </c>
      <c r="K1595">
        <v>177071469</v>
      </c>
      <c r="L1595">
        <v>129167674</v>
      </c>
      <c r="M1595">
        <v>147512606</v>
      </c>
      <c r="P1595">
        <v>248</v>
      </c>
      <c r="Q1595" t="s">
        <v>3502</v>
      </c>
    </row>
    <row r="1596" spans="1:17" x14ac:dyDescent="0.3">
      <c r="A1596" t="s">
        <v>17</v>
      </c>
      <c r="B1596" t="str">
        <f>"603998"</f>
        <v>603998</v>
      </c>
      <c r="C1596" t="s">
        <v>3503</v>
      </c>
      <c r="D1596" t="s">
        <v>188</v>
      </c>
      <c r="F1596">
        <v>62146607</v>
      </c>
      <c r="G1596">
        <v>60414647</v>
      </c>
      <c r="H1596">
        <v>70458380</v>
      </c>
      <c r="I1596">
        <v>60927010</v>
      </c>
      <c r="J1596">
        <v>75434265</v>
      </c>
      <c r="K1596">
        <v>56931170</v>
      </c>
      <c r="L1596">
        <v>72815903</v>
      </c>
      <c r="M1596">
        <v>63274444</v>
      </c>
      <c r="N1596">
        <v>52566559</v>
      </c>
      <c r="P1596">
        <v>126</v>
      </c>
      <c r="Q1596" t="s">
        <v>3504</v>
      </c>
    </row>
    <row r="1597" spans="1:17" x14ac:dyDescent="0.3">
      <c r="A1597" t="s">
        <v>17</v>
      </c>
      <c r="B1597" t="str">
        <f>"603999"</f>
        <v>603999</v>
      </c>
      <c r="C1597" t="s">
        <v>3505</v>
      </c>
      <c r="D1597" t="s">
        <v>525</v>
      </c>
      <c r="F1597">
        <v>63972876</v>
      </c>
      <c r="G1597">
        <v>57032961</v>
      </c>
      <c r="H1597">
        <v>50401213</v>
      </c>
      <c r="I1597">
        <v>30982024</v>
      </c>
      <c r="J1597">
        <v>53235000</v>
      </c>
      <c r="K1597">
        <v>62286612</v>
      </c>
      <c r="L1597">
        <v>62749100</v>
      </c>
      <c r="M1597">
        <v>74353900</v>
      </c>
      <c r="P1597">
        <v>85</v>
      </c>
      <c r="Q1597" t="s">
        <v>3506</v>
      </c>
    </row>
    <row r="1598" spans="1:17" x14ac:dyDescent="0.3">
      <c r="A1598" t="s">
        <v>17</v>
      </c>
      <c r="B1598" t="str">
        <f>"605001"</f>
        <v>605001</v>
      </c>
      <c r="C1598" t="s">
        <v>3507</v>
      </c>
      <c r="D1598" t="s">
        <v>1012</v>
      </c>
      <c r="F1598">
        <v>-119509915</v>
      </c>
      <c r="G1598">
        <v>27515502</v>
      </c>
      <c r="H1598">
        <v>102818766</v>
      </c>
      <c r="P1598">
        <v>48</v>
      </c>
      <c r="Q1598" t="s">
        <v>3508</v>
      </c>
    </row>
    <row r="1599" spans="1:17" x14ac:dyDescent="0.3">
      <c r="A1599" t="s">
        <v>17</v>
      </c>
      <c r="B1599" t="str">
        <f>"605003"</f>
        <v>605003</v>
      </c>
      <c r="C1599" t="s">
        <v>3509</v>
      </c>
      <c r="D1599" t="s">
        <v>2862</v>
      </c>
      <c r="F1599">
        <v>109060615</v>
      </c>
      <c r="G1599">
        <v>96025530</v>
      </c>
      <c r="H1599">
        <v>74309596</v>
      </c>
      <c r="P1599">
        <v>75</v>
      </c>
      <c r="Q1599" t="s">
        <v>3510</v>
      </c>
    </row>
    <row r="1600" spans="1:17" x14ac:dyDescent="0.3">
      <c r="A1600" t="s">
        <v>17</v>
      </c>
      <c r="B1600" t="str">
        <f>"605005"</f>
        <v>605005</v>
      </c>
      <c r="C1600" t="s">
        <v>3511</v>
      </c>
      <c r="D1600" t="s">
        <v>1415</v>
      </c>
      <c r="F1600">
        <v>153750116</v>
      </c>
      <c r="G1600">
        <v>117437797</v>
      </c>
      <c r="H1600">
        <v>79945207</v>
      </c>
      <c r="P1600">
        <v>62</v>
      </c>
      <c r="Q1600" t="s">
        <v>3512</v>
      </c>
    </row>
    <row r="1601" spans="1:17" x14ac:dyDescent="0.3">
      <c r="A1601" t="s">
        <v>17</v>
      </c>
      <c r="B1601" t="str">
        <f>"605006"</f>
        <v>605006</v>
      </c>
      <c r="C1601" t="s">
        <v>3513</v>
      </c>
      <c r="D1601" t="s">
        <v>411</v>
      </c>
      <c r="F1601">
        <v>449930644</v>
      </c>
      <c r="G1601">
        <v>92279408</v>
      </c>
      <c r="H1601">
        <v>103223985</v>
      </c>
      <c r="P1601">
        <v>121</v>
      </c>
      <c r="Q1601" t="s">
        <v>3514</v>
      </c>
    </row>
    <row r="1602" spans="1:17" x14ac:dyDescent="0.3">
      <c r="A1602" t="s">
        <v>17</v>
      </c>
      <c r="B1602" t="str">
        <f>"605007"</f>
        <v>605007</v>
      </c>
      <c r="C1602" t="s">
        <v>3515</v>
      </c>
      <c r="D1602" t="s">
        <v>244</v>
      </c>
      <c r="F1602">
        <v>314121289</v>
      </c>
      <c r="G1602">
        <v>244088796</v>
      </c>
      <c r="H1602">
        <v>115192896</v>
      </c>
      <c r="P1602">
        <v>81</v>
      </c>
      <c r="Q1602" t="s">
        <v>3516</v>
      </c>
    </row>
    <row r="1603" spans="1:17" x14ac:dyDescent="0.3">
      <c r="A1603" t="s">
        <v>17</v>
      </c>
      <c r="B1603" t="str">
        <f>"605008"</f>
        <v>605008</v>
      </c>
      <c r="C1603" t="s">
        <v>3517</v>
      </c>
      <c r="D1603" t="s">
        <v>1192</v>
      </c>
      <c r="F1603">
        <v>161013103</v>
      </c>
      <c r="G1603">
        <v>157418500</v>
      </c>
      <c r="H1603">
        <v>118417817</v>
      </c>
      <c r="P1603">
        <v>66</v>
      </c>
      <c r="Q1603" t="s">
        <v>3518</v>
      </c>
    </row>
    <row r="1604" spans="1:17" x14ac:dyDescent="0.3">
      <c r="A1604" t="s">
        <v>17</v>
      </c>
      <c r="B1604" t="str">
        <f>"605009"</f>
        <v>605009</v>
      </c>
      <c r="C1604" t="s">
        <v>3519</v>
      </c>
      <c r="D1604" t="s">
        <v>2728</v>
      </c>
      <c r="F1604">
        <v>227904107</v>
      </c>
      <c r="G1604">
        <v>492396339</v>
      </c>
      <c r="H1604">
        <v>205262702</v>
      </c>
      <c r="P1604">
        <v>355</v>
      </c>
      <c r="Q1604" t="s">
        <v>3520</v>
      </c>
    </row>
    <row r="1605" spans="1:17" x14ac:dyDescent="0.3">
      <c r="A1605" t="s">
        <v>17</v>
      </c>
      <c r="B1605" t="str">
        <f>"605011"</f>
        <v>605011</v>
      </c>
      <c r="C1605" t="s">
        <v>3521</v>
      </c>
      <c r="D1605" t="s">
        <v>351</v>
      </c>
      <c r="F1605">
        <v>189181573</v>
      </c>
      <c r="P1605">
        <v>27</v>
      </c>
      <c r="Q1605" t="s">
        <v>3522</v>
      </c>
    </row>
    <row r="1606" spans="1:17" x14ac:dyDescent="0.3">
      <c r="A1606" t="s">
        <v>17</v>
      </c>
      <c r="B1606" t="str">
        <f>"605016"</f>
        <v>605016</v>
      </c>
      <c r="C1606" t="s">
        <v>3523</v>
      </c>
      <c r="D1606" t="s">
        <v>677</v>
      </c>
      <c r="F1606">
        <v>75041512</v>
      </c>
      <c r="P1606">
        <v>65</v>
      </c>
      <c r="Q1606" t="s">
        <v>3524</v>
      </c>
    </row>
    <row r="1607" spans="1:17" x14ac:dyDescent="0.3">
      <c r="A1607" t="s">
        <v>17</v>
      </c>
      <c r="B1607" t="str">
        <f>"605018"</f>
        <v>605018</v>
      </c>
      <c r="C1607" t="s">
        <v>3525</v>
      </c>
      <c r="D1607" t="s">
        <v>985</v>
      </c>
      <c r="F1607">
        <v>113433467</v>
      </c>
      <c r="G1607">
        <v>107018960</v>
      </c>
      <c r="H1607">
        <v>132691442</v>
      </c>
      <c r="P1607">
        <v>48</v>
      </c>
      <c r="Q1607" t="s">
        <v>3526</v>
      </c>
    </row>
    <row r="1608" spans="1:17" x14ac:dyDescent="0.3">
      <c r="A1608" t="s">
        <v>17</v>
      </c>
      <c r="B1608" t="str">
        <f>"605020"</f>
        <v>605020</v>
      </c>
      <c r="C1608" t="s">
        <v>3527</v>
      </c>
      <c r="D1608" t="s">
        <v>375</v>
      </c>
      <c r="F1608">
        <v>175258381</v>
      </c>
      <c r="P1608">
        <v>33</v>
      </c>
      <c r="Q1608" t="s">
        <v>3528</v>
      </c>
    </row>
    <row r="1609" spans="1:17" x14ac:dyDescent="0.3">
      <c r="A1609" t="s">
        <v>17</v>
      </c>
      <c r="B1609" t="str">
        <f>"605028"</f>
        <v>605028</v>
      </c>
      <c r="C1609" t="s">
        <v>3529</v>
      </c>
      <c r="D1609" t="s">
        <v>351</v>
      </c>
      <c r="F1609">
        <v>127256485</v>
      </c>
      <c r="P1609">
        <v>46</v>
      </c>
      <c r="Q1609" t="s">
        <v>3530</v>
      </c>
    </row>
    <row r="1610" spans="1:17" x14ac:dyDescent="0.3">
      <c r="A1610" t="s">
        <v>17</v>
      </c>
      <c r="B1610" t="str">
        <f>"605033"</f>
        <v>605033</v>
      </c>
      <c r="C1610" t="s">
        <v>3531</v>
      </c>
      <c r="D1610" t="s">
        <v>853</v>
      </c>
      <c r="F1610">
        <v>63729552</v>
      </c>
      <c r="P1610">
        <v>14</v>
      </c>
      <c r="Q1610" t="s">
        <v>3532</v>
      </c>
    </row>
    <row r="1611" spans="1:17" x14ac:dyDescent="0.3">
      <c r="A1611" t="s">
        <v>17</v>
      </c>
      <c r="B1611" t="str">
        <f>"605050"</f>
        <v>605050</v>
      </c>
      <c r="C1611" t="s">
        <v>3533</v>
      </c>
      <c r="D1611" t="s">
        <v>128</v>
      </c>
      <c r="F1611">
        <v>253434711</v>
      </c>
      <c r="G1611">
        <v>197720373</v>
      </c>
      <c r="H1611">
        <v>199259976</v>
      </c>
      <c r="P1611">
        <v>37</v>
      </c>
      <c r="Q1611" t="s">
        <v>3534</v>
      </c>
    </row>
    <row r="1612" spans="1:17" x14ac:dyDescent="0.3">
      <c r="A1612" t="s">
        <v>17</v>
      </c>
      <c r="B1612" t="str">
        <f>"605055"</f>
        <v>605055</v>
      </c>
      <c r="C1612" t="s">
        <v>3535</v>
      </c>
      <c r="D1612" t="s">
        <v>817</v>
      </c>
      <c r="F1612">
        <v>61968663</v>
      </c>
      <c r="G1612">
        <v>57128782</v>
      </c>
      <c r="H1612">
        <v>80459625</v>
      </c>
      <c r="P1612">
        <v>38</v>
      </c>
      <c r="Q1612" t="s">
        <v>3536</v>
      </c>
    </row>
    <row r="1613" spans="1:17" x14ac:dyDescent="0.3">
      <c r="A1613" t="s">
        <v>17</v>
      </c>
      <c r="B1613" t="str">
        <f>"605056"</f>
        <v>605056</v>
      </c>
      <c r="C1613" t="s">
        <v>3537</v>
      </c>
      <c r="D1613" t="s">
        <v>2551</v>
      </c>
      <c r="F1613">
        <v>114962576</v>
      </c>
      <c r="G1613">
        <v>126856094</v>
      </c>
      <c r="P1613">
        <v>21</v>
      </c>
      <c r="Q1613" t="s">
        <v>3538</v>
      </c>
    </row>
    <row r="1614" spans="1:17" x14ac:dyDescent="0.3">
      <c r="A1614" t="s">
        <v>17</v>
      </c>
      <c r="B1614" t="str">
        <f>"605058"</f>
        <v>605058</v>
      </c>
      <c r="C1614" t="s">
        <v>3539</v>
      </c>
      <c r="D1614" t="s">
        <v>425</v>
      </c>
      <c r="F1614">
        <v>118344261</v>
      </c>
      <c r="G1614">
        <v>85090023</v>
      </c>
      <c r="H1614">
        <v>88701735</v>
      </c>
      <c r="P1614">
        <v>48</v>
      </c>
      <c r="Q1614" t="s">
        <v>3540</v>
      </c>
    </row>
    <row r="1615" spans="1:17" x14ac:dyDescent="0.3">
      <c r="A1615" t="s">
        <v>17</v>
      </c>
      <c r="B1615" t="str">
        <f>"605060"</f>
        <v>605060</v>
      </c>
      <c r="C1615" t="s">
        <v>3541</v>
      </c>
      <c r="D1615" t="s">
        <v>560</v>
      </c>
      <c r="F1615">
        <v>127946019</v>
      </c>
      <c r="G1615">
        <v>116745412</v>
      </c>
      <c r="P1615">
        <v>43</v>
      </c>
      <c r="Q1615" t="s">
        <v>3542</v>
      </c>
    </row>
    <row r="1616" spans="1:17" x14ac:dyDescent="0.3">
      <c r="A1616" t="s">
        <v>17</v>
      </c>
      <c r="B1616" t="str">
        <f>"605066"</f>
        <v>605066</v>
      </c>
      <c r="C1616" t="s">
        <v>3543</v>
      </c>
      <c r="D1616" t="s">
        <v>657</v>
      </c>
      <c r="F1616">
        <v>156774123</v>
      </c>
      <c r="G1616">
        <v>180099590</v>
      </c>
      <c r="H1616">
        <v>133990898</v>
      </c>
      <c r="P1616">
        <v>54</v>
      </c>
      <c r="Q1616" t="s">
        <v>3544</v>
      </c>
    </row>
    <row r="1617" spans="1:17" x14ac:dyDescent="0.3">
      <c r="A1617" t="s">
        <v>17</v>
      </c>
      <c r="B1617" t="str">
        <f>"605068"</f>
        <v>605068</v>
      </c>
      <c r="C1617" t="s">
        <v>3545</v>
      </c>
      <c r="D1617" t="s">
        <v>191</v>
      </c>
      <c r="F1617">
        <v>143019411</v>
      </c>
      <c r="G1617">
        <v>159355481</v>
      </c>
      <c r="H1617">
        <v>110305902</v>
      </c>
      <c r="P1617">
        <v>89</v>
      </c>
      <c r="Q1617" t="s">
        <v>3546</v>
      </c>
    </row>
    <row r="1618" spans="1:17" x14ac:dyDescent="0.3">
      <c r="A1618" t="s">
        <v>17</v>
      </c>
      <c r="B1618" t="str">
        <f>"605069"</f>
        <v>605069</v>
      </c>
      <c r="C1618" t="s">
        <v>3547</v>
      </c>
      <c r="D1618" t="s">
        <v>3548</v>
      </c>
      <c r="F1618">
        <v>92742587</v>
      </c>
      <c r="P1618">
        <v>16</v>
      </c>
      <c r="Q1618" t="s">
        <v>3549</v>
      </c>
    </row>
    <row r="1619" spans="1:17" x14ac:dyDescent="0.3">
      <c r="A1619" t="s">
        <v>17</v>
      </c>
      <c r="B1619" t="str">
        <f>"605077"</f>
        <v>605077</v>
      </c>
      <c r="C1619" t="s">
        <v>3550</v>
      </c>
      <c r="D1619" t="s">
        <v>677</v>
      </c>
      <c r="F1619">
        <v>183696698</v>
      </c>
      <c r="G1619">
        <v>233900369</v>
      </c>
      <c r="H1619">
        <v>206677945</v>
      </c>
      <c r="P1619">
        <v>88</v>
      </c>
      <c r="Q1619" t="s">
        <v>3551</v>
      </c>
    </row>
    <row r="1620" spans="1:17" x14ac:dyDescent="0.3">
      <c r="A1620" t="s">
        <v>17</v>
      </c>
      <c r="B1620" t="str">
        <f>"605080"</f>
        <v>605080</v>
      </c>
      <c r="C1620" t="s">
        <v>3552</v>
      </c>
      <c r="D1620" t="s">
        <v>2904</v>
      </c>
      <c r="F1620">
        <v>183071930</v>
      </c>
      <c r="G1620">
        <v>127713362</v>
      </c>
      <c r="P1620">
        <v>47</v>
      </c>
      <c r="Q1620" t="s">
        <v>3553</v>
      </c>
    </row>
    <row r="1621" spans="1:17" x14ac:dyDescent="0.3">
      <c r="A1621" t="s">
        <v>17</v>
      </c>
      <c r="B1621" t="str">
        <f>"605081"</f>
        <v>605081</v>
      </c>
      <c r="C1621" t="s">
        <v>3554</v>
      </c>
      <c r="D1621" t="s">
        <v>33</v>
      </c>
      <c r="F1621">
        <v>55024099</v>
      </c>
      <c r="G1621">
        <v>93465860</v>
      </c>
      <c r="H1621">
        <v>79276108</v>
      </c>
      <c r="P1621">
        <v>30</v>
      </c>
      <c r="Q1621" t="s">
        <v>3555</v>
      </c>
    </row>
    <row r="1622" spans="1:17" x14ac:dyDescent="0.3">
      <c r="A1622" t="s">
        <v>17</v>
      </c>
      <c r="B1622" t="str">
        <f>"605086"</f>
        <v>605086</v>
      </c>
      <c r="C1622" t="s">
        <v>3556</v>
      </c>
      <c r="D1622" t="s">
        <v>2739</v>
      </c>
      <c r="F1622">
        <v>69770751</v>
      </c>
      <c r="G1622">
        <v>47504421</v>
      </c>
      <c r="P1622">
        <v>29</v>
      </c>
      <c r="Q1622" t="s">
        <v>3557</v>
      </c>
    </row>
    <row r="1623" spans="1:17" x14ac:dyDescent="0.3">
      <c r="A1623" t="s">
        <v>17</v>
      </c>
      <c r="B1623" t="str">
        <f>"605088"</f>
        <v>605088</v>
      </c>
      <c r="C1623" t="s">
        <v>3558</v>
      </c>
      <c r="D1623" t="s">
        <v>348</v>
      </c>
      <c r="F1623">
        <v>101138633</v>
      </c>
      <c r="G1623">
        <v>87937209</v>
      </c>
      <c r="H1623">
        <v>81122339</v>
      </c>
      <c r="P1623">
        <v>47</v>
      </c>
      <c r="Q1623" t="s">
        <v>3559</v>
      </c>
    </row>
    <row r="1624" spans="1:17" x14ac:dyDescent="0.3">
      <c r="A1624" t="s">
        <v>17</v>
      </c>
      <c r="B1624" t="str">
        <f>"605089"</f>
        <v>605089</v>
      </c>
      <c r="C1624" t="s">
        <v>3560</v>
      </c>
      <c r="D1624" t="s">
        <v>2838</v>
      </c>
      <c r="F1624">
        <v>102574215</v>
      </c>
      <c r="P1624">
        <v>131</v>
      </c>
      <c r="Q1624" t="s">
        <v>3561</v>
      </c>
    </row>
    <row r="1625" spans="1:17" x14ac:dyDescent="0.3">
      <c r="A1625" t="s">
        <v>17</v>
      </c>
      <c r="B1625" t="str">
        <f>"605090"</f>
        <v>605090</v>
      </c>
      <c r="C1625" t="s">
        <v>3562</v>
      </c>
      <c r="D1625" t="s">
        <v>749</v>
      </c>
      <c r="F1625">
        <v>609046169</v>
      </c>
      <c r="G1625">
        <v>633799208</v>
      </c>
      <c r="P1625">
        <v>51</v>
      </c>
      <c r="Q1625" t="s">
        <v>3563</v>
      </c>
    </row>
    <row r="1626" spans="1:17" x14ac:dyDescent="0.3">
      <c r="A1626" t="s">
        <v>17</v>
      </c>
      <c r="B1626" t="str">
        <f>"605098"</f>
        <v>605098</v>
      </c>
      <c r="C1626" t="s">
        <v>3564</v>
      </c>
      <c r="D1626" t="s">
        <v>1336</v>
      </c>
      <c r="F1626">
        <v>109114573</v>
      </c>
      <c r="G1626">
        <v>57821242</v>
      </c>
      <c r="P1626">
        <v>53</v>
      </c>
      <c r="Q1626" t="s">
        <v>3565</v>
      </c>
    </row>
    <row r="1627" spans="1:17" x14ac:dyDescent="0.3">
      <c r="A1627" t="s">
        <v>17</v>
      </c>
      <c r="B1627" t="str">
        <f>"605099"</f>
        <v>605099</v>
      </c>
      <c r="C1627" t="s">
        <v>3566</v>
      </c>
      <c r="D1627" t="s">
        <v>2436</v>
      </c>
      <c r="F1627">
        <v>320441956</v>
      </c>
      <c r="G1627">
        <v>313866632</v>
      </c>
      <c r="H1627">
        <v>211510041</v>
      </c>
      <c r="P1627">
        <v>166</v>
      </c>
      <c r="Q1627" t="s">
        <v>3567</v>
      </c>
    </row>
    <row r="1628" spans="1:17" x14ac:dyDescent="0.3">
      <c r="A1628" t="s">
        <v>17</v>
      </c>
      <c r="B1628" t="str">
        <f>"605100"</f>
        <v>605100</v>
      </c>
      <c r="C1628" t="s">
        <v>3568</v>
      </c>
      <c r="D1628" t="s">
        <v>274</v>
      </c>
      <c r="F1628">
        <v>129670394</v>
      </c>
      <c r="G1628">
        <v>136962219</v>
      </c>
      <c r="H1628">
        <v>105349414</v>
      </c>
      <c r="P1628">
        <v>60</v>
      </c>
      <c r="Q1628" t="s">
        <v>3569</v>
      </c>
    </row>
    <row r="1629" spans="1:17" x14ac:dyDescent="0.3">
      <c r="A1629" t="s">
        <v>17</v>
      </c>
      <c r="B1629" t="str">
        <f>"605108"</f>
        <v>605108</v>
      </c>
      <c r="C1629" t="s">
        <v>3570</v>
      </c>
      <c r="D1629" t="s">
        <v>3571</v>
      </c>
      <c r="F1629">
        <v>79537640</v>
      </c>
      <c r="G1629">
        <v>106456587</v>
      </c>
      <c r="H1629">
        <v>135421307</v>
      </c>
      <c r="P1629">
        <v>104</v>
      </c>
      <c r="Q1629" t="s">
        <v>3572</v>
      </c>
    </row>
    <row r="1630" spans="1:17" x14ac:dyDescent="0.3">
      <c r="A1630" t="s">
        <v>17</v>
      </c>
      <c r="B1630" t="str">
        <f>"605111"</f>
        <v>605111</v>
      </c>
      <c r="C1630" t="s">
        <v>3573</v>
      </c>
      <c r="D1630" t="s">
        <v>795</v>
      </c>
      <c r="F1630">
        <v>310744237</v>
      </c>
      <c r="G1630">
        <v>100947574</v>
      </c>
      <c r="H1630">
        <v>62619633</v>
      </c>
      <c r="J1630">
        <v>47539213</v>
      </c>
      <c r="P1630">
        <v>332</v>
      </c>
      <c r="Q1630" t="s">
        <v>3574</v>
      </c>
    </row>
    <row r="1631" spans="1:17" x14ac:dyDescent="0.3">
      <c r="A1631" t="s">
        <v>17</v>
      </c>
      <c r="B1631" t="str">
        <f>"605116"</f>
        <v>605116</v>
      </c>
      <c r="C1631" t="s">
        <v>3575</v>
      </c>
      <c r="D1631" t="s">
        <v>496</v>
      </c>
      <c r="F1631">
        <v>133515912</v>
      </c>
      <c r="G1631">
        <v>140205002</v>
      </c>
      <c r="H1631">
        <v>119873961</v>
      </c>
      <c r="P1631">
        <v>81</v>
      </c>
      <c r="Q1631" t="s">
        <v>3576</v>
      </c>
    </row>
    <row r="1632" spans="1:17" x14ac:dyDescent="0.3">
      <c r="A1632" t="s">
        <v>17</v>
      </c>
      <c r="B1632" t="str">
        <f>"605117"</f>
        <v>605117</v>
      </c>
      <c r="C1632" t="s">
        <v>3577</v>
      </c>
      <c r="D1632" t="s">
        <v>1253</v>
      </c>
      <c r="F1632">
        <v>400639917</v>
      </c>
      <c r="G1632">
        <v>279654164</v>
      </c>
      <c r="P1632">
        <v>141</v>
      </c>
      <c r="Q1632" t="s">
        <v>3578</v>
      </c>
    </row>
    <row r="1633" spans="1:17" x14ac:dyDescent="0.3">
      <c r="A1633" t="s">
        <v>17</v>
      </c>
      <c r="B1633" t="str">
        <f>"605118"</f>
        <v>605118</v>
      </c>
      <c r="C1633" t="s">
        <v>3579</v>
      </c>
      <c r="D1633" t="s">
        <v>2953</v>
      </c>
      <c r="F1633">
        <v>115786469</v>
      </c>
      <c r="G1633">
        <v>114359335</v>
      </c>
      <c r="H1633">
        <v>131535941</v>
      </c>
      <c r="P1633">
        <v>114</v>
      </c>
      <c r="Q1633" t="s">
        <v>3580</v>
      </c>
    </row>
    <row r="1634" spans="1:17" x14ac:dyDescent="0.3">
      <c r="A1634" t="s">
        <v>17</v>
      </c>
      <c r="B1634" t="str">
        <f>"605122"</f>
        <v>605122</v>
      </c>
      <c r="C1634" t="s">
        <v>3581</v>
      </c>
      <c r="D1634" t="s">
        <v>3071</v>
      </c>
      <c r="F1634">
        <v>105143596</v>
      </c>
      <c r="G1634">
        <v>180600862</v>
      </c>
      <c r="P1634">
        <v>36</v>
      </c>
      <c r="Q1634" t="s">
        <v>3582</v>
      </c>
    </row>
    <row r="1635" spans="1:17" x14ac:dyDescent="0.3">
      <c r="A1635" t="s">
        <v>17</v>
      </c>
      <c r="B1635" t="str">
        <f>"605123"</f>
        <v>605123</v>
      </c>
      <c r="C1635" t="s">
        <v>3583</v>
      </c>
      <c r="D1635" t="s">
        <v>98</v>
      </c>
      <c r="F1635">
        <v>191572723</v>
      </c>
      <c r="G1635">
        <v>121868064</v>
      </c>
      <c r="H1635">
        <v>120861964</v>
      </c>
      <c r="P1635">
        <v>143</v>
      </c>
      <c r="Q1635" t="s">
        <v>3584</v>
      </c>
    </row>
    <row r="1636" spans="1:17" x14ac:dyDescent="0.3">
      <c r="A1636" t="s">
        <v>17</v>
      </c>
      <c r="B1636" t="str">
        <f>"605128"</f>
        <v>605128</v>
      </c>
      <c r="C1636" t="s">
        <v>3585</v>
      </c>
      <c r="D1636" t="s">
        <v>191</v>
      </c>
      <c r="F1636">
        <v>48729587</v>
      </c>
      <c r="G1636">
        <v>51612392</v>
      </c>
      <c r="H1636">
        <v>61352464</v>
      </c>
      <c r="P1636">
        <v>53</v>
      </c>
      <c r="Q1636" t="s">
        <v>3586</v>
      </c>
    </row>
    <row r="1637" spans="1:17" x14ac:dyDescent="0.3">
      <c r="A1637" t="s">
        <v>17</v>
      </c>
      <c r="B1637" t="str">
        <f>"605133"</f>
        <v>605133</v>
      </c>
      <c r="C1637" t="s">
        <v>3587</v>
      </c>
      <c r="D1637" t="s">
        <v>348</v>
      </c>
      <c r="F1637">
        <v>82687116</v>
      </c>
      <c r="G1637">
        <v>96470930</v>
      </c>
      <c r="H1637">
        <v>107683874</v>
      </c>
      <c r="P1637">
        <v>36</v>
      </c>
      <c r="Q1637" t="s">
        <v>3588</v>
      </c>
    </row>
    <row r="1638" spans="1:17" x14ac:dyDescent="0.3">
      <c r="A1638" t="s">
        <v>17</v>
      </c>
      <c r="B1638" t="str">
        <f>"605136"</f>
        <v>605136</v>
      </c>
      <c r="C1638" t="s">
        <v>3589</v>
      </c>
      <c r="D1638" t="s">
        <v>3590</v>
      </c>
      <c r="F1638">
        <v>261466373</v>
      </c>
      <c r="G1638">
        <v>191624032</v>
      </c>
      <c r="H1638">
        <v>195327884</v>
      </c>
      <c r="P1638">
        <v>99</v>
      </c>
      <c r="Q1638" t="s">
        <v>3591</v>
      </c>
    </row>
    <row r="1639" spans="1:17" x14ac:dyDescent="0.3">
      <c r="A1639" t="s">
        <v>17</v>
      </c>
      <c r="B1639" t="str">
        <f>"605138"</f>
        <v>605138</v>
      </c>
      <c r="C1639" t="s">
        <v>3592</v>
      </c>
      <c r="D1639" t="s">
        <v>255</v>
      </c>
      <c r="F1639">
        <v>234282960</v>
      </c>
      <c r="P1639">
        <v>27</v>
      </c>
      <c r="Q1639" t="s">
        <v>3593</v>
      </c>
    </row>
    <row r="1640" spans="1:17" x14ac:dyDescent="0.3">
      <c r="A1640" t="s">
        <v>17</v>
      </c>
      <c r="B1640" t="str">
        <f>"605151"</f>
        <v>605151</v>
      </c>
      <c r="C1640" t="s">
        <v>3594</v>
      </c>
      <c r="D1640" t="s">
        <v>2359</v>
      </c>
      <c r="F1640">
        <v>80360418</v>
      </c>
      <c r="G1640">
        <v>85782971</v>
      </c>
      <c r="H1640">
        <v>76451663</v>
      </c>
      <c r="P1640">
        <v>55</v>
      </c>
      <c r="Q1640" t="s">
        <v>3595</v>
      </c>
    </row>
    <row r="1641" spans="1:17" x14ac:dyDescent="0.3">
      <c r="A1641" t="s">
        <v>17</v>
      </c>
      <c r="B1641" t="str">
        <f>"605155"</f>
        <v>605155</v>
      </c>
      <c r="C1641" t="s">
        <v>3596</v>
      </c>
      <c r="D1641" t="s">
        <v>2436</v>
      </c>
      <c r="F1641">
        <v>72020652</v>
      </c>
      <c r="G1641">
        <v>56749109</v>
      </c>
      <c r="H1641">
        <v>64448364</v>
      </c>
      <c r="P1641">
        <v>45</v>
      </c>
      <c r="Q1641" t="s">
        <v>3597</v>
      </c>
    </row>
    <row r="1642" spans="1:17" x14ac:dyDescent="0.3">
      <c r="A1642" t="s">
        <v>17</v>
      </c>
      <c r="B1642" t="str">
        <f>"605158"</f>
        <v>605158</v>
      </c>
      <c r="C1642" t="s">
        <v>3598</v>
      </c>
      <c r="D1642" t="s">
        <v>38</v>
      </c>
      <c r="F1642">
        <v>196060517</v>
      </c>
      <c r="G1642">
        <v>202513595</v>
      </c>
      <c r="H1642">
        <v>140642496</v>
      </c>
      <c r="P1642">
        <v>91</v>
      </c>
      <c r="Q1642" t="s">
        <v>3599</v>
      </c>
    </row>
    <row r="1643" spans="1:17" x14ac:dyDescent="0.3">
      <c r="A1643" t="s">
        <v>17</v>
      </c>
      <c r="B1643" t="str">
        <f>"605162"</f>
        <v>605162</v>
      </c>
      <c r="C1643" t="s">
        <v>3600</v>
      </c>
      <c r="D1643" t="s">
        <v>351</v>
      </c>
      <c r="F1643">
        <v>79175691</v>
      </c>
      <c r="G1643">
        <v>109352231</v>
      </c>
      <c r="P1643">
        <v>27</v>
      </c>
      <c r="Q1643" t="s">
        <v>3601</v>
      </c>
    </row>
    <row r="1644" spans="1:17" x14ac:dyDescent="0.3">
      <c r="A1644" t="s">
        <v>17</v>
      </c>
      <c r="B1644" t="str">
        <f>"605166"</f>
        <v>605166</v>
      </c>
      <c r="C1644" t="s">
        <v>3602</v>
      </c>
      <c r="D1644" t="s">
        <v>1636</v>
      </c>
      <c r="F1644">
        <v>200021596</v>
      </c>
      <c r="G1644">
        <v>62536916</v>
      </c>
      <c r="P1644">
        <v>68</v>
      </c>
      <c r="Q1644" t="s">
        <v>3603</v>
      </c>
    </row>
    <row r="1645" spans="1:17" x14ac:dyDescent="0.3">
      <c r="A1645" t="s">
        <v>17</v>
      </c>
      <c r="B1645" t="str">
        <f>"605167"</f>
        <v>605167</v>
      </c>
      <c r="C1645" t="s">
        <v>3604</v>
      </c>
      <c r="D1645" t="s">
        <v>2019</v>
      </c>
      <c r="F1645">
        <v>67787818</v>
      </c>
      <c r="G1645">
        <v>56848775</v>
      </c>
      <c r="P1645">
        <v>22</v>
      </c>
      <c r="Q1645" t="s">
        <v>3605</v>
      </c>
    </row>
    <row r="1646" spans="1:17" x14ac:dyDescent="0.3">
      <c r="A1646" t="s">
        <v>17</v>
      </c>
      <c r="B1646" t="str">
        <f>"605168"</f>
        <v>605168</v>
      </c>
      <c r="C1646" t="s">
        <v>3606</v>
      </c>
      <c r="D1646" t="s">
        <v>207</v>
      </c>
      <c r="F1646">
        <v>260709004</v>
      </c>
      <c r="G1646">
        <v>182667949</v>
      </c>
      <c r="H1646">
        <v>82368248</v>
      </c>
      <c r="P1646">
        <v>317</v>
      </c>
      <c r="Q1646" t="s">
        <v>3607</v>
      </c>
    </row>
    <row r="1647" spans="1:17" x14ac:dyDescent="0.3">
      <c r="A1647" t="s">
        <v>17</v>
      </c>
      <c r="B1647" t="str">
        <f>"605169"</f>
        <v>605169</v>
      </c>
      <c r="C1647" t="s">
        <v>3608</v>
      </c>
      <c r="D1647" t="s">
        <v>749</v>
      </c>
      <c r="F1647">
        <v>141776713</v>
      </c>
      <c r="G1647">
        <v>85532907</v>
      </c>
      <c r="H1647">
        <v>114588336</v>
      </c>
      <c r="P1647">
        <v>62</v>
      </c>
      <c r="Q1647" t="s">
        <v>3609</v>
      </c>
    </row>
    <row r="1648" spans="1:17" x14ac:dyDescent="0.3">
      <c r="A1648" t="s">
        <v>17</v>
      </c>
      <c r="B1648" t="str">
        <f>"605177"</f>
        <v>605177</v>
      </c>
      <c r="C1648" t="s">
        <v>3610</v>
      </c>
      <c r="D1648" t="s">
        <v>496</v>
      </c>
      <c r="F1648">
        <v>53352757</v>
      </c>
      <c r="G1648">
        <v>107696472</v>
      </c>
      <c r="H1648">
        <v>130063539</v>
      </c>
      <c r="P1648">
        <v>38</v>
      </c>
      <c r="Q1648" t="s">
        <v>3611</v>
      </c>
    </row>
    <row r="1649" spans="1:17" x14ac:dyDescent="0.3">
      <c r="A1649" t="s">
        <v>17</v>
      </c>
      <c r="B1649" t="str">
        <f>"605178"</f>
        <v>605178</v>
      </c>
      <c r="C1649" t="s">
        <v>3612</v>
      </c>
      <c r="D1649" t="s">
        <v>450</v>
      </c>
      <c r="F1649">
        <v>34465808</v>
      </c>
      <c r="G1649">
        <v>92145321</v>
      </c>
      <c r="H1649">
        <v>125396175</v>
      </c>
      <c r="P1649">
        <v>49</v>
      </c>
      <c r="Q1649" t="s">
        <v>3613</v>
      </c>
    </row>
    <row r="1650" spans="1:17" x14ac:dyDescent="0.3">
      <c r="A1650" t="s">
        <v>17</v>
      </c>
      <c r="B1650" t="str">
        <f>"605179"</f>
        <v>605179</v>
      </c>
      <c r="C1650" t="s">
        <v>3614</v>
      </c>
      <c r="D1650" t="s">
        <v>900</v>
      </c>
      <c r="F1650">
        <v>61539625</v>
      </c>
      <c r="G1650">
        <v>98925474</v>
      </c>
      <c r="H1650">
        <v>123727860</v>
      </c>
      <c r="P1650">
        <v>84</v>
      </c>
      <c r="Q1650" t="s">
        <v>3615</v>
      </c>
    </row>
    <row r="1651" spans="1:17" x14ac:dyDescent="0.3">
      <c r="A1651" t="s">
        <v>17</v>
      </c>
      <c r="B1651" t="str">
        <f>"605180"</f>
        <v>605180</v>
      </c>
      <c r="C1651" t="s">
        <v>3616</v>
      </c>
      <c r="D1651" t="s">
        <v>366</v>
      </c>
      <c r="F1651">
        <v>150419790</v>
      </c>
      <c r="P1651">
        <v>40</v>
      </c>
      <c r="Q1651" t="s">
        <v>3617</v>
      </c>
    </row>
    <row r="1652" spans="1:17" x14ac:dyDescent="0.3">
      <c r="A1652" t="s">
        <v>17</v>
      </c>
      <c r="B1652" t="str">
        <f>"605183"</f>
        <v>605183</v>
      </c>
      <c r="C1652" t="s">
        <v>3618</v>
      </c>
      <c r="D1652" t="s">
        <v>3619</v>
      </c>
      <c r="F1652">
        <v>209796606</v>
      </c>
      <c r="G1652">
        <v>143609283</v>
      </c>
      <c r="H1652">
        <v>202595466</v>
      </c>
      <c r="I1652">
        <v>204787273</v>
      </c>
      <c r="P1652">
        <v>63</v>
      </c>
      <c r="Q1652" t="s">
        <v>3620</v>
      </c>
    </row>
    <row r="1653" spans="1:17" x14ac:dyDescent="0.3">
      <c r="A1653" t="s">
        <v>17</v>
      </c>
      <c r="B1653" t="str">
        <f>"605186"</f>
        <v>605186</v>
      </c>
      <c r="C1653" t="s">
        <v>3621</v>
      </c>
      <c r="D1653" t="s">
        <v>3450</v>
      </c>
      <c r="F1653">
        <v>77811696</v>
      </c>
      <c r="G1653">
        <v>59040696</v>
      </c>
      <c r="H1653">
        <v>39614514</v>
      </c>
      <c r="P1653">
        <v>47</v>
      </c>
      <c r="Q1653" t="s">
        <v>3622</v>
      </c>
    </row>
    <row r="1654" spans="1:17" x14ac:dyDescent="0.3">
      <c r="A1654" t="s">
        <v>17</v>
      </c>
      <c r="B1654" t="str">
        <f>"605188"</f>
        <v>605188</v>
      </c>
      <c r="C1654" t="s">
        <v>3623</v>
      </c>
      <c r="D1654" t="s">
        <v>798</v>
      </c>
      <c r="F1654">
        <v>37163868</v>
      </c>
      <c r="G1654">
        <v>87476372</v>
      </c>
      <c r="H1654">
        <v>98402184</v>
      </c>
      <c r="P1654">
        <v>43</v>
      </c>
      <c r="Q1654" t="s">
        <v>3624</v>
      </c>
    </row>
    <row r="1655" spans="1:17" x14ac:dyDescent="0.3">
      <c r="A1655" t="s">
        <v>17</v>
      </c>
      <c r="B1655" t="str">
        <f>"605189"</f>
        <v>605189</v>
      </c>
      <c r="C1655" t="s">
        <v>3625</v>
      </c>
      <c r="D1655" t="s">
        <v>817</v>
      </c>
      <c r="F1655">
        <v>162372131</v>
      </c>
      <c r="P1655">
        <v>44</v>
      </c>
      <c r="Q1655" t="s">
        <v>3626</v>
      </c>
    </row>
    <row r="1656" spans="1:17" x14ac:dyDescent="0.3">
      <c r="A1656" t="s">
        <v>17</v>
      </c>
      <c r="B1656" t="str">
        <f>"605196"</f>
        <v>605196</v>
      </c>
      <c r="C1656" t="s">
        <v>3627</v>
      </c>
      <c r="D1656" t="s">
        <v>1164</v>
      </c>
      <c r="F1656">
        <v>63567308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"605198"</f>
        <v>605198</v>
      </c>
      <c r="C1657" t="s">
        <v>3629</v>
      </c>
      <c r="D1657" t="s">
        <v>574</v>
      </c>
      <c r="F1657">
        <v>97640018</v>
      </c>
      <c r="G1657">
        <v>118534582</v>
      </c>
      <c r="H1657">
        <v>114998781</v>
      </c>
      <c r="P1657">
        <v>47</v>
      </c>
      <c r="Q1657" t="s">
        <v>3630</v>
      </c>
    </row>
    <row r="1658" spans="1:17" x14ac:dyDescent="0.3">
      <c r="A1658" t="s">
        <v>17</v>
      </c>
      <c r="B1658" t="str">
        <f>"605199"</f>
        <v>605199</v>
      </c>
      <c r="C1658" t="s">
        <v>3631</v>
      </c>
      <c r="D1658" t="s">
        <v>188</v>
      </c>
      <c r="F1658">
        <v>77360592</v>
      </c>
      <c r="G1658">
        <v>75074690</v>
      </c>
      <c r="H1658">
        <v>47350425</v>
      </c>
      <c r="P1658">
        <v>136</v>
      </c>
      <c r="Q1658" t="s">
        <v>3632</v>
      </c>
    </row>
    <row r="1659" spans="1:17" x14ac:dyDescent="0.3">
      <c r="A1659" t="s">
        <v>17</v>
      </c>
      <c r="B1659" t="str">
        <f>"605208"</f>
        <v>605208</v>
      </c>
      <c r="C1659" t="s">
        <v>3633</v>
      </c>
      <c r="D1659" t="s">
        <v>504</v>
      </c>
      <c r="F1659">
        <v>164027185</v>
      </c>
      <c r="G1659">
        <v>129599153</v>
      </c>
      <c r="P1659">
        <v>40</v>
      </c>
      <c r="Q1659" t="s">
        <v>3634</v>
      </c>
    </row>
    <row r="1660" spans="1:17" x14ac:dyDescent="0.3">
      <c r="A1660" t="s">
        <v>17</v>
      </c>
      <c r="B1660" t="str">
        <f>"605218"</f>
        <v>605218</v>
      </c>
      <c r="C1660" t="s">
        <v>3635</v>
      </c>
      <c r="D1660" t="s">
        <v>1117</v>
      </c>
      <c r="F1660">
        <v>40690324</v>
      </c>
      <c r="G1660">
        <v>56814610</v>
      </c>
      <c r="H1660">
        <v>75419141</v>
      </c>
      <c r="P1660">
        <v>56</v>
      </c>
      <c r="Q1660" t="s">
        <v>3636</v>
      </c>
    </row>
    <row r="1661" spans="1:17" x14ac:dyDescent="0.3">
      <c r="A1661" t="s">
        <v>17</v>
      </c>
      <c r="B1661" t="str">
        <f>"605222"</f>
        <v>605222</v>
      </c>
      <c r="C1661" t="s">
        <v>3637</v>
      </c>
      <c r="D1661" t="s">
        <v>1164</v>
      </c>
      <c r="F1661">
        <v>508487990</v>
      </c>
      <c r="G1661">
        <v>307647731</v>
      </c>
      <c r="H1661">
        <v>258537932</v>
      </c>
      <c r="P1661">
        <v>110</v>
      </c>
      <c r="Q1661" t="s">
        <v>3638</v>
      </c>
    </row>
    <row r="1662" spans="1:17" x14ac:dyDescent="0.3">
      <c r="A1662" t="s">
        <v>17</v>
      </c>
      <c r="B1662" t="str">
        <f>"605228"</f>
        <v>605228</v>
      </c>
      <c r="C1662" t="s">
        <v>3639</v>
      </c>
      <c r="D1662" t="s">
        <v>191</v>
      </c>
      <c r="F1662">
        <v>68747523</v>
      </c>
      <c r="G1662">
        <v>83940261</v>
      </c>
      <c r="H1662">
        <v>86647655</v>
      </c>
      <c r="P1662">
        <v>30</v>
      </c>
      <c r="Q1662" t="s">
        <v>3640</v>
      </c>
    </row>
    <row r="1663" spans="1:17" x14ac:dyDescent="0.3">
      <c r="A1663" t="s">
        <v>17</v>
      </c>
      <c r="B1663" t="str">
        <f>"605255"</f>
        <v>605255</v>
      </c>
      <c r="C1663" t="s">
        <v>3641</v>
      </c>
      <c r="D1663" t="s">
        <v>348</v>
      </c>
      <c r="F1663">
        <v>37357267</v>
      </c>
      <c r="G1663">
        <v>36702318</v>
      </c>
      <c r="H1663">
        <v>52660630</v>
      </c>
      <c r="P1663">
        <v>51</v>
      </c>
      <c r="Q1663" t="s">
        <v>3642</v>
      </c>
    </row>
    <row r="1664" spans="1:17" x14ac:dyDescent="0.3">
      <c r="A1664" t="s">
        <v>17</v>
      </c>
      <c r="B1664" t="str">
        <f>"605258"</f>
        <v>605258</v>
      </c>
      <c r="C1664" t="s">
        <v>3643</v>
      </c>
      <c r="D1664" t="s">
        <v>425</v>
      </c>
      <c r="F1664">
        <v>61169373</v>
      </c>
      <c r="G1664">
        <v>62399973</v>
      </c>
      <c r="H1664">
        <v>72028333</v>
      </c>
      <c r="P1664">
        <v>51</v>
      </c>
      <c r="Q1664" t="s">
        <v>3644</v>
      </c>
    </row>
    <row r="1665" spans="1:17" x14ac:dyDescent="0.3">
      <c r="A1665" t="s">
        <v>17</v>
      </c>
      <c r="B1665" t="str">
        <f>"605259"</f>
        <v>605259</v>
      </c>
      <c r="C1665" t="s">
        <v>3645</v>
      </c>
      <c r="D1665" t="s">
        <v>741</v>
      </c>
      <c r="F1665">
        <v>113009409</v>
      </c>
      <c r="P1665">
        <v>17</v>
      </c>
      <c r="Q1665" t="s">
        <v>3646</v>
      </c>
    </row>
    <row r="1666" spans="1:17" x14ac:dyDescent="0.3">
      <c r="A1666" t="s">
        <v>17</v>
      </c>
      <c r="B1666" t="str">
        <f>"605266"</f>
        <v>605266</v>
      </c>
      <c r="C1666" t="s">
        <v>3647</v>
      </c>
      <c r="D1666" t="s">
        <v>1684</v>
      </c>
      <c r="F1666">
        <v>196296651</v>
      </c>
      <c r="G1666">
        <v>171090018</v>
      </c>
      <c r="H1666">
        <v>124047223</v>
      </c>
      <c r="P1666">
        <v>105</v>
      </c>
      <c r="Q1666" t="s">
        <v>3648</v>
      </c>
    </row>
    <row r="1667" spans="1:17" x14ac:dyDescent="0.3">
      <c r="A1667" t="s">
        <v>17</v>
      </c>
      <c r="B1667" t="str">
        <f>"605268"</f>
        <v>605268</v>
      </c>
      <c r="C1667" t="s">
        <v>3649</v>
      </c>
      <c r="D1667" t="s">
        <v>2647</v>
      </c>
      <c r="F1667">
        <v>148344375</v>
      </c>
      <c r="G1667">
        <v>146690624</v>
      </c>
      <c r="H1667">
        <v>129916635</v>
      </c>
      <c r="P1667">
        <v>60</v>
      </c>
      <c r="Q1667" t="s">
        <v>3650</v>
      </c>
    </row>
    <row r="1668" spans="1:17" x14ac:dyDescent="0.3">
      <c r="A1668" t="s">
        <v>17</v>
      </c>
      <c r="B1668" t="str">
        <f>"605277"</f>
        <v>605277</v>
      </c>
      <c r="C1668" t="s">
        <v>3651</v>
      </c>
      <c r="D1668" t="s">
        <v>313</v>
      </c>
      <c r="F1668">
        <v>131776256</v>
      </c>
      <c r="G1668">
        <v>79194292</v>
      </c>
      <c r="H1668">
        <v>70955096</v>
      </c>
      <c r="P1668">
        <v>68</v>
      </c>
      <c r="Q1668" t="s">
        <v>3652</v>
      </c>
    </row>
    <row r="1669" spans="1:17" x14ac:dyDescent="0.3">
      <c r="A1669" t="s">
        <v>17</v>
      </c>
      <c r="B1669" t="str">
        <f>"605286"</f>
        <v>605286</v>
      </c>
      <c r="C1669" t="s">
        <v>3653</v>
      </c>
      <c r="D1669" t="s">
        <v>1689</v>
      </c>
      <c r="F1669">
        <v>115730859</v>
      </c>
      <c r="P1669">
        <v>27</v>
      </c>
      <c r="Q1669" t="s">
        <v>3654</v>
      </c>
    </row>
    <row r="1670" spans="1:17" x14ac:dyDescent="0.3">
      <c r="A1670" t="s">
        <v>17</v>
      </c>
      <c r="B1670" t="str">
        <f>"605287"</f>
        <v>605287</v>
      </c>
      <c r="C1670" t="s">
        <v>3655</v>
      </c>
      <c r="D1670" t="s">
        <v>450</v>
      </c>
      <c r="F1670">
        <v>148929738</v>
      </c>
      <c r="G1670">
        <v>128725343</v>
      </c>
      <c r="P1670">
        <v>21</v>
      </c>
      <c r="Q1670" t="s">
        <v>3656</v>
      </c>
    </row>
    <row r="1671" spans="1:17" x14ac:dyDescent="0.3">
      <c r="A1671" t="s">
        <v>17</v>
      </c>
      <c r="B1671" t="str">
        <f>"605288"</f>
        <v>605288</v>
      </c>
      <c r="C1671" t="s">
        <v>3657</v>
      </c>
      <c r="D1671" t="s">
        <v>2423</v>
      </c>
      <c r="F1671">
        <v>88862007</v>
      </c>
      <c r="G1671">
        <v>105334240</v>
      </c>
      <c r="H1671">
        <v>145801003</v>
      </c>
      <c r="P1671">
        <v>86</v>
      </c>
      <c r="Q1671" t="s">
        <v>3658</v>
      </c>
    </row>
    <row r="1672" spans="1:17" x14ac:dyDescent="0.3">
      <c r="A1672" t="s">
        <v>17</v>
      </c>
      <c r="B1672" t="str">
        <f>"605289"</f>
        <v>605289</v>
      </c>
      <c r="C1672" t="s">
        <v>3659</v>
      </c>
      <c r="D1672" t="s">
        <v>1986</v>
      </c>
      <c r="F1672">
        <v>73698653</v>
      </c>
      <c r="G1672">
        <v>54728981</v>
      </c>
      <c r="P1672">
        <v>29</v>
      </c>
      <c r="Q1672" t="s">
        <v>3660</v>
      </c>
    </row>
    <row r="1673" spans="1:17" x14ac:dyDescent="0.3">
      <c r="A1673" t="s">
        <v>17</v>
      </c>
      <c r="B1673" t="str">
        <f>"605296"</f>
        <v>605296</v>
      </c>
      <c r="C1673" t="s">
        <v>3661</v>
      </c>
      <c r="D1673" t="s">
        <v>1894</v>
      </c>
      <c r="F1673">
        <v>228883305</v>
      </c>
      <c r="P1673">
        <v>59</v>
      </c>
      <c r="Q1673" t="s">
        <v>3662</v>
      </c>
    </row>
    <row r="1674" spans="1:17" x14ac:dyDescent="0.3">
      <c r="A1674" t="s">
        <v>17</v>
      </c>
      <c r="B1674" t="str">
        <f>"605298"</f>
        <v>605298</v>
      </c>
      <c r="C1674" t="s">
        <v>3663</v>
      </c>
      <c r="D1674" t="s">
        <v>1012</v>
      </c>
      <c r="F1674">
        <v>57607212</v>
      </c>
      <c r="G1674">
        <v>64090944</v>
      </c>
      <c r="P1674">
        <v>46</v>
      </c>
      <c r="Q1674" t="s">
        <v>3664</v>
      </c>
    </row>
    <row r="1675" spans="1:17" x14ac:dyDescent="0.3">
      <c r="A1675" t="s">
        <v>17</v>
      </c>
      <c r="B1675" t="str">
        <f>"605299"</f>
        <v>605299</v>
      </c>
      <c r="C1675" t="s">
        <v>3665</v>
      </c>
      <c r="D1675" t="s">
        <v>2904</v>
      </c>
      <c r="F1675">
        <v>77958021</v>
      </c>
      <c r="G1675">
        <v>74330374</v>
      </c>
      <c r="H1675">
        <v>74662898</v>
      </c>
      <c r="P1675">
        <v>58</v>
      </c>
      <c r="Q1675" t="s">
        <v>3666</v>
      </c>
    </row>
    <row r="1676" spans="1:17" x14ac:dyDescent="0.3">
      <c r="A1676" t="s">
        <v>17</v>
      </c>
      <c r="B1676" t="str">
        <f>"605300"</f>
        <v>605300</v>
      </c>
      <c r="C1676" t="s">
        <v>3667</v>
      </c>
      <c r="D1676" t="s">
        <v>900</v>
      </c>
      <c r="F1676">
        <v>110529004</v>
      </c>
      <c r="G1676">
        <v>142265005</v>
      </c>
      <c r="P1676">
        <v>56</v>
      </c>
      <c r="Q1676" t="s">
        <v>3668</v>
      </c>
    </row>
    <row r="1677" spans="1:17" x14ac:dyDescent="0.3">
      <c r="A1677" t="s">
        <v>17</v>
      </c>
      <c r="B1677" t="str">
        <f>"605303"</f>
        <v>605303</v>
      </c>
      <c r="C1677" t="s">
        <v>3669</v>
      </c>
      <c r="D1677" t="s">
        <v>2408</v>
      </c>
      <c r="F1677">
        <v>16417065</v>
      </c>
      <c r="G1677">
        <v>74173672</v>
      </c>
      <c r="H1677">
        <v>96475771</v>
      </c>
      <c r="P1677">
        <v>28</v>
      </c>
      <c r="Q1677" t="s">
        <v>3670</v>
      </c>
    </row>
    <row r="1678" spans="1:17" x14ac:dyDescent="0.3">
      <c r="A1678" t="s">
        <v>17</v>
      </c>
      <c r="B1678" t="str">
        <f>"605305"</f>
        <v>605305</v>
      </c>
      <c r="C1678" t="s">
        <v>3671</v>
      </c>
      <c r="D1678" t="s">
        <v>83</v>
      </c>
      <c r="F1678">
        <v>180416066</v>
      </c>
      <c r="G1678">
        <v>144238669</v>
      </c>
      <c r="P1678">
        <v>81</v>
      </c>
      <c r="Q1678" t="s">
        <v>3672</v>
      </c>
    </row>
    <row r="1679" spans="1:17" x14ac:dyDescent="0.3">
      <c r="A1679" t="s">
        <v>17</v>
      </c>
      <c r="B1679" t="str">
        <f>"605318"</f>
        <v>605318</v>
      </c>
      <c r="C1679" t="s">
        <v>3673</v>
      </c>
      <c r="D1679" t="s">
        <v>722</v>
      </c>
      <c r="F1679">
        <v>40377193</v>
      </c>
      <c r="G1679">
        <v>29690648</v>
      </c>
      <c r="H1679">
        <v>34250992</v>
      </c>
      <c r="P1679">
        <v>58</v>
      </c>
      <c r="Q1679" t="s">
        <v>3674</v>
      </c>
    </row>
    <row r="1680" spans="1:17" x14ac:dyDescent="0.3">
      <c r="A1680" t="s">
        <v>17</v>
      </c>
      <c r="B1680" t="str">
        <f>"605319"</f>
        <v>605319</v>
      </c>
      <c r="C1680" t="s">
        <v>3675</v>
      </c>
      <c r="D1680" t="s">
        <v>985</v>
      </c>
      <c r="F1680">
        <v>63399273</v>
      </c>
      <c r="P1680">
        <v>22</v>
      </c>
      <c r="Q1680" t="s">
        <v>3676</v>
      </c>
    </row>
    <row r="1681" spans="1:17" x14ac:dyDescent="0.3">
      <c r="A1681" t="s">
        <v>17</v>
      </c>
      <c r="B1681" t="str">
        <f>"605333"</f>
        <v>605333</v>
      </c>
      <c r="C1681" t="s">
        <v>3677</v>
      </c>
      <c r="D1681" t="s">
        <v>1415</v>
      </c>
      <c r="F1681">
        <v>45352350</v>
      </c>
      <c r="G1681">
        <v>43827865</v>
      </c>
      <c r="H1681">
        <v>57757535</v>
      </c>
      <c r="P1681">
        <v>85</v>
      </c>
      <c r="Q1681" t="s">
        <v>3678</v>
      </c>
    </row>
    <row r="1682" spans="1:17" x14ac:dyDescent="0.3">
      <c r="A1682" t="s">
        <v>17</v>
      </c>
      <c r="B1682" t="str">
        <f>"605336"</f>
        <v>605336</v>
      </c>
      <c r="C1682" t="s">
        <v>3679</v>
      </c>
      <c r="D1682" t="s">
        <v>3680</v>
      </c>
      <c r="F1682">
        <v>183992436</v>
      </c>
      <c r="G1682">
        <v>124807919</v>
      </c>
      <c r="H1682">
        <v>107893098</v>
      </c>
      <c r="P1682">
        <v>141</v>
      </c>
      <c r="Q1682" t="s">
        <v>3681</v>
      </c>
    </row>
    <row r="1683" spans="1:17" x14ac:dyDescent="0.3">
      <c r="A1683" t="s">
        <v>17</v>
      </c>
      <c r="B1683" t="str">
        <f>"605337"</f>
        <v>605337</v>
      </c>
      <c r="C1683" t="s">
        <v>3682</v>
      </c>
      <c r="D1683" t="s">
        <v>440</v>
      </c>
      <c r="F1683">
        <v>194972458</v>
      </c>
      <c r="G1683">
        <v>143971389</v>
      </c>
      <c r="H1683">
        <v>119667797</v>
      </c>
      <c r="P1683">
        <v>146</v>
      </c>
      <c r="Q1683" t="s">
        <v>3683</v>
      </c>
    </row>
    <row r="1684" spans="1:17" x14ac:dyDescent="0.3">
      <c r="A1684" t="s">
        <v>17</v>
      </c>
      <c r="B1684" t="str">
        <f>"605338"</f>
        <v>605338</v>
      </c>
      <c r="C1684" t="s">
        <v>3684</v>
      </c>
      <c r="D1684" t="s">
        <v>2838</v>
      </c>
      <c r="F1684">
        <v>225871337</v>
      </c>
      <c r="G1684">
        <v>102997013</v>
      </c>
      <c r="H1684">
        <v>112668617</v>
      </c>
      <c r="P1684">
        <v>198</v>
      </c>
      <c r="Q1684" t="s">
        <v>3685</v>
      </c>
    </row>
    <row r="1685" spans="1:17" x14ac:dyDescent="0.3">
      <c r="A1685" t="s">
        <v>17</v>
      </c>
      <c r="B1685" t="str">
        <f>"605339"</f>
        <v>605339</v>
      </c>
      <c r="C1685" t="s">
        <v>3686</v>
      </c>
      <c r="D1685" t="s">
        <v>2479</v>
      </c>
      <c r="F1685">
        <v>273758391</v>
      </c>
      <c r="P1685">
        <v>66</v>
      </c>
      <c r="Q1685" t="s">
        <v>3687</v>
      </c>
    </row>
    <row r="1686" spans="1:17" x14ac:dyDescent="0.3">
      <c r="A1686" t="s">
        <v>17</v>
      </c>
      <c r="B1686" t="str">
        <f>"605358"</f>
        <v>605358</v>
      </c>
      <c r="C1686" t="s">
        <v>3688</v>
      </c>
      <c r="D1686" t="s">
        <v>475</v>
      </c>
      <c r="F1686">
        <v>404235971</v>
      </c>
      <c r="G1686">
        <v>130859270</v>
      </c>
      <c r="H1686">
        <v>109593337</v>
      </c>
      <c r="P1686">
        <v>289</v>
      </c>
      <c r="Q1686" t="s">
        <v>3689</v>
      </c>
    </row>
    <row r="1687" spans="1:17" x14ac:dyDescent="0.3">
      <c r="A1687" t="s">
        <v>17</v>
      </c>
      <c r="B1687" t="str">
        <f>"605365"</f>
        <v>605365</v>
      </c>
      <c r="C1687" t="s">
        <v>3690</v>
      </c>
      <c r="D1687" t="s">
        <v>598</v>
      </c>
      <c r="F1687">
        <v>292196255</v>
      </c>
      <c r="G1687">
        <v>388523222</v>
      </c>
      <c r="P1687">
        <v>28</v>
      </c>
      <c r="Q1687" t="s">
        <v>3691</v>
      </c>
    </row>
    <row r="1688" spans="1:17" x14ac:dyDescent="0.3">
      <c r="A1688" t="s">
        <v>17</v>
      </c>
      <c r="B1688" t="str">
        <f>"605366"</f>
        <v>605366</v>
      </c>
      <c r="C1688" t="s">
        <v>3692</v>
      </c>
      <c r="D1688" t="s">
        <v>386</v>
      </c>
      <c r="F1688">
        <v>87475765</v>
      </c>
      <c r="G1688">
        <v>97690767</v>
      </c>
      <c r="H1688">
        <v>114939127</v>
      </c>
      <c r="P1688">
        <v>59</v>
      </c>
      <c r="Q1688" t="s">
        <v>3693</v>
      </c>
    </row>
    <row r="1689" spans="1:17" x14ac:dyDescent="0.3">
      <c r="A1689" t="s">
        <v>17</v>
      </c>
      <c r="B1689" t="str">
        <f>"605368"</f>
        <v>605368</v>
      </c>
      <c r="C1689" t="s">
        <v>3694</v>
      </c>
      <c r="D1689" t="s">
        <v>749</v>
      </c>
      <c r="F1689">
        <v>300643245</v>
      </c>
      <c r="G1689">
        <v>236591279</v>
      </c>
      <c r="H1689">
        <v>247229415</v>
      </c>
      <c r="I1689">
        <v>177485286</v>
      </c>
      <c r="P1689">
        <v>60</v>
      </c>
      <c r="Q1689" t="s">
        <v>3695</v>
      </c>
    </row>
    <row r="1690" spans="1:17" x14ac:dyDescent="0.3">
      <c r="A1690" t="s">
        <v>17</v>
      </c>
      <c r="B1690" t="str">
        <f>"605369"</f>
        <v>605369</v>
      </c>
      <c r="C1690" t="s">
        <v>3696</v>
      </c>
      <c r="D1690" t="s">
        <v>1077</v>
      </c>
      <c r="F1690">
        <v>251950656</v>
      </c>
      <c r="G1690">
        <v>158970853</v>
      </c>
      <c r="H1690">
        <v>82019751</v>
      </c>
      <c r="P1690">
        <v>177</v>
      </c>
      <c r="Q1690" t="s">
        <v>3697</v>
      </c>
    </row>
    <row r="1691" spans="1:17" x14ac:dyDescent="0.3">
      <c r="A1691" t="s">
        <v>17</v>
      </c>
      <c r="B1691" t="str">
        <f>"605376"</f>
        <v>605376</v>
      </c>
      <c r="C1691" t="s">
        <v>3698</v>
      </c>
      <c r="D1691" t="s">
        <v>636</v>
      </c>
      <c r="F1691">
        <v>177271331</v>
      </c>
      <c r="G1691">
        <v>115658064</v>
      </c>
      <c r="H1691">
        <v>100372226</v>
      </c>
      <c r="P1691">
        <v>110</v>
      </c>
      <c r="Q1691" t="s">
        <v>3699</v>
      </c>
    </row>
    <row r="1692" spans="1:17" x14ac:dyDescent="0.3">
      <c r="A1692" t="s">
        <v>17</v>
      </c>
      <c r="B1692" t="str">
        <f>"605377"</f>
        <v>605377</v>
      </c>
      <c r="C1692" t="s">
        <v>3700</v>
      </c>
      <c r="D1692" t="s">
        <v>244</v>
      </c>
      <c r="F1692">
        <v>319974587</v>
      </c>
      <c r="G1692">
        <v>172812155</v>
      </c>
      <c r="H1692">
        <v>111398480</v>
      </c>
      <c r="P1692">
        <v>59</v>
      </c>
      <c r="Q1692" t="s">
        <v>3701</v>
      </c>
    </row>
    <row r="1693" spans="1:17" x14ac:dyDescent="0.3">
      <c r="A1693" t="s">
        <v>17</v>
      </c>
      <c r="B1693" t="str">
        <f>"605378"</f>
        <v>605378</v>
      </c>
      <c r="C1693" t="s">
        <v>3702</v>
      </c>
      <c r="D1693" t="s">
        <v>555</v>
      </c>
      <c r="F1693">
        <v>64811153</v>
      </c>
      <c r="G1693">
        <v>89528263</v>
      </c>
      <c r="P1693">
        <v>32</v>
      </c>
      <c r="Q1693" t="s">
        <v>3703</v>
      </c>
    </row>
    <row r="1694" spans="1:17" x14ac:dyDescent="0.3">
      <c r="A1694" t="s">
        <v>17</v>
      </c>
      <c r="B1694" t="str">
        <f>"605388"</f>
        <v>605388</v>
      </c>
      <c r="C1694" t="s">
        <v>3704</v>
      </c>
      <c r="D1694" t="s">
        <v>900</v>
      </c>
      <c r="F1694">
        <v>144013525</v>
      </c>
      <c r="G1694">
        <v>197380810</v>
      </c>
      <c r="H1694">
        <v>298359830</v>
      </c>
      <c r="P1694">
        <v>103</v>
      </c>
      <c r="Q1694" t="s">
        <v>3705</v>
      </c>
    </row>
    <row r="1695" spans="1:17" x14ac:dyDescent="0.3">
      <c r="A1695" t="s">
        <v>17</v>
      </c>
      <c r="B1695" t="str">
        <f>"605389"</f>
        <v>605389</v>
      </c>
      <c r="C1695" t="s">
        <v>3706</v>
      </c>
      <c r="D1695" t="s">
        <v>2001</v>
      </c>
      <c r="F1695">
        <v>157691116</v>
      </c>
      <c r="G1695">
        <v>170578179</v>
      </c>
      <c r="P1695">
        <v>64</v>
      </c>
      <c r="Q1695" t="s">
        <v>3707</v>
      </c>
    </row>
    <row r="1696" spans="1:17" x14ac:dyDescent="0.3">
      <c r="A1696" t="s">
        <v>17</v>
      </c>
      <c r="B1696" t="str">
        <f>"605398"</f>
        <v>605398</v>
      </c>
      <c r="C1696" t="s">
        <v>3708</v>
      </c>
      <c r="D1696" t="s">
        <v>316</v>
      </c>
      <c r="F1696">
        <v>38378226</v>
      </c>
      <c r="G1696">
        <v>56889627</v>
      </c>
      <c r="H1696">
        <v>50180000</v>
      </c>
      <c r="P1696">
        <v>39</v>
      </c>
      <c r="Q1696" t="s">
        <v>3709</v>
      </c>
    </row>
    <row r="1697" spans="1:17" x14ac:dyDescent="0.3">
      <c r="A1697" t="s">
        <v>17</v>
      </c>
      <c r="B1697" t="str">
        <f>"605399"</f>
        <v>605399</v>
      </c>
      <c r="C1697" t="s">
        <v>3710</v>
      </c>
      <c r="D1697" t="s">
        <v>1205</v>
      </c>
      <c r="F1697">
        <v>299716570</v>
      </c>
      <c r="G1697">
        <v>75781685</v>
      </c>
      <c r="H1697">
        <v>77730142</v>
      </c>
      <c r="P1697">
        <v>126</v>
      </c>
      <c r="Q1697" t="s">
        <v>3711</v>
      </c>
    </row>
    <row r="1698" spans="1:17" x14ac:dyDescent="0.3">
      <c r="A1698" t="s">
        <v>17</v>
      </c>
      <c r="B1698" t="str">
        <f>"605488"</f>
        <v>605488</v>
      </c>
      <c r="C1698" t="s">
        <v>3712</v>
      </c>
      <c r="D1698" t="s">
        <v>1192</v>
      </c>
      <c r="F1698">
        <v>109014570</v>
      </c>
      <c r="P1698">
        <v>28</v>
      </c>
      <c r="Q1698" t="s">
        <v>3713</v>
      </c>
    </row>
    <row r="1699" spans="1:17" x14ac:dyDescent="0.3">
      <c r="A1699" t="s">
        <v>17</v>
      </c>
      <c r="B1699" t="str">
        <f>"605499"</f>
        <v>605499</v>
      </c>
      <c r="C1699" t="s">
        <v>3714</v>
      </c>
      <c r="D1699" t="s">
        <v>440</v>
      </c>
      <c r="F1699">
        <v>996033949</v>
      </c>
      <c r="P1699">
        <v>282</v>
      </c>
      <c r="Q1699" t="s">
        <v>3715</v>
      </c>
    </row>
    <row r="1700" spans="1:17" x14ac:dyDescent="0.3">
      <c r="A1700" t="s">
        <v>17</v>
      </c>
      <c r="B1700" t="str">
        <f>"605500"</f>
        <v>605500</v>
      </c>
      <c r="C1700" t="s">
        <v>3716</v>
      </c>
      <c r="D1700" t="s">
        <v>694</v>
      </c>
      <c r="F1700">
        <v>190947080</v>
      </c>
      <c r="G1700">
        <v>118441700</v>
      </c>
      <c r="P1700">
        <v>37</v>
      </c>
      <c r="Q1700" t="s">
        <v>3717</v>
      </c>
    </row>
    <row r="1701" spans="1:17" x14ac:dyDescent="0.3">
      <c r="A1701" t="s">
        <v>17</v>
      </c>
      <c r="B1701" t="str">
        <f>"605507"</f>
        <v>605507</v>
      </c>
      <c r="C1701" t="s">
        <v>3718</v>
      </c>
      <c r="D1701" t="s">
        <v>496</v>
      </c>
      <c r="F1701">
        <v>521083616</v>
      </c>
      <c r="G1701">
        <v>637255433</v>
      </c>
      <c r="P1701">
        <v>25</v>
      </c>
      <c r="Q1701" t="s">
        <v>3719</v>
      </c>
    </row>
    <row r="1702" spans="1:17" x14ac:dyDescent="0.3">
      <c r="A1702" t="s">
        <v>17</v>
      </c>
      <c r="B1702" t="str">
        <f>"605555"</f>
        <v>605555</v>
      </c>
      <c r="C1702" t="s">
        <v>3720</v>
      </c>
      <c r="D1702" t="s">
        <v>2697</v>
      </c>
      <c r="F1702">
        <v>219620732</v>
      </c>
      <c r="P1702">
        <v>34</v>
      </c>
      <c r="Q1702" t="s">
        <v>3721</v>
      </c>
    </row>
    <row r="1703" spans="1:17" x14ac:dyDescent="0.3">
      <c r="A1703" t="s">
        <v>17</v>
      </c>
      <c r="B1703" t="str">
        <f>"605566"</f>
        <v>605566</v>
      </c>
      <c r="C1703" t="s">
        <v>3722</v>
      </c>
      <c r="D1703" t="s">
        <v>779</v>
      </c>
      <c r="F1703">
        <v>141960713</v>
      </c>
      <c r="P1703">
        <v>22</v>
      </c>
      <c r="Q1703" t="s">
        <v>3723</v>
      </c>
    </row>
    <row r="1704" spans="1:17" x14ac:dyDescent="0.3">
      <c r="A1704" t="s">
        <v>17</v>
      </c>
      <c r="B1704" t="str">
        <f>"605567"</f>
        <v>605567</v>
      </c>
      <c r="C1704" t="s">
        <v>3724</v>
      </c>
      <c r="D1704" t="s">
        <v>2838</v>
      </c>
      <c r="F1704">
        <v>68228604</v>
      </c>
      <c r="G1704">
        <v>127963080</v>
      </c>
      <c r="P1704">
        <v>32</v>
      </c>
      <c r="Q1704" t="s">
        <v>3725</v>
      </c>
    </row>
    <row r="1705" spans="1:17" x14ac:dyDescent="0.3">
      <c r="A1705" t="s">
        <v>17</v>
      </c>
      <c r="B1705" t="str">
        <f>"605577"</f>
        <v>605577</v>
      </c>
      <c r="C1705" t="s">
        <v>3726</v>
      </c>
      <c r="D1705" t="s">
        <v>1536</v>
      </c>
      <c r="F1705">
        <v>260233203</v>
      </c>
      <c r="G1705">
        <v>227624232</v>
      </c>
      <c r="P1705">
        <v>19</v>
      </c>
      <c r="Q1705" t="s">
        <v>3727</v>
      </c>
    </row>
    <row r="1706" spans="1:17" x14ac:dyDescent="0.3">
      <c r="A1706" t="s">
        <v>17</v>
      </c>
      <c r="B1706" t="str">
        <f>"605580"</f>
        <v>605580</v>
      </c>
      <c r="C1706" t="s">
        <v>3728</v>
      </c>
      <c r="D1706" t="s">
        <v>351</v>
      </c>
      <c r="F1706">
        <v>89918720</v>
      </c>
      <c r="P1706">
        <v>30</v>
      </c>
      <c r="Q1706" t="s">
        <v>3729</v>
      </c>
    </row>
    <row r="1707" spans="1:17" x14ac:dyDescent="0.3">
      <c r="A1707" t="s">
        <v>17</v>
      </c>
      <c r="B1707" t="str">
        <f>"605588"</f>
        <v>605588</v>
      </c>
      <c r="C1707" t="s">
        <v>3730</v>
      </c>
      <c r="D1707" t="s">
        <v>164</v>
      </c>
      <c r="F1707">
        <v>67192528</v>
      </c>
      <c r="G1707">
        <v>62036534</v>
      </c>
      <c r="P1707">
        <v>16</v>
      </c>
      <c r="Q1707" t="s">
        <v>3731</v>
      </c>
    </row>
    <row r="1708" spans="1:17" x14ac:dyDescent="0.3">
      <c r="A1708" t="s">
        <v>17</v>
      </c>
      <c r="B1708" t="str">
        <f>"605589"</f>
        <v>605589</v>
      </c>
      <c r="C1708" t="s">
        <v>3732</v>
      </c>
      <c r="D1708" t="s">
        <v>3350</v>
      </c>
      <c r="F1708">
        <v>526050907</v>
      </c>
      <c r="G1708">
        <v>657744027</v>
      </c>
      <c r="P1708">
        <v>40</v>
      </c>
      <c r="Q1708" t="s">
        <v>3733</v>
      </c>
    </row>
    <row r="1709" spans="1:17" x14ac:dyDescent="0.3">
      <c r="A1709" t="s">
        <v>17</v>
      </c>
      <c r="B1709" t="str">
        <f>"605598"</f>
        <v>605598</v>
      </c>
      <c r="C1709" t="s">
        <v>3734</v>
      </c>
      <c r="D1709" t="s">
        <v>1986</v>
      </c>
      <c r="F1709">
        <v>66963210</v>
      </c>
      <c r="P1709">
        <v>18</v>
      </c>
      <c r="Q1709" t="s">
        <v>3735</v>
      </c>
    </row>
    <row r="1710" spans="1:17" x14ac:dyDescent="0.3">
      <c r="A1710" t="s">
        <v>17</v>
      </c>
      <c r="B1710" t="str">
        <f>"605599"</f>
        <v>605599</v>
      </c>
      <c r="C1710" t="s">
        <v>3736</v>
      </c>
      <c r="D1710" t="s">
        <v>1238</v>
      </c>
      <c r="F1710">
        <v>265962085</v>
      </c>
      <c r="G1710">
        <v>262952135</v>
      </c>
      <c r="P1710">
        <v>21</v>
      </c>
      <c r="Q1710" t="s">
        <v>3737</v>
      </c>
    </row>
    <row r="1711" spans="1:17" x14ac:dyDescent="0.3">
      <c r="A1711" t="s">
        <v>17</v>
      </c>
      <c r="B1711" t="str">
        <f>"688001"</f>
        <v>688001</v>
      </c>
      <c r="C1711" t="s">
        <v>3738</v>
      </c>
      <c r="D1711" t="s">
        <v>2551</v>
      </c>
      <c r="F1711">
        <v>270895137</v>
      </c>
      <c r="G1711">
        <v>227029814</v>
      </c>
      <c r="H1711">
        <v>183483348</v>
      </c>
      <c r="I1711">
        <v>201003261</v>
      </c>
      <c r="P1711">
        <v>169</v>
      </c>
      <c r="Q1711" t="s">
        <v>3739</v>
      </c>
    </row>
    <row r="1712" spans="1:17" x14ac:dyDescent="0.3">
      <c r="A1712" t="s">
        <v>17</v>
      </c>
      <c r="B1712" t="str">
        <f>"688002"</f>
        <v>688002</v>
      </c>
      <c r="C1712" t="s">
        <v>3740</v>
      </c>
      <c r="D1712" t="s">
        <v>1136</v>
      </c>
      <c r="F1712">
        <v>423682307</v>
      </c>
      <c r="G1712">
        <v>464775050</v>
      </c>
      <c r="H1712">
        <v>101163066</v>
      </c>
      <c r="I1712">
        <v>41560812</v>
      </c>
      <c r="P1712">
        <v>407</v>
      </c>
      <c r="Q1712" t="s">
        <v>3741</v>
      </c>
    </row>
    <row r="1713" spans="1:17" x14ac:dyDescent="0.3">
      <c r="A1713" t="s">
        <v>17</v>
      </c>
      <c r="B1713" t="str">
        <f>"688003"</f>
        <v>688003</v>
      </c>
      <c r="C1713" t="s">
        <v>3742</v>
      </c>
      <c r="D1713" t="s">
        <v>3450</v>
      </c>
      <c r="F1713">
        <v>21984927</v>
      </c>
      <c r="G1713">
        <v>17783433</v>
      </c>
      <c r="H1713">
        <v>15418097</v>
      </c>
      <c r="I1713">
        <v>77554485</v>
      </c>
      <c r="P1713">
        <v>141</v>
      </c>
      <c r="Q1713" t="s">
        <v>3743</v>
      </c>
    </row>
    <row r="1714" spans="1:17" x14ac:dyDescent="0.3">
      <c r="A1714" t="s">
        <v>17</v>
      </c>
      <c r="B1714" t="str">
        <f>"688004"</f>
        <v>688004</v>
      </c>
      <c r="C1714" t="s">
        <v>3744</v>
      </c>
      <c r="D1714" t="s">
        <v>316</v>
      </c>
      <c r="F1714">
        <v>16518223</v>
      </c>
      <c r="G1714">
        <v>16074539</v>
      </c>
      <c r="H1714">
        <v>11738194</v>
      </c>
      <c r="P1714">
        <v>37</v>
      </c>
      <c r="Q1714" t="s">
        <v>3745</v>
      </c>
    </row>
    <row r="1715" spans="1:17" x14ac:dyDescent="0.3">
      <c r="A1715" t="s">
        <v>17</v>
      </c>
      <c r="B1715" t="str">
        <f>"688005"</f>
        <v>688005</v>
      </c>
      <c r="C1715" t="s">
        <v>3746</v>
      </c>
      <c r="D1715" t="s">
        <v>1786</v>
      </c>
      <c r="F1715">
        <v>548743746</v>
      </c>
      <c r="G1715">
        <v>113481098</v>
      </c>
      <c r="H1715">
        <v>159139599</v>
      </c>
      <c r="I1715">
        <v>155141032</v>
      </c>
      <c r="P1715">
        <v>318</v>
      </c>
      <c r="Q1715" t="s">
        <v>3747</v>
      </c>
    </row>
    <row r="1716" spans="1:17" x14ac:dyDescent="0.3">
      <c r="A1716" t="s">
        <v>17</v>
      </c>
      <c r="B1716" t="str">
        <f>"688006"</f>
        <v>688006</v>
      </c>
      <c r="C1716" t="s">
        <v>3748</v>
      </c>
      <c r="D1716" t="s">
        <v>3749</v>
      </c>
      <c r="F1716">
        <v>238062823</v>
      </c>
      <c r="G1716">
        <v>307693835</v>
      </c>
      <c r="H1716">
        <v>285354441</v>
      </c>
      <c r="I1716">
        <v>249622745</v>
      </c>
      <c r="P1716">
        <v>255</v>
      </c>
      <c r="Q1716" t="s">
        <v>3750</v>
      </c>
    </row>
    <row r="1717" spans="1:17" x14ac:dyDescent="0.3">
      <c r="A1717" t="s">
        <v>17</v>
      </c>
      <c r="B1717" t="str">
        <f>"688007"</f>
        <v>688007</v>
      </c>
      <c r="C1717" t="s">
        <v>3751</v>
      </c>
      <c r="D1717" t="s">
        <v>3499</v>
      </c>
      <c r="F1717">
        <v>211350741</v>
      </c>
      <c r="G1717">
        <v>44138225</v>
      </c>
      <c r="H1717">
        <v>124130427</v>
      </c>
      <c r="I1717">
        <v>109886258</v>
      </c>
      <c r="P1717">
        <v>123</v>
      </c>
      <c r="Q1717" t="s">
        <v>3752</v>
      </c>
    </row>
    <row r="1718" spans="1:17" x14ac:dyDescent="0.3">
      <c r="A1718" t="s">
        <v>17</v>
      </c>
      <c r="B1718" t="str">
        <f>"688008"</f>
        <v>688008</v>
      </c>
      <c r="C1718" t="s">
        <v>3753</v>
      </c>
      <c r="D1718" t="s">
        <v>461</v>
      </c>
      <c r="F1718">
        <v>512449943</v>
      </c>
      <c r="G1718">
        <v>877768412</v>
      </c>
      <c r="H1718">
        <v>743509898</v>
      </c>
      <c r="I1718">
        <v>563319795</v>
      </c>
      <c r="P1718">
        <v>522</v>
      </c>
      <c r="Q1718" t="s">
        <v>3754</v>
      </c>
    </row>
    <row r="1719" spans="1:17" x14ac:dyDescent="0.3">
      <c r="A1719" t="s">
        <v>17</v>
      </c>
      <c r="B1719" t="str">
        <f>"688009"</f>
        <v>688009</v>
      </c>
      <c r="C1719" t="s">
        <v>3755</v>
      </c>
      <c r="D1719" t="s">
        <v>1012</v>
      </c>
      <c r="F1719">
        <v>2409215856</v>
      </c>
      <c r="G1719">
        <v>2652145210</v>
      </c>
      <c r="H1719">
        <v>2812283040</v>
      </c>
      <c r="I1719">
        <v>2440712643</v>
      </c>
      <c r="P1719">
        <v>201</v>
      </c>
      <c r="Q1719" t="s">
        <v>3756</v>
      </c>
    </row>
    <row r="1720" spans="1:17" x14ac:dyDescent="0.3">
      <c r="A1720" t="s">
        <v>17</v>
      </c>
      <c r="B1720" t="str">
        <f>"688010"</f>
        <v>688010</v>
      </c>
      <c r="C1720" t="s">
        <v>3757</v>
      </c>
      <c r="D1720" t="s">
        <v>164</v>
      </c>
      <c r="F1720">
        <v>31991003</v>
      </c>
      <c r="G1720">
        <v>35036399</v>
      </c>
      <c r="H1720">
        <v>52894509</v>
      </c>
      <c r="I1720">
        <v>57571305</v>
      </c>
      <c r="P1720">
        <v>125</v>
      </c>
      <c r="Q1720" t="s">
        <v>3758</v>
      </c>
    </row>
    <row r="1721" spans="1:17" x14ac:dyDescent="0.3">
      <c r="A1721" t="s">
        <v>17</v>
      </c>
      <c r="B1721" t="str">
        <f>"688011"</f>
        <v>688011</v>
      </c>
      <c r="C1721" t="s">
        <v>3759</v>
      </c>
      <c r="D1721" t="s">
        <v>1136</v>
      </c>
      <c r="F1721">
        <v>3229109</v>
      </c>
      <c r="G1721">
        <v>10027209</v>
      </c>
      <c r="H1721">
        <v>14534102</v>
      </c>
      <c r="I1721">
        <v>30943499</v>
      </c>
      <c r="P1721">
        <v>88</v>
      </c>
      <c r="Q1721" t="s">
        <v>3760</v>
      </c>
    </row>
    <row r="1722" spans="1:17" x14ac:dyDescent="0.3">
      <c r="A1722" t="s">
        <v>17</v>
      </c>
      <c r="B1722" t="str">
        <f>"688012"</f>
        <v>688012</v>
      </c>
      <c r="C1722" t="s">
        <v>3761</v>
      </c>
      <c r="D1722" t="s">
        <v>3160</v>
      </c>
      <c r="F1722">
        <v>541855083</v>
      </c>
      <c r="G1722">
        <v>276934245</v>
      </c>
      <c r="H1722">
        <v>134915784</v>
      </c>
      <c r="I1722">
        <v>27029886</v>
      </c>
      <c r="P1722">
        <v>620</v>
      </c>
      <c r="Q1722" t="s">
        <v>3762</v>
      </c>
    </row>
    <row r="1723" spans="1:17" x14ac:dyDescent="0.3">
      <c r="A1723" t="s">
        <v>17</v>
      </c>
      <c r="B1723" t="str">
        <f>"688013"</f>
        <v>688013</v>
      </c>
      <c r="C1723" t="s">
        <v>3763</v>
      </c>
      <c r="D1723" t="s">
        <v>1077</v>
      </c>
      <c r="F1723">
        <v>36349566</v>
      </c>
      <c r="G1723">
        <v>26072007</v>
      </c>
      <c r="H1723">
        <v>34608944</v>
      </c>
      <c r="P1723">
        <v>64</v>
      </c>
      <c r="Q1723" t="s">
        <v>3764</v>
      </c>
    </row>
    <row r="1724" spans="1:17" x14ac:dyDescent="0.3">
      <c r="A1724" t="s">
        <v>17</v>
      </c>
      <c r="B1724" t="str">
        <f>"688015"</f>
        <v>688015</v>
      </c>
      <c r="C1724" t="s">
        <v>3765</v>
      </c>
      <c r="D1724" t="s">
        <v>1012</v>
      </c>
      <c r="F1724">
        <v>181609915</v>
      </c>
      <c r="G1724">
        <v>128255171</v>
      </c>
      <c r="H1724">
        <v>47336548</v>
      </c>
      <c r="I1724">
        <v>11128313</v>
      </c>
      <c r="P1724">
        <v>278</v>
      </c>
      <c r="Q1724" t="s">
        <v>3766</v>
      </c>
    </row>
    <row r="1725" spans="1:17" x14ac:dyDescent="0.3">
      <c r="A1725" t="s">
        <v>17</v>
      </c>
      <c r="B1725" t="str">
        <f>"688016"</f>
        <v>688016</v>
      </c>
      <c r="C1725" t="s">
        <v>3767</v>
      </c>
      <c r="D1725" t="s">
        <v>1077</v>
      </c>
      <c r="F1725">
        <v>249984812</v>
      </c>
      <c r="G1725">
        <v>162403325</v>
      </c>
      <c r="H1725">
        <v>112533390</v>
      </c>
      <c r="I1725">
        <v>76085508</v>
      </c>
      <c r="P1725">
        <v>551</v>
      </c>
      <c r="Q1725" t="s">
        <v>3768</v>
      </c>
    </row>
    <row r="1726" spans="1:17" x14ac:dyDescent="0.3">
      <c r="A1726" t="s">
        <v>17</v>
      </c>
      <c r="B1726" t="str">
        <f>"688017"</f>
        <v>688017</v>
      </c>
      <c r="C1726" t="s">
        <v>3769</v>
      </c>
      <c r="D1726" t="s">
        <v>2911</v>
      </c>
      <c r="F1726">
        <v>141940784</v>
      </c>
      <c r="G1726">
        <v>63479023</v>
      </c>
      <c r="H1726">
        <v>38291371</v>
      </c>
      <c r="P1726">
        <v>152</v>
      </c>
      <c r="Q1726" t="s">
        <v>3770</v>
      </c>
    </row>
    <row r="1727" spans="1:17" x14ac:dyDescent="0.3">
      <c r="A1727" t="s">
        <v>17</v>
      </c>
      <c r="B1727" t="str">
        <f>"688018"</f>
        <v>688018</v>
      </c>
      <c r="C1727" t="s">
        <v>3771</v>
      </c>
      <c r="D1727" t="s">
        <v>461</v>
      </c>
      <c r="F1727">
        <v>148168183</v>
      </c>
      <c r="G1727">
        <v>80823053</v>
      </c>
      <c r="H1727">
        <v>95564817</v>
      </c>
      <c r="I1727">
        <v>64028164</v>
      </c>
      <c r="P1727">
        <v>317</v>
      </c>
      <c r="Q1727" t="s">
        <v>3772</v>
      </c>
    </row>
    <row r="1728" spans="1:17" x14ac:dyDescent="0.3">
      <c r="A1728" t="s">
        <v>17</v>
      </c>
      <c r="B1728" t="str">
        <f>"688019"</f>
        <v>688019</v>
      </c>
      <c r="C1728" t="s">
        <v>3773</v>
      </c>
      <c r="D1728" t="s">
        <v>2399</v>
      </c>
      <c r="F1728">
        <v>97039800</v>
      </c>
      <c r="G1728">
        <v>113604270</v>
      </c>
      <c r="H1728">
        <v>46275938</v>
      </c>
      <c r="I1728">
        <v>31633469</v>
      </c>
      <c r="P1728">
        <v>286</v>
      </c>
      <c r="Q1728" t="s">
        <v>3774</v>
      </c>
    </row>
    <row r="1729" spans="1:17" x14ac:dyDescent="0.3">
      <c r="A1729" t="s">
        <v>17</v>
      </c>
      <c r="B1729" t="str">
        <f>"688020"</f>
        <v>688020</v>
      </c>
      <c r="C1729" t="s">
        <v>3775</v>
      </c>
      <c r="D1729" t="s">
        <v>425</v>
      </c>
      <c r="F1729">
        <v>47520213</v>
      </c>
      <c r="G1729">
        <v>95524044</v>
      </c>
      <c r="H1729">
        <v>105137501</v>
      </c>
      <c r="I1729">
        <v>100530120</v>
      </c>
      <c r="P1729">
        <v>253</v>
      </c>
      <c r="Q1729" t="s">
        <v>3776</v>
      </c>
    </row>
    <row r="1730" spans="1:17" x14ac:dyDescent="0.3">
      <c r="A1730" t="s">
        <v>17</v>
      </c>
      <c r="B1730" t="str">
        <f>"688021"</f>
        <v>688021</v>
      </c>
      <c r="C1730" t="s">
        <v>3777</v>
      </c>
      <c r="D1730" t="s">
        <v>985</v>
      </c>
      <c r="F1730">
        <v>60730202</v>
      </c>
      <c r="G1730">
        <v>63386305</v>
      </c>
      <c r="H1730">
        <v>39056137</v>
      </c>
      <c r="I1730">
        <v>34109843</v>
      </c>
      <c r="P1730">
        <v>79</v>
      </c>
      <c r="Q1730" t="s">
        <v>3778</v>
      </c>
    </row>
    <row r="1731" spans="1:17" x14ac:dyDescent="0.3">
      <c r="A1731" t="s">
        <v>17</v>
      </c>
      <c r="B1731" t="str">
        <f>"688022"</f>
        <v>688022</v>
      </c>
      <c r="C1731" t="s">
        <v>3779</v>
      </c>
      <c r="D1731" t="s">
        <v>741</v>
      </c>
      <c r="F1731">
        <v>45711798</v>
      </c>
      <c r="G1731">
        <v>22152131</v>
      </c>
      <c r="H1731">
        <v>35535863</v>
      </c>
      <c r="I1731">
        <v>28314911</v>
      </c>
      <c r="P1731">
        <v>164</v>
      </c>
      <c r="Q1731" t="s">
        <v>3780</v>
      </c>
    </row>
    <row r="1732" spans="1:17" x14ac:dyDescent="0.3">
      <c r="A1732" t="s">
        <v>17</v>
      </c>
      <c r="B1732" t="str">
        <f>"688023"</f>
        <v>688023</v>
      </c>
      <c r="C1732" t="s">
        <v>3781</v>
      </c>
      <c r="D1732" t="s">
        <v>1189</v>
      </c>
      <c r="F1732">
        <v>-268223970</v>
      </c>
      <c r="G1732">
        <v>-33641777</v>
      </c>
      <c r="H1732">
        <v>-41504697</v>
      </c>
      <c r="I1732">
        <v>-54337236</v>
      </c>
      <c r="P1732">
        <v>249</v>
      </c>
      <c r="Q1732" t="s">
        <v>3782</v>
      </c>
    </row>
    <row r="1733" spans="1:17" x14ac:dyDescent="0.3">
      <c r="A1733" t="s">
        <v>17</v>
      </c>
      <c r="B1733" t="str">
        <f>"688025"</f>
        <v>688025</v>
      </c>
      <c r="C1733" t="s">
        <v>3783</v>
      </c>
      <c r="D1733" t="s">
        <v>3784</v>
      </c>
      <c r="F1733">
        <v>60666521</v>
      </c>
      <c r="G1733">
        <v>41779081</v>
      </c>
      <c r="H1733">
        <v>56501311</v>
      </c>
      <c r="I1733">
        <v>69419033</v>
      </c>
      <c r="P1733">
        <v>158</v>
      </c>
      <c r="Q1733" t="s">
        <v>3785</v>
      </c>
    </row>
    <row r="1734" spans="1:17" x14ac:dyDescent="0.3">
      <c r="A1734" t="s">
        <v>17</v>
      </c>
      <c r="B1734" t="str">
        <f>"688026"</f>
        <v>688026</v>
      </c>
      <c r="C1734" t="s">
        <v>3786</v>
      </c>
      <c r="D1734" t="s">
        <v>1192</v>
      </c>
      <c r="F1734">
        <v>150928317</v>
      </c>
      <c r="G1734">
        <v>129234774</v>
      </c>
      <c r="H1734">
        <v>43734966</v>
      </c>
      <c r="I1734">
        <v>33157740</v>
      </c>
      <c r="P1734">
        <v>211</v>
      </c>
      <c r="Q1734" t="s">
        <v>3787</v>
      </c>
    </row>
    <row r="1735" spans="1:17" x14ac:dyDescent="0.3">
      <c r="A1735" t="s">
        <v>17</v>
      </c>
      <c r="B1735" t="str">
        <f>"688027"</f>
        <v>688027</v>
      </c>
      <c r="C1735" t="s">
        <v>3788</v>
      </c>
      <c r="D1735" t="s">
        <v>786</v>
      </c>
      <c r="F1735">
        <v>-44300588</v>
      </c>
      <c r="G1735">
        <v>-22681941</v>
      </c>
      <c r="H1735">
        <v>-32405035</v>
      </c>
      <c r="P1735">
        <v>98</v>
      </c>
      <c r="Q1735" t="s">
        <v>3789</v>
      </c>
    </row>
    <row r="1736" spans="1:17" x14ac:dyDescent="0.3">
      <c r="A1736" t="s">
        <v>17</v>
      </c>
      <c r="B1736" t="str">
        <f>"688028"</f>
        <v>688028</v>
      </c>
      <c r="C1736" t="s">
        <v>3790</v>
      </c>
      <c r="D1736" t="s">
        <v>404</v>
      </c>
      <c r="F1736">
        <v>49611843</v>
      </c>
      <c r="G1736">
        <v>41327026</v>
      </c>
      <c r="H1736">
        <v>44565786</v>
      </c>
      <c r="I1736">
        <v>49285113</v>
      </c>
      <c r="P1736">
        <v>76</v>
      </c>
      <c r="Q1736" t="s">
        <v>3791</v>
      </c>
    </row>
    <row r="1737" spans="1:17" x14ac:dyDescent="0.3">
      <c r="A1737" t="s">
        <v>17</v>
      </c>
      <c r="B1737" t="str">
        <f>"688029"</f>
        <v>688029</v>
      </c>
      <c r="C1737" t="s">
        <v>3792</v>
      </c>
      <c r="D1737" t="s">
        <v>1077</v>
      </c>
      <c r="F1737">
        <v>248528609</v>
      </c>
      <c r="G1737">
        <v>208433127</v>
      </c>
      <c r="H1737">
        <v>227018285</v>
      </c>
      <c r="I1737">
        <v>163437003</v>
      </c>
      <c r="P1737">
        <v>392</v>
      </c>
      <c r="Q1737" t="s">
        <v>3793</v>
      </c>
    </row>
    <row r="1738" spans="1:17" x14ac:dyDescent="0.3">
      <c r="A1738" t="s">
        <v>17</v>
      </c>
      <c r="B1738" t="str">
        <f>"688030"</f>
        <v>688030</v>
      </c>
      <c r="C1738" t="s">
        <v>3794</v>
      </c>
      <c r="D1738" t="s">
        <v>1189</v>
      </c>
      <c r="F1738">
        <v>-20778952</v>
      </c>
      <c r="G1738">
        <v>-46981931</v>
      </c>
      <c r="H1738">
        <v>21251164</v>
      </c>
      <c r="I1738">
        <v>-44157289</v>
      </c>
      <c r="P1738">
        <v>145</v>
      </c>
      <c r="Q1738" t="s">
        <v>3795</v>
      </c>
    </row>
    <row r="1739" spans="1:17" x14ac:dyDescent="0.3">
      <c r="A1739" t="s">
        <v>17</v>
      </c>
      <c r="B1739" t="str">
        <f>"688032"</f>
        <v>688032</v>
      </c>
      <c r="C1739" t="s">
        <v>3796</v>
      </c>
      <c r="D1739" t="s">
        <v>3797</v>
      </c>
      <c r="F1739">
        <v>121601558</v>
      </c>
      <c r="G1739">
        <v>65378997</v>
      </c>
      <c r="P1739">
        <v>31</v>
      </c>
      <c r="Q1739" t="s">
        <v>3798</v>
      </c>
    </row>
    <row r="1740" spans="1:17" x14ac:dyDescent="0.3">
      <c r="A1740" t="s">
        <v>17</v>
      </c>
      <c r="B1740" t="str">
        <f>"688033"</f>
        <v>688033</v>
      </c>
      <c r="C1740" t="s">
        <v>3799</v>
      </c>
      <c r="D1740" t="s">
        <v>1012</v>
      </c>
      <c r="F1740">
        <v>100229697</v>
      </c>
      <c r="G1740">
        <v>63268104</v>
      </c>
      <c r="H1740">
        <v>211113521</v>
      </c>
      <c r="I1740">
        <v>207538032</v>
      </c>
      <c r="P1740">
        <v>86</v>
      </c>
      <c r="Q1740" t="s">
        <v>3800</v>
      </c>
    </row>
    <row r="1741" spans="1:17" x14ac:dyDescent="0.3">
      <c r="A1741" t="s">
        <v>17</v>
      </c>
      <c r="B1741" t="str">
        <f>"688036"</f>
        <v>688036</v>
      </c>
      <c r="C1741" t="s">
        <v>3801</v>
      </c>
      <c r="D1741" t="s">
        <v>3499</v>
      </c>
      <c r="F1741">
        <v>2881859695</v>
      </c>
      <c r="G1741">
        <v>1953954337</v>
      </c>
      <c r="H1741">
        <v>1300608880</v>
      </c>
      <c r="I1741">
        <v>156317047</v>
      </c>
      <c r="P1741">
        <v>596</v>
      </c>
      <c r="Q1741" t="s">
        <v>3802</v>
      </c>
    </row>
    <row r="1742" spans="1:17" x14ac:dyDescent="0.3">
      <c r="A1742" t="s">
        <v>17</v>
      </c>
      <c r="B1742" t="str">
        <f>"688037"</f>
        <v>688037</v>
      </c>
      <c r="C1742" t="s">
        <v>3803</v>
      </c>
      <c r="D1742" t="s">
        <v>3160</v>
      </c>
      <c r="F1742">
        <v>53086159</v>
      </c>
      <c r="G1742">
        <v>44686075</v>
      </c>
      <c r="H1742">
        <v>919228</v>
      </c>
      <c r="I1742">
        <v>3191500</v>
      </c>
      <c r="P1742">
        <v>168</v>
      </c>
      <c r="Q1742" t="s">
        <v>3804</v>
      </c>
    </row>
    <row r="1743" spans="1:17" x14ac:dyDescent="0.3">
      <c r="A1743" t="s">
        <v>17</v>
      </c>
      <c r="B1743" t="str">
        <f>"688038"</f>
        <v>688038</v>
      </c>
      <c r="C1743" t="s">
        <v>3805</v>
      </c>
      <c r="D1743" t="s">
        <v>945</v>
      </c>
      <c r="F1743">
        <v>12365040</v>
      </c>
      <c r="P1743">
        <v>17</v>
      </c>
      <c r="Q1743" t="s">
        <v>3806</v>
      </c>
    </row>
    <row r="1744" spans="1:17" x14ac:dyDescent="0.3">
      <c r="A1744" t="s">
        <v>17</v>
      </c>
      <c r="B1744" t="str">
        <f>"688039"</f>
        <v>688039</v>
      </c>
      <c r="C1744" t="s">
        <v>3807</v>
      </c>
      <c r="D1744" t="s">
        <v>316</v>
      </c>
      <c r="F1744">
        <v>13231037</v>
      </c>
      <c r="G1744">
        <v>20407706</v>
      </c>
      <c r="H1744">
        <v>16596765</v>
      </c>
      <c r="I1744">
        <v>14789374</v>
      </c>
      <c r="P1744">
        <v>155</v>
      </c>
      <c r="Q1744" t="s">
        <v>3808</v>
      </c>
    </row>
    <row r="1745" spans="1:17" x14ac:dyDescent="0.3">
      <c r="A1745" t="s">
        <v>17</v>
      </c>
      <c r="B1745" t="str">
        <f>"688049"</f>
        <v>688049</v>
      </c>
      <c r="C1745" t="s">
        <v>3809</v>
      </c>
      <c r="D1745" t="s">
        <v>461</v>
      </c>
      <c r="F1745">
        <v>64020304</v>
      </c>
      <c r="G1745">
        <v>8808369</v>
      </c>
      <c r="P1745">
        <v>21</v>
      </c>
      <c r="Q1745" t="s">
        <v>3810</v>
      </c>
    </row>
    <row r="1746" spans="1:17" x14ac:dyDescent="0.3">
      <c r="A1746" t="s">
        <v>17</v>
      </c>
      <c r="B1746" t="str">
        <f>"688050"</f>
        <v>688050</v>
      </c>
      <c r="C1746" t="s">
        <v>3811</v>
      </c>
      <c r="D1746" t="s">
        <v>1077</v>
      </c>
      <c r="F1746">
        <v>140312561</v>
      </c>
      <c r="G1746">
        <v>68660001</v>
      </c>
      <c r="H1746">
        <v>49041986</v>
      </c>
      <c r="P1746">
        <v>411</v>
      </c>
      <c r="Q1746" t="s">
        <v>3812</v>
      </c>
    </row>
    <row r="1747" spans="1:17" x14ac:dyDescent="0.3">
      <c r="A1747" t="s">
        <v>17</v>
      </c>
      <c r="B1747" t="str">
        <f>"688051"</f>
        <v>688051</v>
      </c>
      <c r="C1747" t="s">
        <v>3813</v>
      </c>
      <c r="D1747" t="s">
        <v>316</v>
      </c>
      <c r="F1747">
        <v>-5357505</v>
      </c>
      <c r="G1747">
        <v>88278554</v>
      </c>
      <c r="H1747">
        <v>42490859</v>
      </c>
      <c r="P1747">
        <v>91</v>
      </c>
      <c r="Q1747" t="s">
        <v>3814</v>
      </c>
    </row>
    <row r="1748" spans="1:17" x14ac:dyDescent="0.3">
      <c r="A1748" t="s">
        <v>17</v>
      </c>
      <c r="B1748" t="str">
        <f>"688055"</f>
        <v>688055</v>
      </c>
      <c r="C1748" t="s">
        <v>3815</v>
      </c>
      <c r="D1748" t="s">
        <v>1117</v>
      </c>
      <c r="F1748">
        <v>761675818</v>
      </c>
      <c r="G1748">
        <v>115563624</v>
      </c>
      <c r="H1748">
        <v>67858778</v>
      </c>
      <c r="P1748">
        <v>76</v>
      </c>
      <c r="Q1748" t="s">
        <v>3816</v>
      </c>
    </row>
    <row r="1749" spans="1:17" x14ac:dyDescent="0.3">
      <c r="A1749" t="s">
        <v>17</v>
      </c>
      <c r="B1749" t="str">
        <f>"688056"</f>
        <v>688056</v>
      </c>
      <c r="C1749" t="s">
        <v>3817</v>
      </c>
      <c r="D1749" t="s">
        <v>2551</v>
      </c>
      <c r="F1749">
        <v>53322446</v>
      </c>
      <c r="G1749">
        <v>36269703</v>
      </c>
      <c r="H1749">
        <v>39380735</v>
      </c>
      <c r="P1749">
        <v>50</v>
      </c>
      <c r="Q1749" t="s">
        <v>3818</v>
      </c>
    </row>
    <row r="1750" spans="1:17" x14ac:dyDescent="0.3">
      <c r="A1750" t="s">
        <v>17</v>
      </c>
      <c r="B1750" t="str">
        <f>"688057"</f>
        <v>688057</v>
      </c>
      <c r="C1750" t="s">
        <v>3819</v>
      </c>
      <c r="D1750" t="s">
        <v>33</v>
      </c>
      <c r="F1750">
        <v>300643085</v>
      </c>
      <c r="G1750">
        <v>307446519</v>
      </c>
      <c r="H1750">
        <v>190327763</v>
      </c>
      <c r="I1750">
        <v>179483895</v>
      </c>
      <c r="P1750">
        <v>116</v>
      </c>
      <c r="Q1750" t="s">
        <v>3820</v>
      </c>
    </row>
    <row r="1751" spans="1:17" x14ac:dyDescent="0.3">
      <c r="A1751" t="s">
        <v>17</v>
      </c>
      <c r="B1751" t="str">
        <f>"688058"</f>
        <v>688058</v>
      </c>
      <c r="C1751" t="s">
        <v>3821</v>
      </c>
      <c r="D1751" t="s">
        <v>1189</v>
      </c>
      <c r="F1751">
        <v>5944676</v>
      </c>
      <c r="G1751">
        <v>1006621</v>
      </c>
      <c r="H1751">
        <v>21082898</v>
      </c>
      <c r="I1751">
        <v>17325566</v>
      </c>
      <c r="P1751">
        <v>96</v>
      </c>
      <c r="Q1751" t="s">
        <v>3822</v>
      </c>
    </row>
    <row r="1752" spans="1:17" x14ac:dyDescent="0.3">
      <c r="A1752" t="s">
        <v>17</v>
      </c>
      <c r="B1752" t="str">
        <f>"688059"</f>
        <v>688059</v>
      </c>
      <c r="C1752" t="s">
        <v>3823</v>
      </c>
      <c r="D1752" t="s">
        <v>274</v>
      </c>
      <c r="F1752">
        <v>121774648</v>
      </c>
      <c r="G1752">
        <v>61403246</v>
      </c>
      <c r="H1752">
        <v>36711200</v>
      </c>
      <c r="P1752">
        <v>105</v>
      </c>
      <c r="Q1752" t="s">
        <v>3824</v>
      </c>
    </row>
    <row r="1753" spans="1:17" x14ac:dyDescent="0.3">
      <c r="A1753" t="s">
        <v>17</v>
      </c>
      <c r="B1753" t="str">
        <f>"688060"</f>
        <v>688060</v>
      </c>
      <c r="C1753" t="s">
        <v>3825</v>
      </c>
      <c r="D1753" t="s">
        <v>236</v>
      </c>
      <c r="F1753">
        <v>32734640</v>
      </c>
      <c r="G1753">
        <v>42092974</v>
      </c>
      <c r="H1753">
        <v>31022438</v>
      </c>
      <c r="P1753">
        <v>75</v>
      </c>
      <c r="Q1753" t="s">
        <v>3826</v>
      </c>
    </row>
    <row r="1754" spans="1:17" x14ac:dyDescent="0.3">
      <c r="A1754" t="s">
        <v>17</v>
      </c>
      <c r="B1754" t="str">
        <f>"688062"</f>
        <v>688062</v>
      </c>
      <c r="C1754" t="s">
        <v>3827</v>
      </c>
      <c r="D1754" t="s">
        <v>143</v>
      </c>
      <c r="F1754">
        <v>-514677544</v>
      </c>
      <c r="G1754">
        <v>-458629944</v>
      </c>
      <c r="P1754">
        <v>14</v>
      </c>
      <c r="Q1754" t="s">
        <v>3828</v>
      </c>
    </row>
    <row r="1755" spans="1:17" x14ac:dyDescent="0.3">
      <c r="A1755" t="s">
        <v>17</v>
      </c>
      <c r="B1755" t="str">
        <f>"688063"</f>
        <v>688063</v>
      </c>
      <c r="C1755" t="s">
        <v>3829</v>
      </c>
      <c r="D1755" t="s">
        <v>359</v>
      </c>
      <c r="F1755">
        <v>251412441</v>
      </c>
      <c r="G1755">
        <v>196713959</v>
      </c>
      <c r="H1755">
        <v>70633600</v>
      </c>
      <c r="P1755">
        <v>212</v>
      </c>
      <c r="Q1755" t="s">
        <v>3830</v>
      </c>
    </row>
    <row r="1756" spans="1:17" x14ac:dyDescent="0.3">
      <c r="A1756" t="s">
        <v>17</v>
      </c>
      <c r="B1756" t="str">
        <f>"688065"</f>
        <v>688065</v>
      </c>
      <c r="C1756" t="s">
        <v>3831</v>
      </c>
      <c r="D1756" t="s">
        <v>386</v>
      </c>
      <c r="F1756">
        <v>489986908</v>
      </c>
      <c r="G1756">
        <v>321294747</v>
      </c>
      <c r="H1756">
        <v>372582436</v>
      </c>
      <c r="P1756">
        <v>107</v>
      </c>
      <c r="Q1756" t="s">
        <v>3832</v>
      </c>
    </row>
    <row r="1757" spans="1:17" x14ac:dyDescent="0.3">
      <c r="A1757" t="s">
        <v>17</v>
      </c>
      <c r="B1757" t="str">
        <f>"688066"</f>
        <v>688066</v>
      </c>
      <c r="C1757" t="s">
        <v>3833</v>
      </c>
      <c r="D1757" t="s">
        <v>316</v>
      </c>
      <c r="F1757">
        <v>56218992</v>
      </c>
      <c r="G1757">
        <v>34010300</v>
      </c>
      <c r="H1757">
        <v>2200040</v>
      </c>
      <c r="I1757">
        <v>-69599323</v>
      </c>
      <c r="P1757">
        <v>159</v>
      </c>
      <c r="Q1757" t="s">
        <v>3834</v>
      </c>
    </row>
    <row r="1758" spans="1:17" x14ac:dyDescent="0.3">
      <c r="A1758" t="s">
        <v>17</v>
      </c>
      <c r="B1758" t="str">
        <f>"688067"</f>
        <v>688067</v>
      </c>
      <c r="C1758" t="s">
        <v>3835</v>
      </c>
      <c r="D1758" t="s">
        <v>1305</v>
      </c>
      <c r="F1758">
        <v>27478764</v>
      </c>
      <c r="P1758">
        <v>35</v>
      </c>
      <c r="Q1758" t="s">
        <v>3836</v>
      </c>
    </row>
    <row r="1759" spans="1:17" x14ac:dyDescent="0.3">
      <c r="A1759" t="s">
        <v>17</v>
      </c>
      <c r="B1759" t="str">
        <f>"688068"</f>
        <v>688068</v>
      </c>
      <c r="C1759" t="s">
        <v>3837</v>
      </c>
      <c r="D1759" t="s">
        <v>1305</v>
      </c>
      <c r="F1759">
        <v>1476338877</v>
      </c>
      <c r="G1759">
        <v>5073501</v>
      </c>
      <c r="H1759">
        <v>13227087</v>
      </c>
      <c r="I1759">
        <v>18659751</v>
      </c>
      <c r="P1759">
        <v>254</v>
      </c>
      <c r="Q1759" t="s">
        <v>3838</v>
      </c>
    </row>
    <row r="1760" spans="1:17" x14ac:dyDescent="0.3">
      <c r="A1760" t="s">
        <v>17</v>
      </c>
      <c r="B1760" t="str">
        <f>"688069"</f>
        <v>688069</v>
      </c>
      <c r="C1760" t="s">
        <v>3839</v>
      </c>
      <c r="D1760" t="s">
        <v>33</v>
      </c>
      <c r="F1760">
        <v>51197942</v>
      </c>
      <c r="G1760">
        <v>75325979</v>
      </c>
      <c r="H1760">
        <v>75306432</v>
      </c>
      <c r="I1760">
        <v>69210300</v>
      </c>
      <c r="P1760">
        <v>79</v>
      </c>
      <c r="Q1760" t="s">
        <v>3840</v>
      </c>
    </row>
    <row r="1761" spans="1:17" x14ac:dyDescent="0.3">
      <c r="A1761" t="s">
        <v>17</v>
      </c>
      <c r="B1761" t="str">
        <f>"688070"</f>
        <v>688070</v>
      </c>
      <c r="C1761" t="s">
        <v>3841</v>
      </c>
      <c r="D1761" t="s">
        <v>98</v>
      </c>
      <c r="F1761">
        <v>-18088316</v>
      </c>
      <c r="G1761">
        <v>20955899</v>
      </c>
      <c r="H1761">
        <v>18270300</v>
      </c>
      <c r="P1761">
        <v>43</v>
      </c>
      <c r="Q1761" t="s">
        <v>3842</v>
      </c>
    </row>
    <row r="1762" spans="1:17" x14ac:dyDescent="0.3">
      <c r="A1762" t="s">
        <v>17</v>
      </c>
      <c r="B1762" t="str">
        <f>"688071"</f>
        <v>688071</v>
      </c>
      <c r="C1762" t="s">
        <v>3843</v>
      </c>
      <c r="D1762" t="s">
        <v>741</v>
      </c>
      <c r="F1762">
        <v>24837420</v>
      </c>
      <c r="G1762">
        <v>21164879</v>
      </c>
      <c r="P1762">
        <v>28</v>
      </c>
      <c r="Q1762" t="s">
        <v>3844</v>
      </c>
    </row>
    <row r="1763" spans="1:17" x14ac:dyDescent="0.3">
      <c r="A1763" t="s">
        <v>17</v>
      </c>
      <c r="B1763" t="str">
        <f>"688072"</f>
        <v>688072</v>
      </c>
      <c r="C1763" t="s">
        <v>3845</v>
      </c>
      <c r="F1763">
        <v>57963781</v>
      </c>
      <c r="P1763">
        <v>5</v>
      </c>
      <c r="Q1763" t="s">
        <v>3846</v>
      </c>
    </row>
    <row r="1764" spans="1:17" x14ac:dyDescent="0.3">
      <c r="A1764" t="s">
        <v>17</v>
      </c>
      <c r="B1764" t="str">
        <f>"688075"</f>
        <v>688075</v>
      </c>
      <c r="C1764" t="s">
        <v>3847</v>
      </c>
      <c r="D1764" t="s">
        <v>1305</v>
      </c>
      <c r="F1764">
        <v>283904582</v>
      </c>
      <c r="G1764">
        <v>252806915</v>
      </c>
      <c r="P1764">
        <v>37</v>
      </c>
      <c r="Q1764" t="s">
        <v>3848</v>
      </c>
    </row>
    <row r="1765" spans="1:17" x14ac:dyDescent="0.3">
      <c r="A1765" t="s">
        <v>17</v>
      </c>
      <c r="B1765" t="str">
        <f>"688076"</f>
        <v>688076</v>
      </c>
      <c r="C1765" t="s">
        <v>3849</v>
      </c>
      <c r="D1765" t="s">
        <v>1461</v>
      </c>
      <c r="F1765">
        <v>88582488</v>
      </c>
      <c r="G1765">
        <v>83893485</v>
      </c>
      <c r="P1765">
        <v>53</v>
      </c>
      <c r="Q1765" t="s">
        <v>3850</v>
      </c>
    </row>
    <row r="1766" spans="1:17" x14ac:dyDescent="0.3">
      <c r="A1766" t="s">
        <v>17</v>
      </c>
      <c r="B1766" t="str">
        <f>"688077"</f>
        <v>688077</v>
      </c>
      <c r="C1766" t="s">
        <v>3851</v>
      </c>
      <c r="D1766" t="s">
        <v>808</v>
      </c>
      <c r="F1766">
        <v>105090973</v>
      </c>
      <c r="G1766">
        <v>32364717</v>
      </c>
      <c r="H1766">
        <v>48161381</v>
      </c>
      <c r="P1766">
        <v>78</v>
      </c>
      <c r="Q1766" t="s">
        <v>3852</v>
      </c>
    </row>
    <row r="1767" spans="1:17" x14ac:dyDescent="0.3">
      <c r="A1767" t="s">
        <v>17</v>
      </c>
      <c r="B1767" t="str">
        <f>"688078"</f>
        <v>688078</v>
      </c>
      <c r="C1767" t="s">
        <v>3853</v>
      </c>
      <c r="D1767" t="s">
        <v>1189</v>
      </c>
      <c r="F1767">
        <v>38176328</v>
      </c>
      <c r="G1767">
        <v>25809352</v>
      </c>
      <c r="H1767">
        <v>36176377</v>
      </c>
      <c r="I1767">
        <v>17134235</v>
      </c>
      <c r="P1767">
        <v>83</v>
      </c>
      <c r="Q1767" t="s">
        <v>3854</v>
      </c>
    </row>
    <row r="1768" spans="1:17" x14ac:dyDescent="0.3">
      <c r="A1768" t="s">
        <v>17</v>
      </c>
      <c r="B1768" t="str">
        <f>"688079"</f>
        <v>688079</v>
      </c>
      <c r="C1768" t="s">
        <v>3855</v>
      </c>
      <c r="D1768" t="s">
        <v>164</v>
      </c>
      <c r="F1768">
        <v>71185454</v>
      </c>
      <c r="G1768">
        <v>109304804</v>
      </c>
      <c r="P1768">
        <v>36</v>
      </c>
      <c r="Q1768" t="s">
        <v>3856</v>
      </c>
    </row>
    <row r="1769" spans="1:17" x14ac:dyDescent="0.3">
      <c r="A1769" t="s">
        <v>17</v>
      </c>
      <c r="B1769" t="str">
        <f>"688080"</f>
        <v>688080</v>
      </c>
      <c r="C1769" t="s">
        <v>3857</v>
      </c>
      <c r="D1769" t="s">
        <v>595</v>
      </c>
      <c r="F1769">
        <v>91910356</v>
      </c>
      <c r="G1769">
        <v>33767908</v>
      </c>
      <c r="H1769">
        <v>39937862</v>
      </c>
      <c r="I1769">
        <v>29626380</v>
      </c>
      <c r="P1769">
        <v>87</v>
      </c>
      <c r="Q1769" t="s">
        <v>3858</v>
      </c>
    </row>
    <row r="1770" spans="1:17" x14ac:dyDescent="0.3">
      <c r="A1770" t="s">
        <v>17</v>
      </c>
      <c r="B1770" t="str">
        <f>"688081"</f>
        <v>688081</v>
      </c>
      <c r="C1770" t="s">
        <v>3859</v>
      </c>
      <c r="D1770" t="s">
        <v>1136</v>
      </c>
      <c r="F1770">
        <v>-24880061</v>
      </c>
      <c r="G1770">
        <v>1703900</v>
      </c>
      <c r="H1770">
        <v>-1037194</v>
      </c>
      <c r="I1770">
        <v>-19602700</v>
      </c>
      <c r="P1770">
        <v>55</v>
      </c>
      <c r="Q1770" t="s">
        <v>3860</v>
      </c>
    </row>
    <row r="1771" spans="1:17" x14ac:dyDescent="0.3">
      <c r="A1771" t="s">
        <v>17</v>
      </c>
      <c r="B1771" t="str">
        <f>"688082"</f>
        <v>688082</v>
      </c>
      <c r="C1771" t="s">
        <v>3861</v>
      </c>
      <c r="D1771" t="s">
        <v>3160</v>
      </c>
      <c r="F1771">
        <v>148726148</v>
      </c>
      <c r="P1771">
        <v>35</v>
      </c>
      <c r="Q1771" t="s">
        <v>3862</v>
      </c>
    </row>
    <row r="1772" spans="1:17" x14ac:dyDescent="0.3">
      <c r="A1772" t="s">
        <v>17</v>
      </c>
      <c r="B1772" t="str">
        <f>"688083"</f>
        <v>688083</v>
      </c>
      <c r="C1772" t="s">
        <v>3863</v>
      </c>
      <c r="D1772" t="s">
        <v>945</v>
      </c>
      <c r="F1772">
        <v>98419307</v>
      </c>
      <c r="G1772">
        <v>79997051</v>
      </c>
      <c r="H1772">
        <v>58234725</v>
      </c>
      <c r="P1772">
        <v>130</v>
      </c>
      <c r="Q1772" t="s">
        <v>3864</v>
      </c>
    </row>
    <row r="1773" spans="1:17" x14ac:dyDescent="0.3">
      <c r="A1773" t="s">
        <v>17</v>
      </c>
      <c r="B1773" t="str">
        <f>"688085"</f>
        <v>688085</v>
      </c>
      <c r="C1773" t="s">
        <v>3865</v>
      </c>
      <c r="D1773" t="s">
        <v>1077</v>
      </c>
      <c r="F1773">
        <v>113443911</v>
      </c>
      <c r="G1773">
        <v>79802528</v>
      </c>
      <c r="H1773">
        <v>73096700</v>
      </c>
      <c r="I1773">
        <v>43834300</v>
      </c>
      <c r="P1773">
        <v>197</v>
      </c>
      <c r="Q1773" t="s">
        <v>3866</v>
      </c>
    </row>
    <row r="1774" spans="1:17" x14ac:dyDescent="0.3">
      <c r="A1774" t="s">
        <v>17</v>
      </c>
      <c r="B1774" t="str">
        <f>"688086"</f>
        <v>688086</v>
      </c>
      <c r="C1774" t="s">
        <v>3867</v>
      </c>
      <c r="D1774" t="s">
        <v>236</v>
      </c>
      <c r="F1774">
        <v>25472607</v>
      </c>
      <c r="G1774">
        <v>82030256</v>
      </c>
      <c r="H1774">
        <v>45361638</v>
      </c>
      <c r="I1774">
        <v>24178400</v>
      </c>
      <c r="P1774">
        <v>84</v>
      </c>
      <c r="Q1774" t="s">
        <v>3868</v>
      </c>
    </row>
    <row r="1775" spans="1:17" x14ac:dyDescent="0.3">
      <c r="A1775" t="s">
        <v>17</v>
      </c>
      <c r="B1775" t="str">
        <f>"688087"</f>
        <v>688087</v>
      </c>
      <c r="C1775" t="s">
        <v>3869</v>
      </c>
      <c r="D1775" t="s">
        <v>1192</v>
      </c>
      <c r="F1775">
        <v>194596368</v>
      </c>
      <c r="G1775">
        <v>176868345</v>
      </c>
      <c r="P1775">
        <v>36</v>
      </c>
      <c r="Q1775" t="s">
        <v>3870</v>
      </c>
    </row>
    <row r="1776" spans="1:17" x14ac:dyDescent="0.3">
      <c r="A1776" t="s">
        <v>17</v>
      </c>
      <c r="B1776" t="str">
        <f>"688088"</f>
        <v>688088</v>
      </c>
      <c r="C1776" t="s">
        <v>3871</v>
      </c>
      <c r="D1776" t="s">
        <v>316</v>
      </c>
      <c r="F1776">
        <v>122354866</v>
      </c>
      <c r="G1776">
        <v>209828217</v>
      </c>
      <c r="H1776">
        <v>141715467</v>
      </c>
      <c r="I1776">
        <v>118458486</v>
      </c>
      <c r="P1776">
        <v>271</v>
      </c>
      <c r="Q1776" t="s">
        <v>3872</v>
      </c>
    </row>
    <row r="1777" spans="1:17" x14ac:dyDescent="0.3">
      <c r="A1777" t="s">
        <v>17</v>
      </c>
      <c r="B1777" t="str">
        <f>"688089"</f>
        <v>688089</v>
      </c>
      <c r="C1777" t="s">
        <v>3873</v>
      </c>
      <c r="D1777" t="s">
        <v>677</v>
      </c>
      <c r="F1777">
        <v>100948441</v>
      </c>
      <c r="G1777">
        <v>110107131</v>
      </c>
      <c r="H1777">
        <v>96003500</v>
      </c>
      <c r="I1777">
        <v>64701700</v>
      </c>
      <c r="P1777">
        <v>150</v>
      </c>
      <c r="Q1777" t="s">
        <v>3874</v>
      </c>
    </row>
    <row r="1778" spans="1:17" x14ac:dyDescent="0.3">
      <c r="A1778" t="s">
        <v>17</v>
      </c>
      <c r="B1778" t="str">
        <f>"688090"</f>
        <v>688090</v>
      </c>
      <c r="C1778" t="s">
        <v>3875</v>
      </c>
      <c r="D1778" t="s">
        <v>2911</v>
      </c>
      <c r="F1778">
        <v>21514837</v>
      </c>
      <c r="G1778">
        <v>42033264</v>
      </c>
      <c r="H1778">
        <v>42256784</v>
      </c>
      <c r="I1778">
        <v>43065600</v>
      </c>
      <c r="P1778">
        <v>63</v>
      </c>
      <c r="Q1778" t="s">
        <v>3876</v>
      </c>
    </row>
    <row r="1779" spans="1:17" x14ac:dyDescent="0.3">
      <c r="A1779" t="s">
        <v>17</v>
      </c>
      <c r="B1779" t="str">
        <f>"688091"</f>
        <v>688091</v>
      </c>
      <c r="C1779" t="s">
        <v>3877</v>
      </c>
      <c r="D1779" t="s">
        <v>143</v>
      </c>
      <c r="F1779">
        <v>-20123712</v>
      </c>
      <c r="G1779">
        <v>-14682216</v>
      </c>
      <c r="P1779">
        <v>14</v>
      </c>
      <c r="Q1779" t="s">
        <v>3878</v>
      </c>
    </row>
    <row r="1780" spans="1:17" x14ac:dyDescent="0.3">
      <c r="A1780" t="s">
        <v>17</v>
      </c>
      <c r="B1780" t="str">
        <f>"688092"</f>
        <v>688092</v>
      </c>
      <c r="C1780" t="s">
        <v>3879</v>
      </c>
      <c r="D1780" t="s">
        <v>741</v>
      </c>
      <c r="F1780">
        <v>43178611</v>
      </c>
      <c r="G1780">
        <v>30803767</v>
      </c>
      <c r="P1780">
        <v>29</v>
      </c>
      <c r="Q1780" t="s">
        <v>3880</v>
      </c>
    </row>
    <row r="1781" spans="1:17" x14ac:dyDescent="0.3">
      <c r="A1781" t="s">
        <v>17</v>
      </c>
      <c r="B1781" t="str">
        <f>"688093"</f>
        <v>688093</v>
      </c>
      <c r="C1781" t="s">
        <v>3881</v>
      </c>
      <c r="D1781" t="s">
        <v>651</v>
      </c>
      <c r="F1781">
        <v>125863663</v>
      </c>
      <c r="G1781">
        <v>79102396</v>
      </c>
      <c r="H1781">
        <v>47093544</v>
      </c>
      <c r="P1781">
        <v>59</v>
      </c>
      <c r="Q1781" t="s">
        <v>3882</v>
      </c>
    </row>
    <row r="1782" spans="1:17" x14ac:dyDescent="0.3">
      <c r="A1782" t="s">
        <v>17</v>
      </c>
      <c r="B1782" t="str">
        <f>"688095"</f>
        <v>688095</v>
      </c>
      <c r="C1782" t="s">
        <v>3883</v>
      </c>
      <c r="D1782" t="s">
        <v>1189</v>
      </c>
      <c r="F1782">
        <v>40278237</v>
      </c>
      <c r="G1782">
        <v>92603510</v>
      </c>
      <c r="H1782">
        <v>38193556</v>
      </c>
      <c r="P1782">
        <v>141</v>
      </c>
      <c r="Q1782" t="s">
        <v>3884</v>
      </c>
    </row>
    <row r="1783" spans="1:17" x14ac:dyDescent="0.3">
      <c r="A1783" t="s">
        <v>17</v>
      </c>
      <c r="B1783" t="str">
        <f>"688096"</f>
        <v>688096</v>
      </c>
      <c r="C1783" t="s">
        <v>3885</v>
      </c>
      <c r="D1783" t="s">
        <v>33</v>
      </c>
      <c r="F1783">
        <v>32894236</v>
      </c>
      <c r="G1783">
        <v>36367715</v>
      </c>
      <c r="H1783">
        <v>33992900</v>
      </c>
      <c r="I1783">
        <v>15769300</v>
      </c>
      <c r="P1783">
        <v>73</v>
      </c>
      <c r="Q1783" t="s">
        <v>3886</v>
      </c>
    </row>
    <row r="1784" spans="1:17" x14ac:dyDescent="0.3">
      <c r="A1784" t="s">
        <v>17</v>
      </c>
      <c r="B1784" t="str">
        <f>"688097"</f>
        <v>688097</v>
      </c>
      <c r="C1784" t="s">
        <v>3887</v>
      </c>
      <c r="D1784" t="s">
        <v>3450</v>
      </c>
      <c r="F1784">
        <v>54244905</v>
      </c>
      <c r="G1784">
        <v>105306239</v>
      </c>
      <c r="P1784">
        <v>25</v>
      </c>
      <c r="Q1784" t="s">
        <v>3888</v>
      </c>
    </row>
    <row r="1785" spans="1:17" x14ac:dyDescent="0.3">
      <c r="A1785" t="s">
        <v>17</v>
      </c>
      <c r="B1785" t="str">
        <f>"688098"</f>
        <v>688098</v>
      </c>
      <c r="C1785" t="s">
        <v>3889</v>
      </c>
      <c r="D1785" t="s">
        <v>453</v>
      </c>
      <c r="F1785">
        <v>91891169</v>
      </c>
      <c r="G1785">
        <v>137427634</v>
      </c>
      <c r="H1785">
        <v>77131889</v>
      </c>
      <c r="I1785">
        <v>81611791</v>
      </c>
      <c r="P1785">
        <v>73</v>
      </c>
      <c r="Q1785" t="s">
        <v>3890</v>
      </c>
    </row>
    <row r="1786" spans="1:17" x14ac:dyDescent="0.3">
      <c r="A1786" t="s">
        <v>17</v>
      </c>
      <c r="B1786" t="str">
        <f>"688099"</f>
        <v>688099</v>
      </c>
      <c r="C1786" t="s">
        <v>3891</v>
      </c>
      <c r="D1786" t="s">
        <v>461</v>
      </c>
      <c r="F1786">
        <v>501843525</v>
      </c>
      <c r="G1786">
        <v>-13294749</v>
      </c>
      <c r="H1786">
        <v>132222144</v>
      </c>
      <c r="I1786">
        <v>182231074</v>
      </c>
      <c r="P1786">
        <v>301</v>
      </c>
      <c r="Q1786" t="s">
        <v>3892</v>
      </c>
    </row>
    <row r="1787" spans="1:17" x14ac:dyDescent="0.3">
      <c r="A1787" t="s">
        <v>17</v>
      </c>
      <c r="B1787" t="str">
        <f>"688100"</f>
        <v>688100</v>
      </c>
      <c r="C1787" t="s">
        <v>3893</v>
      </c>
      <c r="D1787" t="s">
        <v>786</v>
      </c>
      <c r="F1787">
        <v>248320384</v>
      </c>
      <c r="G1787">
        <v>208929451</v>
      </c>
      <c r="H1787">
        <v>162435787</v>
      </c>
      <c r="I1787">
        <v>113981900</v>
      </c>
      <c r="P1787">
        <v>103</v>
      </c>
      <c r="Q1787" t="s">
        <v>3894</v>
      </c>
    </row>
    <row r="1788" spans="1:17" x14ac:dyDescent="0.3">
      <c r="A1788" t="s">
        <v>17</v>
      </c>
      <c r="B1788" t="str">
        <f>"688101"</f>
        <v>688101</v>
      </c>
      <c r="C1788" t="s">
        <v>3895</v>
      </c>
      <c r="D1788" t="s">
        <v>33</v>
      </c>
      <c r="F1788">
        <v>209901204</v>
      </c>
      <c r="G1788">
        <v>168919997</v>
      </c>
      <c r="H1788">
        <v>228791401</v>
      </c>
      <c r="I1788">
        <v>139180231</v>
      </c>
      <c r="P1788">
        <v>77</v>
      </c>
      <c r="Q1788" t="s">
        <v>3896</v>
      </c>
    </row>
    <row r="1789" spans="1:17" x14ac:dyDescent="0.3">
      <c r="A1789" t="s">
        <v>17</v>
      </c>
      <c r="B1789" t="str">
        <f>"688102"</f>
        <v>688102</v>
      </c>
      <c r="C1789" t="s">
        <v>3897</v>
      </c>
      <c r="F1789">
        <v>44427132</v>
      </c>
      <c r="G1789">
        <v>42925319</v>
      </c>
      <c r="P1789">
        <v>3</v>
      </c>
      <c r="Q1789" t="s">
        <v>3898</v>
      </c>
    </row>
    <row r="1790" spans="1:17" x14ac:dyDescent="0.3">
      <c r="A1790" t="s">
        <v>17</v>
      </c>
      <c r="B1790" t="str">
        <f>"688103"</f>
        <v>688103</v>
      </c>
      <c r="C1790" t="s">
        <v>3899</v>
      </c>
      <c r="D1790" t="s">
        <v>651</v>
      </c>
      <c r="F1790">
        <v>50881559</v>
      </c>
      <c r="G1790">
        <v>119298920</v>
      </c>
      <c r="P1790">
        <v>13</v>
      </c>
      <c r="Q1790" t="s">
        <v>3900</v>
      </c>
    </row>
    <row r="1791" spans="1:17" x14ac:dyDescent="0.3">
      <c r="A1791" t="s">
        <v>17</v>
      </c>
      <c r="B1791" t="str">
        <f>"688105"</f>
        <v>688105</v>
      </c>
      <c r="C1791" t="s">
        <v>3901</v>
      </c>
      <c r="D1791" t="s">
        <v>1305</v>
      </c>
      <c r="F1791">
        <v>550217139</v>
      </c>
      <c r="P1791">
        <v>51</v>
      </c>
      <c r="Q1791" t="s">
        <v>3902</v>
      </c>
    </row>
    <row r="1792" spans="1:17" x14ac:dyDescent="0.3">
      <c r="A1792" t="s">
        <v>17</v>
      </c>
      <c r="B1792" t="str">
        <f>"688106"</f>
        <v>688106</v>
      </c>
      <c r="C1792" t="s">
        <v>3903</v>
      </c>
      <c r="D1792" t="s">
        <v>2399</v>
      </c>
      <c r="F1792">
        <v>125611098</v>
      </c>
      <c r="G1792">
        <v>142676309</v>
      </c>
      <c r="H1792">
        <v>137023037</v>
      </c>
      <c r="P1792">
        <v>136</v>
      </c>
      <c r="Q1792" t="s">
        <v>3904</v>
      </c>
    </row>
    <row r="1793" spans="1:17" x14ac:dyDescent="0.3">
      <c r="A1793" t="s">
        <v>17</v>
      </c>
      <c r="B1793" t="str">
        <f>"688107"</f>
        <v>688107</v>
      </c>
      <c r="C1793" t="s">
        <v>3905</v>
      </c>
      <c r="D1793" t="s">
        <v>461</v>
      </c>
      <c r="F1793">
        <v>-2151890</v>
      </c>
      <c r="G1793">
        <v>30602708</v>
      </c>
      <c r="P1793">
        <v>31</v>
      </c>
      <c r="Q1793" t="s">
        <v>3906</v>
      </c>
    </row>
    <row r="1794" spans="1:17" x14ac:dyDescent="0.3">
      <c r="A1794" t="s">
        <v>17</v>
      </c>
      <c r="B1794" t="str">
        <f>"688108"</f>
        <v>688108</v>
      </c>
      <c r="C1794" t="s">
        <v>3907</v>
      </c>
      <c r="D1794" t="s">
        <v>1077</v>
      </c>
      <c r="F1794">
        <v>-111133734</v>
      </c>
      <c r="G1794">
        <v>49033670</v>
      </c>
      <c r="H1794">
        <v>65759908</v>
      </c>
      <c r="I1794">
        <v>63917950</v>
      </c>
      <c r="P1794">
        <v>104</v>
      </c>
      <c r="Q1794" t="s">
        <v>3908</v>
      </c>
    </row>
    <row r="1795" spans="1:17" x14ac:dyDescent="0.3">
      <c r="A1795" t="s">
        <v>17</v>
      </c>
      <c r="B1795" t="str">
        <f>"688109"</f>
        <v>688109</v>
      </c>
      <c r="C1795" t="s">
        <v>3909</v>
      </c>
      <c r="D1795" t="s">
        <v>945</v>
      </c>
      <c r="F1795">
        <v>33229631</v>
      </c>
      <c r="G1795">
        <v>57329233</v>
      </c>
      <c r="P1795">
        <v>72</v>
      </c>
      <c r="Q1795" t="s">
        <v>3910</v>
      </c>
    </row>
    <row r="1796" spans="1:17" x14ac:dyDescent="0.3">
      <c r="A1796" t="s">
        <v>17</v>
      </c>
      <c r="B1796" t="str">
        <f>"688110"</f>
        <v>688110</v>
      </c>
      <c r="C1796" t="s">
        <v>3911</v>
      </c>
      <c r="D1796" t="s">
        <v>461</v>
      </c>
      <c r="F1796">
        <v>168101185</v>
      </c>
      <c r="G1796">
        <v>16422977</v>
      </c>
      <c r="P1796">
        <v>28</v>
      </c>
      <c r="Q1796" t="s">
        <v>3912</v>
      </c>
    </row>
    <row r="1797" spans="1:17" x14ac:dyDescent="0.3">
      <c r="A1797" t="s">
        <v>17</v>
      </c>
      <c r="B1797" t="str">
        <f>"688111"</f>
        <v>688111</v>
      </c>
      <c r="C1797" t="s">
        <v>3913</v>
      </c>
      <c r="D1797" t="s">
        <v>1189</v>
      </c>
      <c r="F1797">
        <v>847906700</v>
      </c>
      <c r="G1797">
        <v>595291497</v>
      </c>
      <c r="H1797">
        <v>204411343</v>
      </c>
      <c r="I1797">
        <v>209669551</v>
      </c>
      <c r="P1797">
        <v>964</v>
      </c>
      <c r="Q1797" t="s">
        <v>3914</v>
      </c>
    </row>
    <row r="1798" spans="1:17" x14ac:dyDescent="0.3">
      <c r="A1798" t="s">
        <v>17</v>
      </c>
      <c r="B1798" t="str">
        <f>"688112"</f>
        <v>688112</v>
      </c>
      <c r="C1798" t="s">
        <v>3915</v>
      </c>
      <c r="D1798" t="s">
        <v>2551</v>
      </c>
      <c r="F1798">
        <v>60472200</v>
      </c>
      <c r="G1798">
        <v>34181857</v>
      </c>
      <c r="P1798">
        <v>42</v>
      </c>
      <c r="Q1798" t="s">
        <v>3916</v>
      </c>
    </row>
    <row r="1799" spans="1:17" x14ac:dyDescent="0.3">
      <c r="A1799" t="s">
        <v>17</v>
      </c>
      <c r="B1799" t="str">
        <f>"688113"</f>
        <v>688113</v>
      </c>
      <c r="C1799" t="s">
        <v>3917</v>
      </c>
      <c r="D1799" t="s">
        <v>741</v>
      </c>
      <c r="F1799">
        <v>50845888</v>
      </c>
      <c r="G1799">
        <v>42090051</v>
      </c>
      <c r="P1799">
        <v>40</v>
      </c>
      <c r="Q1799" t="s">
        <v>3918</v>
      </c>
    </row>
    <row r="1800" spans="1:17" x14ac:dyDescent="0.3">
      <c r="A1800" t="s">
        <v>17</v>
      </c>
      <c r="B1800" t="str">
        <f>"688115"</f>
        <v>688115</v>
      </c>
      <c r="C1800" t="s">
        <v>3919</v>
      </c>
      <c r="F1800">
        <v>45386924</v>
      </c>
      <c r="G1800">
        <v>48974947</v>
      </c>
      <c r="P1800">
        <v>7</v>
      </c>
      <c r="Q1800" t="s">
        <v>3920</v>
      </c>
    </row>
    <row r="1801" spans="1:17" x14ac:dyDescent="0.3">
      <c r="A1801" t="s">
        <v>17</v>
      </c>
      <c r="B1801" t="str">
        <f>"688116"</f>
        <v>688116</v>
      </c>
      <c r="C1801" t="s">
        <v>3921</v>
      </c>
      <c r="D1801" t="s">
        <v>1786</v>
      </c>
      <c r="F1801">
        <v>203722180</v>
      </c>
      <c r="G1801">
        <v>76798671</v>
      </c>
      <c r="H1801">
        <v>91005986</v>
      </c>
      <c r="I1801">
        <v>45673791</v>
      </c>
      <c r="P1801">
        <v>197</v>
      </c>
      <c r="Q1801" t="s">
        <v>3922</v>
      </c>
    </row>
    <row r="1802" spans="1:17" x14ac:dyDescent="0.3">
      <c r="A1802" t="s">
        <v>17</v>
      </c>
      <c r="B1802" t="str">
        <f>"688117"</f>
        <v>688117</v>
      </c>
      <c r="C1802" t="s">
        <v>3923</v>
      </c>
      <c r="D1802" t="s">
        <v>143</v>
      </c>
      <c r="F1802">
        <v>43033917</v>
      </c>
      <c r="P1802">
        <v>29</v>
      </c>
      <c r="Q1802" t="s">
        <v>3924</v>
      </c>
    </row>
    <row r="1803" spans="1:17" x14ac:dyDescent="0.3">
      <c r="A1803" t="s">
        <v>17</v>
      </c>
      <c r="B1803" t="str">
        <f>"688118"</f>
        <v>688118</v>
      </c>
      <c r="C1803" t="s">
        <v>3925</v>
      </c>
      <c r="D1803" t="s">
        <v>945</v>
      </c>
      <c r="F1803">
        <v>-3118820</v>
      </c>
      <c r="G1803">
        <v>-15140209</v>
      </c>
      <c r="H1803">
        <v>-1902325</v>
      </c>
      <c r="I1803">
        <v>-11004988</v>
      </c>
      <c r="P1803">
        <v>71</v>
      </c>
      <c r="Q1803" t="s">
        <v>3926</v>
      </c>
    </row>
    <row r="1804" spans="1:17" x14ac:dyDescent="0.3">
      <c r="A1804" t="s">
        <v>17</v>
      </c>
      <c r="B1804" t="str">
        <f>"688121"</f>
        <v>688121</v>
      </c>
      <c r="C1804" t="s">
        <v>3927</v>
      </c>
      <c r="D1804" t="s">
        <v>395</v>
      </c>
      <c r="F1804">
        <v>127096607</v>
      </c>
      <c r="G1804">
        <v>181992133</v>
      </c>
      <c r="P1804">
        <v>24</v>
      </c>
      <c r="Q1804" t="s">
        <v>3928</v>
      </c>
    </row>
    <row r="1805" spans="1:17" x14ac:dyDescent="0.3">
      <c r="A1805" t="s">
        <v>17</v>
      </c>
      <c r="B1805" t="str">
        <f>"688122"</f>
        <v>688122</v>
      </c>
      <c r="C1805" t="s">
        <v>3929</v>
      </c>
      <c r="D1805" t="s">
        <v>98</v>
      </c>
      <c r="F1805">
        <v>537937723</v>
      </c>
      <c r="G1805">
        <v>271871466</v>
      </c>
      <c r="H1805">
        <v>111855216</v>
      </c>
      <c r="I1805">
        <v>100075369</v>
      </c>
      <c r="P1805">
        <v>309</v>
      </c>
      <c r="Q1805" t="s">
        <v>3930</v>
      </c>
    </row>
    <row r="1806" spans="1:17" x14ac:dyDescent="0.3">
      <c r="A1806" t="s">
        <v>17</v>
      </c>
      <c r="B1806" t="str">
        <f>"688123"</f>
        <v>688123</v>
      </c>
      <c r="C1806" t="s">
        <v>3931</v>
      </c>
      <c r="D1806" t="s">
        <v>461</v>
      </c>
      <c r="F1806">
        <v>82596780</v>
      </c>
      <c r="G1806">
        <v>119475680</v>
      </c>
      <c r="H1806">
        <v>76251140</v>
      </c>
      <c r="I1806">
        <v>65188500</v>
      </c>
      <c r="P1806">
        <v>163</v>
      </c>
      <c r="Q1806" t="s">
        <v>3932</v>
      </c>
    </row>
    <row r="1807" spans="1:17" x14ac:dyDescent="0.3">
      <c r="A1807" t="s">
        <v>17</v>
      </c>
      <c r="B1807" t="str">
        <f>"688125"</f>
        <v>688125</v>
      </c>
      <c r="C1807" t="s">
        <v>3933</v>
      </c>
      <c r="F1807">
        <v>122562914</v>
      </c>
      <c r="G1807">
        <v>74543633</v>
      </c>
      <c r="P1807">
        <v>2</v>
      </c>
      <c r="Q1807" t="s">
        <v>3934</v>
      </c>
    </row>
    <row r="1808" spans="1:17" x14ac:dyDescent="0.3">
      <c r="A1808" t="s">
        <v>17</v>
      </c>
      <c r="B1808" t="str">
        <f>"688126"</f>
        <v>688126</v>
      </c>
      <c r="C1808" t="s">
        <v>3935</v>
      </c>
      <c r="D1808" t="s">
        <v>475</v>
      </c>
      <c r="F1808">
        <v>100659491</v>
      </c>
      <c r="G1808">
        <v>-1736940</v>
      </c>
      <c r="H1808">
        <v>-46508258</v>
      </c>
      <c r="P1808">
        <v>329</v>
      </c>
      <c r="Q1808" t="s">
        <v>3936</v>
      </c>
    </row>
    <row r="1809" spans="1:17" x14ac:dyDescent="0.3">
      <c r="A1809" t="s">
        <v>17</v>
      </c>
      <c r="B1809" t="str">
        <f>"688127"</f>
        <v>688127</v>
      </c>
      <c r="C1809" t="s">
        <v>3937</v>
      </c>
      <c r="D1809" t="s">
        <v>164</v>
      </c>
      <c r="F1809">
        <v>109398990</v>
      </c>
      <c r="G1809">
        <v>127861787</v>
      </c>
      <c r="H1809">
        <v>80633354</v>
      </c>
      <c r="P1809">
        <v>86</v>
      </c>
      <c r="Q1809" t="s">
        <v>3938</v>
      </c>
    </row>
    <row r="1810" spans="1:17" x14ac:dyDescent="0.3">
      <c r="A1810" t="s">
        <v>17</v>
      </c>
      <c r="B1810" t="str">
        <f>"688128"</f>
        <v>688128</v>
      </c>
      <c r="C1810" t="s">
        <v>3939</v>
      </c>
      <c r="D1810" t="s">
        <v>741</v>
      </c>
      <c r="F1810">
        <v>239330500</v>
      </c>
      <c r="G1810">
        <v>196944000</v>
      </c>
      <c r="H1810">
        <v>171190505</v>
      </c>
      <c r="I1810">
        <v>121311506</v>
      </c>
      <c r="P1810">
        <v>68</v>
      </c>
      <c r="Q1810" t="s">
        <v>3940</v>
      </c>
    </row>
    <row r="1811" spans="1:17" x14ac:dyDescent="0.3">
      <c r="A1811" t="s">
        <v>17</v>
      </c>
      <c r="B1811" t="str">
        <f>"688129"</f>
        <v>688129</v>
      </c>
      <c r="C1811" t="s">
        <v>3941</v>
      </c>
      <c r="D1811" t="s">
        <v>2570</v>
      </c>
      <c r="F1811">
        <v>64104321</v>
      </c>
      <c r="G1811">
        <v>54809263</v>
      </c>
      <c r="H1811">
        <v>59602902</v>
      </c>
      <c r="P1811">
        <v>38</v>
      </c>
      <c r="Q1811" t="s">
        <v>3942</v>
      </c>
    </row>
    <row r="1812" spans="1:17" x14ac:dyDescent="0.3">
      <c r="A1812" t="s">
        <v>17</v>
      </c>
      <c r="B1812" t="str">
        <f>"688131"</f>
        <v>688131</v>
      </c>
      <c r="C1812" t="s">
        <v>3943</v>
      </c>
      <c r="D1812" t="s">
        <v>496</v>
      </c>
      <c r="F1812">
        <v>143981002</v>
      </c>
      <c r="G1812">
        <v>70656124</v>
      </c>
      <c r="P1812">
        <v>88</v>
      </c>
      <c r="Q1812" t="s">
        <v>3944</v>
      </c>
    </row>
    <row r="1813" spans="1:17" x14ac:dyDescent="0.3">
      <c r="A1813" t="s">
        <v>17</v>
      </c>
      <c r="B1813" t="str">
        <f>"688133"</f>
        <v>688133</v>
      </c>
      <c r="C1813" t="s">
        <v>3945</v>
      </c>
      <c r="D1813" t="s">
        <v>386</v>
      </c>
      <c r="F1813">
        <v>86237795</v>
      </c>
      <c r="G1813">
        <v>50764868</v>
      </c>
      <c r="H1813">
        <v>44377448</v>
      </c>
      <c r="P1813">
        <v>118</v>
      </c>
      <c r="Q1813" t="s">
        <v>3946</v>
      </c>
    </row>
    <row r="1814" spans="1:17" x14ac:dyDescent="0.3">
      <c r="A1814" t="s">
        <v>17</v>
      </c>
      <c r="B1814" t="str">
        <f>"688135"</f>
        <v>688135</v>
      </c>
      <c r="C1814" t="s">
        <v>3947</v>
      </c>
      <c r="D1814" t="s">
        <v>1180</v>
      </c>
      <c r="F1814">
        <v>77494508</v>
      </c>
      <c r="G1814">
        <v>30586754</v>
      </c>
      <c r="H1814">
        <v>29866230</v>
      </c>
      <c r="P1814">
        <v>87</v>
      </c>
      <c r="Q1814" t="s">
        <v>3948</v>
      </c>
    </row>
    <row r="1815" spans="1:17" x14ac:dyDescent="0.3">
      <c r="A1815" t="s">
        <v>17</v>
      </c>
      <c r="B1815" t="str">
        <f>"688136"</f>
        <v>688136</v>
      </c>
      <c r="C1815" t="s">
        <v>3949</v>
      </c>
      <c r="D1815" t="s">
        <v>1379</v>
      </c>
      <c r="F1815">
        <v>75311133</v>
      </c>
      <c r="G1815">
        <v>117483107</v>
      </c>
      <c r="H1815">
        <v>119288303</v>
      </c>
      <c r="P1815">
        <v>66</v>
      </c>
      <c r="Q1815" t="s">
        <v>3950</v>
      </c>
    </row>
    <row r="1816" spans="1:17" x14ac:dyDescent="0.3">
      <c r="A1816" t="s">
        <v>17</v>
      </c>
      <c r="B1816" t="str">
        <f>"688138"</f>
        <v>688138</v>
      </c>
      <c r="C1816" t="s">
        <v>3951</v>
      </c>
      <c r="D1816" t="s">
        <v>475</v>
      </c>
      <c r="F1816">
        <v>30966965</v>
      </c>
      <c r="G1816">
        <v>62548470</v>
      </c>
      <c r="H1816">
        <v>55331631</v>
      </c>
      <c r="I1816">
        <v>44294666</v>
      </c>
      <c r="P1816">
        <v>92</v>
      </c>
      <c r="Q1816" t="s">
        <v>3952</v>
      </c>
    </row>
    <row r="1817" spans="1:17" x14ac:dyDescent="0.3">
      <c r="A1817" t="s">
        <v>17</v>
      </c>
      <c r="B1817" t="str">
        <f>"688139"</f>
        <v>688139</v>
      </c>
      <c r="C1817" t="s">
        <v>3953</v>
      </c>
      <c r="D1817" t="s">
        <v>122</v>
      </c>
      <c r="F1817">
        <v>698184667</v>
      </c>
      <c r="G1817">
        <v>272430876</v>
      </c>
      <c r="H1817">
        <v>133339849</v>
      </c>
      <c r="I1817">
        <v>74618296</v>
      </c>
      <c r="P1817">
        <v>349</v>
      </c>
      <c r="Q1817" t="s">
        <v>3954</v>
      </c>
    </row>
    <row r="1818" spans="1:17" x14ac:dyDescent="0.3">
      <c r="A1818" t="s">
        <v>17</v>
      </c>
      <c r="B1818" t="str">
        <f>"688148"</f>
        <v>688148</v>
      </c>
      <c r="C1818" t="s">
        <v>3955</v>
      </c>
      <c r="D1818" t="s">
        <v>1786</v>
      </c>
      <c r="F1818">
        <v>72882853</v>
      </c>
      <c r="G1818">
        <v>21364047</v>
      </c>
      <c r="P1818">
        <v>29</v>
      </c>
      <c r="Q1818" t="s">
        <v>3956</v>
      </c>
    </row>
    <row r="1819" spans="1:17" x14ac:dyDescent="0.3">
      <c r="A1819" t="s">
        <v>17</v>
      </c>
      <c r="B1819" t="str">
        <f>"688151"</f>
        <v>688151</v>
      </c>
      <c r="C1819" t="s">
        <v>3957</v>
      </c>
      <c r="D1819" t="s">
        <v>428</v>
      </c>
      <c r="F1819">
        <v>308956966</v>
      </c>
      <c r="P1819">
        <v>13</v>
      </c>
      <c r="Q1819" t="s">
        <v>3958</v>
      </c>
    </row>
    <row r="1820" spans="1:17" x14ac:dyDescent="0.3">
      <c r="A1820" t="s">
        <v>17</v>
      </c>
      <c r="B1820" t="str">
        <f>"688155"</f>
        <v>688155</v>
      </c>
      <c r="C1820" t="s">
        <v>3959</v>
      </c>
      <c r="D1820" t="s">
        <v>3749</v>
      </c>
      <c r="F1820">
        <v>69699936</v>
      </c>
      <c r="G1820">
        <v>31070061</v>
      </c>
      <c r="H1820">
        <v>-21669098</v>
      </c>
      <c r="P1820">
        <v>101</v>
      </c>
      <c r="Q1820" t="s">
        <v>3960</v>
      </c>
    </row>
    <row r="1821" spans="1:17" x14ac:dyDescent="0.3">
      <c r="A1821" t="s">
        <v>17</v>
      </c>
      <c r="B1821" t="str">
        <f>"688156"</f>
        <v>688156</v>
      </c>
      <c r="C1821" t="s">
        <v>3961</v>
      </c>
      <c r="D1821" t="s">
        <v>499</v>
      </c>
      <c r="F1821">
        <v>45819808</v>
      </c>
      <c r="G1821">
        <v>22346703</v>
      </c>
      <c r="H1821">
        <v>42470078</v>
      </c>
      <c r="P1821">
        <v>41</v>
      </c>
      <c r="Q1821" t="s">
        <v>3962</v>
      </c>
    </row>
    <row r="1822" spans="1:17" x14ac:dyDescent="0.3">
      <c r="A1822" t="s">
        <v>17</v>
      </c>
      <c r="B1822" t="str">
        <f>"688157"</f>
        <v>688157</v>
      </c>
      <c r="C1822" t="s">
        <v>3963</v>
      </c>
      <c r="D1822" t="s">
        <v>2570</v>
      </c>
      <c r="F1822">
        <v>71815550</v>
      </c>
      <c r="G1822">
        <v>64827139</v>
      </c>
      <c r="H1822">
        <v>65352432</v>
      </c>
      <c r="P1822">
        <v>100</v>
      </c>
      <c r="Q1822" t="s">
        <v>3964</v>
      </c>
    </row>
    <row r="1823" spans="1:17" x14ac:dyDescent="0.3">
      <c r="A1823" t="s">
        <v>17</v>
      </c>
      <c r="B1823" t="str">
        <f>"688158"</f>
        <v>688158</v>
      </c>
      <c r="C1823" t="s">
        <v>3965</v>
      </c>
      <c r="D1823" t="s">
        <v>316</v>
      </c>
      <c r="F1823">
        <v>-500086836</v>
      </c>
      <c r="G1823">
        <v>-179234188</v>
      </c>
      <c r="H1823">
        <v>10760400</v>
      </c>
      <c r="I1823">
        <v>69023500</v>
      </c>
      <c r="P1823">
        <v>104</v>
      </c>
      <c r="Q1823" t="s">
        <v>3966</v>
      </c>
    </row>
    <row r="1824" spans="1:17" x14ac:dyDescent="0.3">
      <c r="A1824" t="s">
        <v>17</v>
      </c>
      <c r="B1824" t="str">
        <f>"688159"</f>
        <v>688159</v>
      </c>
      <c r="C1824" t="s">
        <v>3967</v>
      </c>
      <c r="D1824" t="s">
        <v>786</v>
      </c>
      <c r="F1824">
        <v>-10312184</v>
      </c>
      <c r="G1824">
        <v>-41356972</v>
      </c>
      <c r="H1824">
        <v>28942854</v>
      </c>
      <c r="I1824">
        <v>23602510</v>
      </c>
      <c r="P1824">
        <v>93</v>
      </c>
      <c r="Q1824" t="s">
        <v>3968</v>
      </c>
    </row>
    <row r="1825" spans="1:17" x14ac:dyDescent="0.3">
      <c r="A1825" t="s">
        <v>17</v>
      </c>
      <c r="B1825" t="str">
        <f>"688160"</f>
        <v>688160</v>
      </c>
      <c r="C1825" t="s">
        <v>3969</v>
      </c>
      <c r="D1825" t="s">
        <v>2423</v>
      </c>
      <c r="F1825">
        <v>57469050</v>
      </c>
      <c r="G1825">
        <v>49158464</v>
      </c>
      <c r="H1825">
        <v>29231084</v>
      </c>
      <c r="P1825">
        <v>44</v>
      </c>
      <c r="Q1825" t="s">
        <v>3970</v>
      </c>
    </row>
    <row r="1826" spans="1:17" x14ac:dyDescent="0.3">
      <c r="A1826" t="s">
        <v>17</v>
      </c>
      <c r="B1826" t="str">
        <f>"688161"</f>
        <v>688161</v>
      </c>
      <c r="C1826" t="s">
        <v>3971</v>
      </c>
      <c r="D1826" t="s">
        <v>1077</v>
      </c>
      <c r="F1826">
        <v>494349486</v>
      </c>
      <c r="G1826">
        <v>383214935</v>
      </c>
      <c r="P1826">
        <v>101</v>
      </c>
      <c r="Q1826" t="s">
        <v>3972</v>
      </c>
    </row>
    <row r="1827" spans="1:17" x14ac:dyDescent="0.3">
      <c r="A1827" t="s">
        <v>17</v>
      </c>
      <c r="B1827" t="str">
        <f>"688162"</f>
        <v>688162</v>
      </c>
      <c r="C1827" t="s">
        <v>3973</v>
      </c>
      <c r="D1827" t="s">
        <v>348</v>
      </c>
      <c r="F1827">
        <v>139295846</v>
      </c>
      <c r="G1827">
        <v>52534055</v>
      </c>
      <c r="P1827">
        <v>31</v>
      </c>
      <c r="Q1827" t="s">
        <v>3974</v>
      </c>
    </row>
    <row r="1828" spans="1:17" x14ac:dyDescent="0.3">
      <c r="A1828" t="s">
        <v>17</v>
      </c>
      <c r="B1828" t="str">
        <f>"688163"</f>
        <v>688163</v>
      </c>
      <c r="C1828" t="s">
        <v>3975</v>
      </c>
      <c r="F1828">
        <v>72158231</v>
      </c>
      <c r="G1828">
        <v>65707921</v>
      </c>
      <c r="P1828">
        <v>12</v>
      </c>
      <c r="Q1828" t="s">
        <v>3976</v>
      </c>
    </row>
    <row r="1829" spans="1:17" x14ac:dyDescent="0.3">
      <c r="A1829" t="s">
        <v>17</v>
      </c>
      <c r="B1829" t="str">
        <f>"688165"</f>
        <v>688165</v>
      </c>
      <c r="C1829" t="s">
        <v>3977</v>
      </c>
      <c r="D1829" t="s">
        <v>2911</v>
      </c>
      <c r="F1829">
        <v>-85170695</v>
      </c>
      <c r="G1829">
        <v>-81483388</v>
      </c>
      <c r="H1829">
        <v>-32034110</v>
      </c>
      <c r="P1829">
        <v>64</v>
      </c>
      <c r="Q1829" t="s">
        <v>3978</v>
      </c>
    </row>
    <row r="1830" spans="1:17" x14ac:dyDescent="0.3">
      <c r="A1830" t="s">
        <v>17</v>
      </c>
      <c r="B1830" t="str">
        <f>"688166"</f>
        <v>688166</v>
      </c>
      <c r="C1830" t="s">
        <v>3979</v>
      </c>
      <c r="D1830" t="s">
        <v>143</v>
      </c>
      <c r="F1830">
        <v>176871563</v>
      </c>
      <c r="G1830">
        <v>121732694</v>
      </c>
      <c r="H1830">
        <v>63770329</v>
      </c>
      <c r="I1830">
        <v>41369896</v>
      </c>
      <c r="P1830">
        <v>190</v>
      </c>
      <c r="Q1830" t="s">
        <v>3980</v>
      </c>
    </row>
    <row r="1831" spans="1:17" x14ac:dyDescent="0.3">
      <c r="A1831" t="s">
        <v>17</v>
      </c>
      <c r="B1831" t="str">
        <f>"688167"</f>
        <v>688167</v>
      </c>
      <c r="C1831" t="s">
        <v>3981</v>
      </c>
      <c r="D1831" t="s">
        <v>3784</v>
      </c>
      <c r="F1831">
        <v>56895808</v>
      </c>
      <c r="G1831">
        <v>25659138</v>
      </c>
      <c r="P1831">
        <v>32</v>
      </c>
      <c r="Q1831" t="s">
        <v>3982</v>
      </c>
    </row>
    <row r="1832" spans="1:17" x14ac:dyDescent="0.3">
      <c r="A1832" t="s">
        <v>17</v>
      </c>
      <c r="B1832" t="str">
        <f>"688168"</f>
        <v>688168</v>
      </c>
      <c r="C1832" t="s">
        <v>3983</v>
      </c>
      <c r="D1832" t="s">
        <v>1189</v>
      </c>
      <c r="F1832">
        <v>33106737</v>
      </c>
      <c r="G1832">
        <v>8251473</v>
      </c>
      <c r="H1832">
        <v>22016342</v>
      </c>
      <c r="I1832">
        <v>9633664</v>
      </c>
      <c r="P1832">
        <v>144</v>
      </c>
      <c r="Q1832" t="s">
        <v>3984</v>
      </c>
    </row>
    <row r="1833" spans="1:17" x14ac:dyDescent="0.3">
      <c r="A1833" t="s">
        <v>17</v>
      </c>
      <c r="B1833" t="str">
        <f>"688169"</f>
        <v>688169</v>
      </c>
      <c r="C1833" t="s">
        <v>3985</v>
      </c>
      <c r="D1833" t="s">
        <v>2697</v>
      </c>
      <c r="F1833">
        <v>1016059622</v>
      </c>
      <c r="G1833">
        <v>899343305</v>
      </c>
      <c r="H1833">
        <v>582143050</v>
      </c>
      <c r="I1833">
        <v>173191864</v>
      </c>
      <c r="P1833">
        <v>758</v>
      </c>
      <c r="Q1833" t="s">
        <v>3986</v>
      </c>
    </row>
    <row r="1834" spans="1:17" x14ac:dyDescent="0.3">
      <c r="A1834" t="s">
        <v>17</v>
      </c>
      <c r="B1834" t="str">
        <f>"688171"</f>
        <v>688171</v>
      </c>
      <c r="C1834" t="s">
        <v>3987</v>
      </c>
      <c r="F1834">
        <v>36363203</v>
      </c>
      <c r="G1834">
        <v>40114415</v>
      </c>
      <c r="P1834">
        <v>12</v>
      </c>
      <c r="Q1834" t="s">
        <v>3988</v>
      </c>
    </row>
    <row r="1835" spans="1:17" x14ac:dyDescent="0.3">
      <c r="A1835" t="s">
        <v>17</v>
      </c>
      <c r="B1835" t="str">
        <f>"688173"</f>
        <v>688173</v>
      </c>
      <c r="C1835" t="s">
        <v>3989</v>
      </c>
      <c r="F1835">
        <v>32947137</v>
      </c>
      <c r="G1835">
        <v>-44135773</v>
      </c>
      <c r="P1835">
        <v>11</v>
      </c>
      <c r="Q1835" t="s">
        <v>3990</v>
      </c>
    </row>
    <row r="1836" spans="1:17" x14ac:dyDescent="0.3">
      <c r="A1836" t="s">
        <v>17</v>
      </c>
      <c r="B1836" t="str">
        <f>"688176"</f>
        <v>688176</v>
      </c>
      <c r="C1836" t="s">
        <v>3991</v>
      </c>
      <c r="D1836" t="s">
        <v>143</v>
      </c>
      <c r="F1836">
        <v>-171502088</v>
      </c>
      <c r="G1836">
        <v>-159769260</v>
      </c>
      <c r="P1836">
        <v>9</v>
      </c>
      <c r="Q1836" t="s">
        <v>3992</v>
      </c>
    </row>
    <row r="1837" spans="1:17" x14ac:dyDescent="0.3">
      <c r="A1837" t="s">
        <v>17</v>
      </c>
      <c r="B1837" t="str">
        <f>"688177"</f>
        <v>688177</v>
      </c>
      <c r="C1837" t="s">
        <v>3993</v>
      </c>
      <c r="D1837" t="s">
        <v>1379</v>
      </c>
      <c r="F1837">
        <v>-111824395</v>
      </c>
      <c r="G1837">
        <v>-362001567</v>
      </c>
      <c r="H1837">
        <v>-884097999</v>
      </c>
      <c r="I1837">
        <v>-362645067</v>
      </c>
      <c r="P1837">
        <v>98</v>
      </c>
      <c r="Q1837" t="s">
        <v>3994</v>
      </c>
    </row>
    <row r="1838" spans="1:17" x14ac:dyDescent="0.3">
      <c r="A1838" t="s">
        <v>17</v>
      </c>
      <c r="B1838" t="str">
        <f>"688178"</f>
        <v>688178</v>
      </c>
      <c r="C1838" t="s">
        <v>3995</v>
      </c>
      <c r="D1838" t="s">
        <v>33</v>
      </c>
      <c r="F1838">
        <v>71727308</v>
      </c>
      <c r="G1838">
        <v>105855636</v>
      </c>
      <c r="H1838">
        <v>94062418</v>
      </c>
      <c r="I1838">
        <v>40791400</v>
      </c>
      <c r="P1838">
        <v>69</v>
      </c>
      <c r="Q1838" t="s">
        <v>3996</v>
      </c>
    </row>
    <row r="1839" spans="1:17" x14ac:dyDescent="0.3">
      <c r="A1839" t="s">
        <v>17</v>
      </c>
      <c r="B1839" t="str">
        <f>"688179"</f>
        <v>688179</v>
      </c>
      <c r="C1839" t="s">
        <v>3997</v>
      </c>
      <c r="D1839" t="s">
        <v>386</v>
      </c>
      <c r="F1839">
        <v>59536860</v>
      </c>
      <c r="G1839">
        <v>48202025</v>
      </c>
      <c r="H1839">
        <v>43570069</v>
      </c>
      <c r="I1839">
        <v>33274200</v>
      </c>
      <c r="P1839">
        <v>156</v>
      </c>
      <c r="Q1839" t="s">
        <v>3998</v>
      </c>
    </row>
    <row r="1840" spans="1:17" x14ac:dyDescent="0.3">
      <c r="A1840" t="s">
        <v>17</v>
      </c>
      <c r="B1840" t="str">
        <f>"688180"</f>
        <v>688180</v>
      </c>
      <c r="C1840" t="s">
        <v>3999</v>
      </c>
      <c r="D1840" t="s">
        <v>1379</v>
      </c>
      <c r="F1840">
        <v>-392126592</v>
      </c>
      <c r="G1840">
        <v>-1115665017</v>
      </c>
      <c r="H1840">
        <v>-445508268</v>
      </c>
      <c r="P1840">
        <v>206</v>
      </c>
      <c r="Q1840" t="s">
        <v>4000</v>
      </c>
    </row>
    <row r="1841" spans="1:17" x14ac:dyDescent="0.3">
      <c r="A1841" t="s">
        <v>17</v>
      </c>
      <c r="B1841" t="str">
        <f>"688181"</f>
        <v>688181</v>
      </c>
      <c r="C1841" t="s">
        <v>4001</v>
      </c>
      <c r="D1841" t="s">
        <v>1117</v>
      </c>
      <c r="F1841">
        <v>168787291</v>
      </c>
      <c r="G1841">
        <v>132966893</v>
      </c>
      <c r="H1841">
        <v>88437051</v>
      </c>
      <c r="I1841">
        <v>102414543</v>
      </c>
      <c r="P1841">
        <v>108</v>
      </c>
      <c r="Q1841" t="s">
        <v>4002</v>
      </c>
    </row>
    <row r="1842" spans="1:17" x14ac:dyDescent="0.3">
      <c r="A1842" t="s">
        <v>17</v>
      </c>
      <c r="B1842" t="str">
        <f>"688182"</f>
        <v>688182</v>
      </c>
      <c r="C1842" t="s">
        <v>4003</v>
      </c>
      <c r="D1842" t="s">
        <v>1019</v>
      </c>
      <c r="F1842">
        <v>70295430</v>
      </c>
      <c r="G1842">
        <v>242720191</v>
      </c>
      <c r="P1842">
        <v>17</v>
      </c>
      <c r="Q1842" t="s">
        <v>4004</v>
      </c>
    </row>
    <row r="1843" spans="1:17" x14ac:dyDescent="0.3">
      <c r="A1843" t="s">
        <v>17</v>
      </c>
      <c r="B1843" t="str">
        <f>"688183"</f>
        <v>688183</v>
      </c>
      <c r="C1843" t="s">
        <v>4005</v>
      </c>
      <c r="D1843" t="s">
        <v>425</v>
      </c>
      <c r="F1843">
        <v>182551088</v>
      </c>
      <c r="G1843">
        <v>392933851</v>
      </c>
      <c r="H1843">
        <v>305665654</v>
      </c>
      <c r="P1843">
        <v>41</v>
      </c>
      <c r="Q1843" t="s">
        <v>4006</v>
      </c>
    </row>
    <row r="1844" spans="1:17" x14ac:dyDescent="0.3">
      <c r="A1844" t="s">
        <v>17</v>
      </c>
      <c r="B1844" t="str">
        <f>"688185"</f>
        <v>688185</v>
      </c>
      <c r="C1844" t="s">
        <v>4007</v>
      </c>
      <c r="D1844" t="s">
        <v>1499</v>
      </c>
      <c r="F1844">
        <v>1333895748</v>
      </c>
      <c r="G1844">
        <v>-175891311</v>
      </c>
      <c r="H1844">
        <v>-93473603</v>
      </c>
      <c r="P1844">
        <v>266</v>
      </c>
      <c r="Q1844" t="s">
        <v>4008</v>
      </c>
    </row>
    <row r="1845" spans="1:17" x14ac:dyDescent="0.3">
      <c r="A1845" t="s">
        <v>17</v>
      </c>
      <c r="B1845" t="str">
        <f>"688186"</f>
        <v>688186</v>
      </c>
      <c r="C1845" t="s">
        <v>4009</v>
      </c>
      <c r="D1845" t="s">
        <v>281</v>
      </c>
      <c r="F1845">
        <v>190595353</v>
      </c>
      <c r="G1845">
        <v>138920198</v>
      </c>
      <c r="H1845">
        <v>92678563</v>
      </c>
      <c r="I1845">
        <v>90082481</v>
      </c>
      <c r="P1845">
        <v>110</v>
      </c>
      <c r="Q1845" t="s">
        <v>4010</v>
      </c>
    </row>
    <row r="1846" spans="1:17" x14ac:dyDescent="0.3">
      <c r="A1846" t="s">
        <v>17</v>
      </c>
      <c r="B1846" t="str">
        <f>"688187"</f>
        <v>688187</v>
      </c>
      <c r="C1846" t="s">
        <v>4011</v>
      </c>
      <c r="D1846" t="s">
        <v>1012</v>
      </c>
      <c r="F1846">
        <v>1202338313</v>
      </c>
      <c r="G1846">
        <v>1497191798</v>
      </c>
      <c r="P1846">
        <v>59</v>
      </c>
      <c r="Q1846" t="s">
        <v>4012</v>
      </c>
    </row>
    <row r="1847" spans="1:17" x14ac:dyDescent="0.3">
      <c r="A1847" t="s">
        <v>17</v>
      </c>
      <c r="B1847" t="str">
        <f>"688188"</f>
        <v>688188</v>
      </c>
      <c r="C1847" t="s">
        <v>4013</v>
      </c>
      <c r="D1847" t="s">
        <v>236</v>
      </c>
      <c r="F1847">
        <v>461630744</v>
      </c>
      <c r="G1847">
        <v>276490683</v>
      </c>
      <c r="H1847">
        <v>191022574</v>
      </c>
      <c r="I1847">
        <v>118056780</v>
      </c>
      <c r="P1847">
        <v>363</v>
      </c>
      <c r="Q1847" t="s">
        <v>4014</v>
      </c>
    </row>
    <row r="1848" spans="1:17" x14ac:dyDescent="0.3">
      <c r="A1848" t="s">
        <v>17</v>
      </c>
      <c r="B1848" t="str">
        <f>"688189"</f>
        <v>688189</v>
      </c>
      <c r="C1848" t="s">
        <v>4015</v>
      </c>
      <c r="D1848" t="s">
        <v>143</v>
      </c>
      <c r="F1848">
        <v>49151010</v>
      </c>
      <c r="G1848">
        <v>71072948</v>
      </c>
      <c r="H1848">
        <v>47057948</v>
      </c>
      <c r="I1848">
        <v>31122100</v>
      </c>
      <c r="P1848">
        <v>97</v>
      </c>
      <c r="Q1848" t="s">
        <v>4016</v>
      </c>
    </row>
    <row r="1849" spans="1:17" x14ac:dyDescent="0.3">
      <c r="A1849" t="s">
        <v>17</v>
      </c>
      <c r="B1849" t="str">
        <f>"688190"</f>
        <v>688190</v>
      </c>
      <c r="C1849" t="s">
        <v>4017</v>
      </c>
      <c r="D1849" t="s">
        <v>581</v>
      </c>
      <c r="F1849">
        <v>89242667</v>
      </c>
      <c r="G1849">
        <v>77270134</v>
      </c>
      <c r="P1849">
        <v>15</v>
      </c>
      <c r="Q1849" t="s">
        <v>4018</v>
      </c>
    </row>
    <row r="1850" spans="1:17" x14ac:dyDescent="0.3">
      <c r="A1850" t="s">
        <v>17</v>
      </c>
      <c r="B1850" t="str">
        <f>"688191"</f>
        <v>688191</v>
      </c>
      <c r="C1850" t="s">
        <v>4019</v>
      </c>
      <c r="D1850" t="s">
        <v>610</v>
      </c>
      <c r="F1850">
        <v>50961824</v>
      </c>
      <c r="G1850">
        <v>50153059</v>
      </c>
      <c r="H1850">
        <v>27339838</v>
      </c>
      <c r="P1850">
        <v>56</v>
      </c>
      <c r="Q1850" t="s">
        <v>4020</v>
      </c>
    </row>
    <row r="1851" spans="1:17" x14ac:dyDescent="0.3">
      <c r="A1851" t="s">
        <v>17</v>
      </c>
      <c r="B1851" t="str">
        <f>"688192"</f>
        <v>688192</v>
      </c>
      <c r="C1851" t="s">
        <v>4021</v>
      </c>
      <c r="D1851" t="s">
        <v>143</v>
      </c>
      <c r="F1851">
        <v>-466389270</v>
      </c>
      <c r="G1851">
        <v>-459666257</v>
      </c>
      <c r="P1851">
        <v>11</v>
      </c>
      <c r="Q1851" t="s">
        <v>4022</v>
      </c>
    </row>
    <row r="1852" spans="1:17" x14ac:dyDescent="0.3">
      <c r="A1852" t="s">
        <v>17</v>
      </c>
      <c r="B1852" t="str">
        <f>"688195"</f>
        <v>688195</v>
      </c>
      <c r="C1852" t="s">
        <v>4023</v>
      </c>
      <c r="D1852" t="s">
        <v>164</v>
      </c>
      <c r="F1852">
        <v>38815913</v>
      </c>
      <c r="P1852">
        <v>41</v>
      </c>
      <c r="Q1852" t="s">
        <v>4024</v>
      </c>
    </row>
    <row r="1853" spans="1:17" x14ac:dyDescent="0.3">
      <c r="A1853" t="s">
        <v>17</v>
      </c>
      <c r="B1853" t="str">
        <f>"688196"</f>
        <v>688196</v>
      </c>
      <c r="C1853" t="s">
        <v>4025</v>
      </c>
      <c r="D1853" t="s">
        <v>386</v>
      </c>
      <c r="F1853">
        <v>200136686</v>
      </c>
      <c r="G1853">
        <v>193393605</v>
      </c>
      <c r="H1853">
        <v>173559137</v>
      </c>
      <c r="I1853">
        <v>101383736</v>
      </c>
      <c r="J1853">
        <v>31924309</v>
      </c>
      <c r="P1853">
        <v>188</v>
      </c>
      <c r="Q1853" t="s">
        <v>4026</v>
      </c>
    </row>
    <row r="1854" spans="1:17" x14ac:dyDescent="0.3">
      <c r="A1854" t="s">
        <v>17</v>
      </c>
      <c r="B1854" t="str">
        <f>"688197"</f>
        <v>688197</v>
      </c>
      <c r="C1854" t="s">
        <v>4027</v>
      </c>
      <c r="F1854">
        <v>-103916070</v>
      </c>
      <c r="G1854">
        <v>-299705662</v>
      </c>
      <c r="P1854">
        <v>3</v>
      </c>
      <c r="Q1854" t="s">
        <v>4028</v>
      </c>
    </row>
    <row r="1855" spans="1:17" x14ac:dyDescent="0.3">
      <c r="A1855" t="s">
        <v>17</v>
      </c>
      <c r="B1855" t="str">
        <f>"688198"</f>
        <v>688198</v>
      </c>
      <c r="C1855" t="s">
        <v>4029</v>
      </c>
      <c r="D1855" t="s">
        <v>1077</v>
      </c>
      <c r="F1855">
        <v>40426821</v>
      </c>
      <c r="G1855">
        <v>44617086</v>
      </c>
      <c r="H1855">
        <v>47709264</v>
      </c>
      <c r="I1855">
        <v>36840654</v>
      </c>
      <c r="P1855">
        <v>190</v>
      </c>
      <c r="Q1855" t="s">
        <v>4030</v>
      </c>
    </row>
    <row r="1856" spans="1:17" x14ac:dyDescent="0.3">
      <c r="A1856" t="s">
        <v>17</v>
      </c>
      <c r="B1856" t="str">
        <f>"688199"</f>
        <v>688199</v>
      </c>
      <c r="C1856" t="s">
        <v>4031</v>
      </c>
      <c r="D1856" t="s">
        <v>386</v>
      </c>
      <c r="F1856">
        <v>108146878</v>
      </c>
      <c r="G1856">
        <v>114118241</v>
      </c>
      <c r="H1856">
        <v>231435764</v>
      </c>
      <c r="I1856">
        <v>123983292</v>
      </c>
      <c r="P1856">
        <v>94</v>
      </c>
      <c r="Q1856" t="s">
        <v>4032</v>
      </c>
    </row>
    <row r="1857" spans="1:17" x14ac:dyDescent="0.3">
      <c r="A1857" t="s">
        <v>17</v>
      </c>
      <c r="B1857" t="str">
        <f>"688200"</f>
        <v>688200</v>
      </c>
      <c r="C1857" t="s">
        <v>4033</v>
      </c>
      <c r="D1857" t="s">
        <v>3160</v>
      </c>
      <c r="F1857">
        <v>311192770</v>
      </c>
      <c r="G1857">
        <v>136746066</v>
      </c>
      <c r="H1857">
        <v>81370899</v>
      </c>
      <c r="I1857">
        <v>79622976</v>
      </c>
      <c r="P1857">
        <v>291</v>
      </c>
      <c r="Q1857" t="s">
        <v>4034</v>
      </c>
    </row>
    <row r="1858" spans="1:17" x14ac:dyDescent="0.3">
      <c r="A1858" t="s">
        <v>17</v>
      </c>
      <c r="B1858" t="str">
        <f>"688201"</f>
        <v>688201</v>
      </c>
      <c r="C1858" t="s">
        <v>4035</v>
      </c>
      <c r="D1858" t="s">
        <v>1189</v>
      </c>
      <c r="F1858">
        <v>49529045</v>
      </c>
      <c r="G1858">
        <v>23917126</v>
      </c>
      <c r="P1858">
        <v>62</v>
      </c>
      <c r="Q1858" t="s">
        <v>4036</v>
      </c>
    </row>
    <row r="1859" spans="1:17" x14ac:dyDescent="0.3">
      <c r="A1859" t="s">
        <v>17</v>
      </c>
      <c r="B1859" t="str">
        <f>"688202"</f>
        <v>688202</v>
      </c>
      <c r="C1859" t="s">
        <v>4037</v>
      </c>
      <c r="D1859" t="s">
        <v>1461</v>
      </c>
      <c r="F1859">
        <v>180954043</v>
      </c>
      <c r="G1859">
        <v>74756420</v>
      </c>
      <c r="H1859">
        <v>46696284</v>
      </c>
      <c r="I1859">
        <v>43427040</v>
      </c>
      <c r="P1859">
        <v>382</v>
      </c>
      <c r="Q1859" t="s">
        <v>4038</v>
      </c>
    </row>
    <row r="1860" spans="1:17" x14ac:dyDescent="0.3">
      <c r="A1860" t="s">
        <v>17</v>
      </c>
      <c r="B1860" t="str">
        <f>"688206"</f>
        <v>688206</v>
      </c>
      <c r="C1860" t="s">
        <v>4039</v>
      </c>
      <c r="D1860" t="s">
        <v>3160</v>
      </c>
      <c r="F1860">
        <v>15129911</v>
      </c>
      <c r="G1860">
        <v>14731385</v>
      </c>
      <c r="P1860">
        <v>26</v>
      </c>
      <c r="Q1860" t="s">
        <v>4040</v>
      </c>
    </row>
    <row r="1861" spans="1:17" x14ac:dyDescent="0.3">
      <c r="A1861" t="s">
        <v>17</v>
      </c>
      <c r="B1861" t="str">
        <f>"688208"</f>
        <v>688208</v>
      </c>
      <c r="C1861" t="s">
        <v>4041</v>
      </c>
      <c r="D1861" t="s">
        <v>236</v>
      </c>
      <c r="F1861">
        <v>342287803</v>
      </c>
      <c r="G1861">
        <v>319101048</v>
      </c>
      <c r="H1861">
        <v>237524547</v>
      </c>
      <c r="I1861">
        <v>267730400</v>
      </c>
      <c r="P1861">
        <v>220</v>
      </c>
      <c r="Q1861" t="s">
        <v>4042</v>
      </c>
    </row>
    <row r="1862" spans="1:17" x14ac:dyDescent="0.3">
      <c r="A1862" t="s">
        <v>17</v>
      </c>
      <c r="B1862" t="str">
        <f>"688209"</f>
        <v>688209</v>
      </c>
      <c r="C1862" t="s">
        <v>4043</v>
      </c>
      <c r="F1862">
        <v>103542012</v>
      </c>
      <c r="G1862">
        <v>27020138</v>
      </c>
      <c r="P1862">
        <v>5</v>
      </c>
      <c r="Q1862" t="s">
        <v>4044</v>
      </c>
    </row>
    <row r="1863" spans="1:17" x14ac:dyDescent="0.3">
      <c r="A1863" t="s">
        <v>17</v>
      </c>
      <c r="B1863" t="str">
        <f>"688210"</f>
        <v>688210</v>
      </c>
      <c r="C1863" t="s">
        <v>4045</v>
      </c>
      <c r="D1863" t="s">
        <v>313</v>
      </c>
      <c r="F1863">
        <v>38887377</v>
      </c>
      <c r="G1863">
        <v>49848048</v>
      </c>
      <c r="P1863">
        <v>9</v>
      </c>
      <c r="Q1863" t="s">
        <v>4046</v>
      </c>
    </row>
    <row r="1864" spans="1:17" x14ac:dyDescent="0.3">
      <c r="A1864" t="s">
        <v>17</v>
      </c>
      <c r="B1864" t="str">
        <f>"688211"</f>
        <v>688211</v>
      </c>
      <c r="C1864" t="s">
        <v>4047</v>
      </c>
      <c r="D1864" t="s">
        <v>741</v>
      </c>
      <c r="F1864">
        <v>102479172</v>
      </c>
      <c r="G1864">
        <v>77437516</v>
      </c>
      <c r="P1864">
        <v>27</v>
      </c>
      <c r="Q1864" t="s">
        <v>4048</v>
      </c>
    </row>
    <row r="1865" spans="1:17" x14ac:dyDescent="0.3">
      <c r="A1865" t="s">
        <v>17</v>
      </c>
      <c r="B1865" t="str">
        <f>"688212"</f>
        <v>688212</v>
      </c>
      <c r="C1865" t="s">
        <v>4049</v>
      </c>
      <c r="D1865" t="s">
        <v>122</v>
      </c>
      <c r="F1865">
        <v>20750451</v>
      </c>
      <c r="P1865">
        <v>31</v>
      </c>
      <c r="Q1865" t="s">
        <v>4050</v>
      </c>
    </row>
    <row r="1866" spans="1:17" x14ac:dyDescent="0.3">
      <c r="A1866" t="s">
        <v>17</v>
      </c>
      <c r="B1866" t="str">
        <f>"688213"</f>
        <v>688213</v>
      </c>
      <c r="C1866" t="s">
        <v>4051</v>
      </c>
      <c r="F1866">
        <v>320456470</v>
      </c>
      <c r="Q1866" t="s">
        <v>4052</v>
      </c>
    </row>
    <row r="1867" spans="1:17" x14ac:dyDescent="0.3">
      <c r="A1867" t="s">
        <v>17</v>
      </c>
      <c r="B1867" t="str">
        <f>"688215"</f>
        <v>688215</v>
      </c>
      <c r="C1867" t="s">
        <v>4053</v>
      </c>
      <c r="D1867" t="s">
        <v>3450</v>
      </c>
      <c r="F1867">
        <v>8246477</v>
      </c>
      <c r="G1867">
        <v>19393786</v>
      </c>
      <c r="H1867">
        <v>35543601</v>
      </c>
      <c r="P1867">
        <v>62</v>
      </c>
      <c r="Q1867" t="s">
        <v>4054</v>
      </c>
    </row>
    <row r="1868" spans="1:17" x14ac:dyDescent="0.3">
      <c r="A1868" t="s">
        <v>17</v>
      </c>
      <c r="B1868" t="str">
        <f>"688216"</f>
        <v>688216</v>
      </c>
      <c r="C1868" t="s">
        <v>4055</v>
      </c>
      <c r="D1868" t="s">
        <v>1180</v>
      </c>
      <c r="F1868">
        <v>109303775</v>
      </c>
      <c r="P1868">
        <v>26</v>
      </c>
      <c r="Q1868" t="s">
        <v>4056</v>
      </c>
    </row>
    <row r="1869" spans="1:17" x14ac:dyDescent="0.3">
      <c r="A1869" t="s">
        <v>17</v>
      </c>
      <c r="B1869" t="str">
        <f>"688217"</f>
        <v>688217</v>
      </c>
      <c r="C1869" t="s">
        <v>4057</v>
      </c>
      <c r="D1869" t="s">
        <v>1305</v>
      </c>
      <c r="F1869">
        <v>42736351</v>
      </c>
      <c r="G1869">
        <v>28363922</v>
      </c>
      <c r="P1869">
        <v>31</v>
      </c>
      <c r="Q1869" t="s">
        <v>4058</v>
      </c>
    </row>
    <row r="1870" spans="1:17" x14ac:dyDescent="0.3">
      <c r="A1870" t="s">
        <v>17</v>
      </c>
      <c r="B1870" t="str">
        <f>"688218"</f>
        <v>688218</v>
      </c>
      <c r="C1870" t="s">
        <v>4059</v>
      </c>
      <c r="D1870" t="s">
        <v>2911</v>
      </c>
      <c r="F1870">
        <v>14547993</v>
      </c>
      <c r="G1870">
        <v>13617612</v>
      </c>
      <c r="H1870">
        <v>32243205</v>
      </c>
      <c r="I1870">
        <v>32067700</v>
      </c>
      <c r="P1870">
        <v>47</v>
      </c>
      <c r="Q1870" t="s">
        <v>4060</v>
      </c>
    </row>
    <row r="1871" spans="1:17" x14ac:dyDescent="0.3">
      <c r="A1871" t="s">
        <v>17</v>
      </c>
      <c r="B1871" t="str">
        <f>"688219"</f>
        <v>688219</v>
      </c>
      <c r="C1871" t="s">
        <v>4061</v>
      </c>
      <c r="D1871" t="s">
        <v>341</v>
      </c>
      <c r="F1871">
        <v>42687004</v>
      </c>
      <c r="G1871">
        <v>141593282</v>
      </c>
      <c r="H1871">
        <v>78198304</v>
      </c>
      <c r="P1871">
        <v>50</v>
      </c>
      <c r="Q1871" t="s">
        <v>4062</v>
      </c>
    </row>
    <row r="1872" spans="1:17" x14ac:dyDescent="0.3">
      <c r="A1872" t="s">
        <v>17</v>
      </c>
      <c r="B1872" t="str">
        <f>"688220"</f>
        <v>688220</v>
      </c>
      <c r="C1872" t="s">
        <v>4063</v>
      </c>
      <c r="D1872" t="s">
        <v>401</v>
      </c>
      <c r="F1872">
        <v>-483980361</v>
      </c>
      <c r="G1872">
        <v>-2115661723</v>
      </c>
      <c r="P1872">
        <v>19</v>
      </c>
      <c r="Q1872" t="s">
        <v>4064</v>
      </c>
    </row>
    <row r="1873" spans="1:17" x14ac:dyDescent="0.3">
      <c r="A1873" t="s">
        <v>17</v>
      </c>
      <c r="B1873" t="str">
        <f>"688221"</f>
        <v>688221</v>
      </c>
      <c r="C1873" t="s">
        <v>4065</v>
      </c>
      <c r="D1873" t="s">
        <v>143</v>
      </c>
      <c r="F1873">
        <v>-177374555</v>
      </c>
      <c r="G1873">
        <v>-163664824</v>
      </c>
      <c r="H1873">
        <v>-133031838</v>
      </c>
      <c r="P1873">
        <v>51</v>
      </c>
      <c r="Q1873" t="s">
        <v>4066</v>
      </c>
    </row>
    <row r="1874" spans="1:17" x14ac:dyDescent="0.3">
      <c r="A1874" t="s">
        <v>17</v>
      </c>
      <c r="B1874" t="str">
        <f>"688222"</f>
        <v>688222</v>
      </c>
      <c r="C1874" t="s">
        <v>4067</v>
      </c>
      <c r="D1874" t="s">
        <v>1461</v>
      </c>
      <c r="F1874">
        <v>29692580</v>
      </c>
      <c r="G1874">
        <v>14609817</v>
      </c>
      <c r="H1874">
        <v>74309853</v>
      </c>
      <c r="I1874">
        <v>31374900</v>
      </c>
      <c r="P1874">
        <v>128</v>
      </c>
      <c r="Q1874" t="s">
        <v>4068</v>
      </c>
    </row>
    <row r="1875" spans="1:17" x14ac:dyDescent="0.3">
      <c r="A1875" t="s">
        <v>17</v>
      </c>
      <c r="B1875" t="str">
        <f>"688223"</f>
        <v>688223</v>
      </c>
      <c r="C1875" t="s">
        <v>4069</v>
      </c>
      <c r="D1875" t="s">
        <v>475</v>
      </c>
      <c r="F1875">
        <v>721251976</v>
      </c>
      <c r="P1875">
        <v>29</v>
      </c>
      <c r="Q1875" t="s">
        <v>4070</v>
      </c>
    </row>
    <row r="1876" spans="1:17" x14ac:dyDescent="0.3">
      <c r="A1876" t="s">
        <v>17</v>
      </c>
      <c r="B1876" t="str">
        <f>"688225"</f>
        <v>688225</v>
      </c>
      <c r="C1876" t="s">
        <v>4071</v>
      </c>
      <c r="F1876">
        <v>79319378</v>
      </c>
      <c r="G1876">
        <v>114553818</v>
      </c>
      <c r="P1876">
        <v>9</v>
      </c>
      <c r="Q1876" t="s">
        <v>4072</v>
      </c>
    </row>
    <row r="1877" spans="1:17" x14ac:dyDescent="0.3">
      <c r="A1877" t="s">
        <v>17</v>
      </c>
      <c r="B1877" t="str">
        <f>"688226"</f>
        <v>688226</v>
      </c>
      <c r="C1877" t="s">
        <v>4073</v>
      </c>
      <c r="D1877" t="s">
        <v>1164</v>
      </c>
      <c r="F1877">
        <v>44581948</v>
      </c>
      <c r="P1877">
        <v>19</v>
      </c>
      <c r="Q1877" t="s">
        <v>4074</v>
      </c>
    </row>
    <row r="1878" spans="1:17" x14ac:dyDescent="0.3">
      <c r="A1878" t="s">
        <v>17</v>
      </c>
      <c r="B1878" t="str">
        <f>"688227"</f>
        <v>688227</v>
      </c>
      <c r="C1878" t="s">
        <v>4075</v>
      </c>
      <c r="D1878" t="s">
        <v>316</v>
      </c>
      <c r="F1878">
        <v>-16718479</v>
      </c>
      <c r="G1878">
        <v>-18041800</v>
      </c>
      <c r="P1878">
        <v>13</v>
      </c>
      <c r="Q1878" t="s">
        <v>4076</v>
      </c>
    </row>
    <row r="1879" spans="1:17" x14ac:dyDescent="0.3">
      <c r="A1879" t="s">
        <v>17</v>
      </c>
      <c r="B1879" t="str">
        <f>"688228"</f>
        <v>688228</v>
      </c>
      <c r="C1879" t="s">
        <v>4077</v>
      </c>
      <c r="D1879" t="s">
        <v>316</v>
      </c>
      <c r="F1879">
        <v>12097586</v>
      </c>
      <c r="G1879">
        <v>22605765</v>
      </c>
      <c r="H1879">
        <v>20952943</v>
      </c>
      <c r="I1879">
        <v>23298000</v>
      </c>
      <c r="P1879">
        <v>93</v>
      </c>
      <c r="Q1879" t="s">
        <v>4078</v>
      </c>
    </row>
    <row r="1880" spans="1:17" x14ac:dyDescent="0.3">
      <c r="A1880" t="s">
        <v>17</v>
      </c>
      <c r="B1880" t="str">
        <f>"688229"</f>
        <v>688229</v>
      </c>
      <c r="C1880" t="s">
        <v>4079</v>
      </c>
      <c r="D1880" t="s">
        <v>316</v>
      </c>
      <c r="F1880">
        <v>-76703374</v>
      </c>
      <c r="G1880">
        <v>10260198</v>
      </c>
      <c r="P1880">
        <v>63</v>
      </c>
      <c r="Q1880" t="s">
        <v>4080</v>
      </c>
    </row>
    <row r="1881" spans="1:17" x14ac:dyDescent="0.3">
      <c r="A1881" t="s">
        <v>17</v>
      </c>
      <c r="B1881" t="str">
        <f>"688230"</f>
        <v>688230</v>
      </c>
      <c r="C1881" t="s">
        <v>4081</v>
      </c>
      <c r="D1881" t="s">
        <v>795</v>
      </c>
      <c r="F1881">
        <v>91897030</v>
      </c>
      <c r="G1881">
        <v>52423341</v>
      </c>
      <c r="P1881">
        <v>24</v>
      </c>
      <c r="Q1881" t="s">
        <v>4082</v>
      </c>
    </row>
    <row r="1882" spans="1:17" x14ac:dyDescent="0.3">
      <c r="A1882" t="s">
        <v>17</v>
      </c>
      <c r="B1882" t="str">
        <f>"688232"</f>
        <v>688232</v>
      </c>
      <c r="C1882" t="s">
        <v>4083</v>
      </c>
      <c r="D1882" t="s">
        <v>945</v>
      </c>
      <c r="F1882">
        <v>92877243</v>
      </c>
      <c r="G1882">
        <v>98331831</v>
      </c>
      <c r="P1882">
        <v>26</v>
      </c>
      <c r="Q1882" t="s">
        <v>4084</v>
      </c>
    </row>
    <row r="1883" spans="1:17" x14ac:dyDescent="0.3">
      <c r="A1883" t="s">
        <v>17</v>
      </c>
      <c r="B1883" t="str">
        <f>"688233"</f>
        <v>688233</v>
      </c>
      <c r="C1883" t="s">
        <v>4085</v>
      </c>
      <c r="D1883" t="s">
        <v>475</v>
      </c>
      <c r="F1883">
        <v>168922882</v>
      </c>
      <c r="G1883">
        <v>57790019</v>
      </c>
      <c r="H1883">
        <v>75162891</v>
      </c>
      <c r="I1883">
        <v>62678734</v>
      </c>
      <c r="P1883">
        <v>170</v>
      </c>
      <c r="Q1883" t="s">
        <v>4086</v>
      </c>
    </row>
    <row r="1884" spans="1:17" x14ac:dyDescent="0.3">
      <c r="A1884" t="s">
        <v>17</v>
      </c>
      <c r="B1884" t="str">
        <f>"688234"</f>
        <v>688234</v>
      </c>
      <c r="C1884" t="s">
        <v>4087</v>
      </c>
      <c r="D1884" t="s">
        <v>475</v>
      </c>
      <c r="F1884">
        <v>53534322</v>
      </c>
      <c r="G1884">
        <v>-615811803</v>
      </c>
      <c r="P1884">
        <v>32</v>
      </c>
      <c r="Q1884" t="s">
        <v>4088</v>
      </c>
    </row>
    <row r="1885" spans="1:17" x14ac:dyDescent="0.3">
      <c r="A1885" t="s">
        <v>17</v>
      </c>
      <c r="B1885" t="str">
        <f>"688235"</f>
        <v>688235</v>
      </c>
      <c r="C1885" t="s">
        <v>4089</v>
      </c>
      <c r="D1885" t="s">
        <v>1379</v>
      </c>
      <c r="F1885">
        <v>-5500355000</v>
      </c>
      <c r="G1885">
        <v>-8103748000</v>
      </c>
      <c r="P1885">
        <v>58</v>
      </c>
      <c r="Q1885" t="s">
        <v>4090</v>
      </c>
    </row>
    <row r="1886" spans="1:17" x14ac:dyDescent="0.3">
      <c r="A1886" t="s">
        <v>17</v>
      </c>
      <c r="B1886" t="str">
        <f>"688236"</f>
        <v>688236</v>
      </c>
      <c r="C1886" t="s">
        <v>4091</v>
      </c>
      <c r="D1886" t="s">
        <v>1077</v>
      </c>
      <c r="F1886">
        <v>204175210</v>
      </c>
      <c r="G1886">
        <v>165105190</v>
      </c>
      <c r="P1886">
        <v>20</v>
      </c>
      <c r="Q1886" t="s">
        <v>4092</v>
      </c>
    </row>
    <row r="1887" spans="1:17" x14ac:dyDescent="0.3">
      <c r="A1887" t="s">
        <v>17</v>
      </c>
      <c r="B1887" t="str">
        <f>"688238"</f>
        <v>688238</v>
      </c>
      <c r="C1887" t="s">
        <v>4093</v>
      </c>
      <c r="F1887">
        <v>29062258</v>
      </c>
      <c r="G1887">
        <v>71138719</v>
      </c>
      <c r="P1887">
        <v>7</v>
      </c>
      <c r="Q1887" t="s">
        <v>4094</v>
      </c>
    </row>
    <row r="1888" spans="1:17" x14ac:dyDescent="0.3">
      <c r="A1888" t="s">
        <v>17</v>
      </c>
      <c r="B1888" t="str">
        <f>"688239"</f>
        <v>688239</v>
      </c>
      <c r="C1888" t="s">
        <v>4095</v>
      </c>
      <c r="D1888" t="s">
        <v>98</v>
      </c>
      <c r="F1888">
        <v>90913128</v>
      </c>
      <c r="P1888">
        <v>57</v>
      </c>
      <c r="Q1888" t="s">
        <v>4096</v>
      </c>
    </row>
    <row r="1889" spans="1:17" x14ac:dyDescent="0.3">
      <c r="A1889" t="s">
        <v>17</v>
      </c>
      <c r="B1889" t="str">
        <f>"688246"</f>
        <v>688246</v>
      </c>
      <c r="C1889" t="s">
        <v>4097</v>
      </c>
      <c r="D1889" t="s">
        <v>945</v>
      </c>
      <c r="F1889">
        <v>-22578714</v>
      </c>
      <c r="G1889">
        <v>-43285504</v>
      </c>
      <c r="P1889">
        <v>12</v>
      </c>
      <c r="Q1889" t="s">
        <v>4098</v>
      </c>
    </row>
    <row r="1890" spans="1:17" x14ac:dyDescent="0.3">
      <c r="A1890" t="s">
        <v>17</v>
      </c>
      <c r="B1890" t="str">
        <f>"688248"</f>
        <v>688248</v>
      </c>
      <c r="C1890" t="s">
        <v>4099</v>
      </c>
      <c r="D1890" t="s">
        <v>610</v>
      </c>
      <c r="F1890">
        <v>51879022</v>
      </c>
      <c r="P1890">
        <v>14</v>
      </c>
      <c r="Q1890" t="s">
        <v>4100</v>
      </c>
    </row>
    <row r="1891" spans="1:17" x14ac:dyDescent="0.3">
      <c r="A1891" t="s">
        <v>17</v>
      </c>
      <c r="B1891" t="str">
        <f>"688255"</f>
        <v>688255</v>
      </c>
      <c r="C1891" t="s">
        <v>4101</v>
      </c>
      <c r="D1891" t="s">
        <v>2911</v>
      </c>
      <c r="F1891">
        <v>46407383</v>
      </c>
      <c r="G1891">
        <v>52680016</v>
      </c>
      <c r="P1891">
        <v>19</v>
      </c>
      <c r="Q1891" t="s">
        <v>4102</v>
      </c>
    </row>
    <row r="1892" spans="1:17" x14ac:dyDescent="0.3">
      <c r="A1892" t="s">
        <v>17</v>
      </c>
      <c r="B1892" t="str">
        <f>"688256"</f>
        <v>688256</v>
      </c>
      <c r="C1892" t="s">
        <v>4103</v>
      </c>
      <c r="D1892" t="s">
        <v>461</v>
      </c>
      <c r="F1892">
        <v>-629458476</v>
      </c>
      <c r="G1892">
        <v>-309512214</v>
      </c>
      <c r="H1892">
        <v>-585820053</v>
      </c>
      <c r="P1892">
        <v>192</v>
      </c>
      <c r="Q1892" t="s">
        <v>4104</v>
      </c>
    </row>
    <row r="1893" spans="1:17" x14ac:dyDescent="0.3">
      <c r="A1893" t="s">
        <v>17</v>
      </c>
      <c r="B1893" t="str">
        <f>"688257"</f>
        <v>688257</v>
      </c>
      <c r="C1893" t="s">
        <v>4105</v>
      </c>
      <c r="D1893" t="s">
        <v>274</v>
      </c>
      <c r="F1893">
        <v>101565702</v>
      </c>
      <c r="G1893">
        <v>81077580</v>
      </c>
      <c r="P1893">
        <v>17</v>
      </c>
      <c r="Q1893" t="s">
        <v>4106</v>
      </c>
    </row>
    <row r="1894" spans="1:17" x14ac:dyDescent="0.3">
      <c r="A1894" t="s">
        <v>17</v>
      </c>
      <c r="B1894" t="str">
        <f>"688258"</f>
        <v>688258</v>
      </c>
      <c r="C1894" t="s">
        <v>4107</v>
      </c>
      <c r="D1894" t="s">
        <v>316</v>
      </c>
      <c r="F1894">
        <v>49029527</v>
      </c>
      <c r="G1894">
        <v>43524114</v>
      </c>
      <c r="H1894">
        <v>19196656</v>
      </c>
      <c r="I1894">
        <v>24610577</v>
      </c>
      <c r="P1894">
        <v>2718</v>
      </c>
      <c r="Q1894" t="s">
        <v>4108</v>
      </c>
    </row>
    <row r="1895" spans="1:17" x14ac:dyDescent="0.3">
      <c r="A1895" t="s">
        <v>17</v>
      </c>
      <c r="B1895" t="str">
        <f>"688259"</f>
        <v>688259</v>
      </c>
      <c r="C1895" t="s">
        <v>4109</v>
      </c>
      <c r="D1895" t="s">
        <v>461</v>
      </c>
      <c r="F1895">
        <v>60194440</v>
      </c>
      <c r="G1895">
        <v>28872832</v>
      </c>
      <c r="P1895">
        <v>17</v>
      </c>
      <c r="Q1895" t="s">
        <v>4110</v>
      </c>
    </row>
    <row r="1896" spans="1:17" x14ac:dyDescent="0.3">
      <c r="A1896" t="s">
        <v>17</v>
      </c>
      <c r="B1896" t="str">
        <f>"688260"</f>
        <v>688260</v>
      </c>
      <c r="C1896" t="s">
        <v>4111</v>
      </c>
      <c r="D1896" t="s">
        <v>313</v>
      </c>
      <c r="F1896">
        <v>-8416709</v>
      </c>
      <c r="G1896">
        <v>43112221</v>
      </c>
      <c r="P1896">
        <v>24</v>
      </c>
      <c r="Q1896" t="s">
        <v>4112</v>
      </c>
    </row>
    <row r="1897" spans="1:17" x14ac:dyDescent="0.3">
      <c r="A1897" t="s">
        <v>17</v>
      </c>
      <c r="B1897" t="str">
        <f>"688261"</f>
        <v>688261</v>
      </c>
      <c r="C1897" t="s">
        <v>4113</v>
      </c>
      <c r="P1897">
        <v>11</v>
      </c>
      <c r="Q1897" t="s">
        <v>4114</v>
      </c>
    </row>
    <row r="1898" spans="1:17" x14ac:dyDescent="0.3">
      <c r="A1898" t="s">
        <v>17</v>
      </c>
      <c r="B1898" t="str">
        <f>"688262"</f>
        <v>688262</v>
      </c>
      <c r="C1898" t="s">
        <v>4115</v>
      </c>
      <c r="D1898" t="s">
        <v>461</v>
      </c>
      <c r="F1898">
        <v>36612355</v>
      </c>
      <c r="G1898">
        <v>-11685149</v>
      </c>
      <c r="P1898">
        <v>19</v>
      </c>
      <c r="Q1898" t="s">
        <v>4116</v>
      </c>
    </row>
    <row r="1899" spans="1:17" x14ac:dyDescent="0.3">
      <c r="A1899" t="s">
        <v>17</v>
      </c>
      <c r="B1899" t="str">
        <f>"688265"</f>
        <v>688265</v>
      </c>
      <c r="C1899" t="s">
        <v>4117</v>
      </c>
      <c r="D1899" t="s">
        <v>1461</v>
      </c>
      <c r="F1899">
        <v>38727634</v>
      </c>
      <c r="G1899">
        <v>23817646</v>
      </c>
      <c r="P1899">
        <v>17</v>
      </c>
      <c r="Q1899" t="s">
        <v>4118</v>
      </c>
    </row>
    <row r="1900" spans="1:17" x14ac:dyDescent="0.3">
      <c r="A1900" t="s">
        <v>17</v>
      </c>
      <c r="B1900" t="str">
        <f>"688266"</f>
        <v>688266</v>
      </c>
      <c r="C1900" t="s">
        <v>4119</v>
      </c>
      <c r="D1900" t="s">
        <v>143</v>
      </c>
      <c r="F1900">
        <v>-292672772</v>
      </c>
      <c r="G1900">
        <v>-228372245</v>
      </c>
      <c r="H1900">
        <v>-398391627</v>
      </c>
      <c r="I1900">
        <v>-91644900</v>
      </c>
      <c r="P1900">
        <v>102</v>
      </c>
      <c r="Q1900" t="s">
        <v>4120</v>
      </c>
    </row>
    <row r="1901" spans="1:17" x14ac:dyDescent="0.3">
      <c r="A1901" t="s">
        <v>17</v>
      </c>
      <c r="B1901" t="str">
        <f>"688267"</f>
        <v>688267</v>
      </c>
      <c r="C1901" t="s">
        <v>4121</v>
      </c>
      <c r="F1901">
        <v>115935353</v>
      </c>
      <c r="P1901">
        <v>7</v>
      </c>
      <c r="Q1901" t="s">
        <v>4122</v>
      </c>
    </row>
    <row r="1902" spans="1:17" x14ac:dyDescent="0.3">
      <c r="A1902" t="s">
        <v>17</v>
      </c>
      <c r="B1902" t="str">
        <f>"688268"</f>
        <v>688268</v>
      </c>
      <c r="C1902" t="s">
        <v>4123</v>
      </c>
      <c r="D1902" t="s">
        <v>2399</v>
      </c>
      <c r="F1902">
        <v>103023298</v>
      </c>
      <c r="G1902">
        <v>74069748</v>
      </c>
      <c r="H1902">
        <v>64324242</v>
      </c>
      <c r="I1902">
        <v>44045363</v>
      </c>
      <c r="P1902">
        <v>184</v>
      </c>
      <c r="Q1902" t="s">
        <v>4124</v>
      </c>
    </row>
    <row r="1903" spans="1:17" x14ac:dyDescent="0.3">
      <c r="A1903" t="s">
        <v>17</v>
      </c>
      <c r="B1903" t="str">
        <f>"688269"</f>
        <v>688269</v>
      </c>
      <c r="C1903" t="s">
        <v>4125</v>
      </c>
      <c r="D1903" t="s">
        <v>581</v>
      </c>
      <c r="F1903">
        <v>126198149</v>
      </c>
      <c r="P1903">
        <v>58</v>
      </c>
      <c r="Q1903" t="s">
        <v>4126</v>
      </c>
    </row>
    <row r="1904" spans="1:17" x14ac:dyDescent="0.3">
      <c r="A1904" t="s">
        <v>17</v>
      </c>
      <c r="B1904" t="str">
        <f>"688270"</f>
        <v>688270</v>
      </c>
      <c r="C1904" t="s">
        <v>4127</v>
      </c>
      <c r="F1904">
        <v>41317678</v>
      </c>
      <c r="G1904">
        <v>36689601</v>
      </c>
      <c r="P1904">
        <v>12</v>
      </c>
      <c r="Q1904" t="s">
        <v>4128</v>
      </c>
    </row>
    <row r="1905" spans="1:17" x14ac:dyDescent="0.3">
      <c r="A1905" t="s">
        <v>17</v>
      </c>
      <c r="B1905" t="str">
        <f>"688272"</f>
        <v>688272</v>
      </c>
      <c r="C1905" t="s">
        <v>4129</v>
      </c>
      <c r="D1905" t="s">
        <v>1136</v>
      </c>
      <c r="F1905">
        <v>47473425</v>
      </c>
      <c r="G1905">
        <v>42082795</v>
      </c>
      <c r="P1905">
        <v>11</v>
      </c>
      <c r="Q1905" t="s">
        <v>4130</v>
      </c>
    </row>
    <row r="1906" spans="1:17" x14ac:dyDescent="0.3">
      <c r="A1906" t="s">
        <v>17</v>
      </c>
      <c r="B1906" t="str">
        <f>"688276"</f>
        <v>688276</v>
      </c>
      <c r="C1906" t="s">
        <v>4131</v>
      </c>
      <c r="D1906" t="s">
        <v>1499</v>
      </c>
      <c r="F1906">
        <v>233053337</v>
      </c>
      <c r="G1906">
        <v>342333268</v>
      </c>
      <c r="P1906">
        <v>46</v>
      </c>
      <c r="Q1906" t="s">
        <v>4132</v>
      </c>
    </row>
    <row r="1907" spans="1:17" x14ac:dyDescent="0.3">
      <c r="A1907" t="s">
        <v>17</v>
      </c>
      <c r="B1907" t="str">
        <f>"688277"</f>
        <v>688277</v>
      </c>
      <c r="C1907" t="s">
        <v>4133</v>
      </c>
      <c r="D1907" t="s">
        <v>122</v>
      </c>
      <c r="F1907">
        <v>-63764564</v>
      </c>
      <c r="G1907">
        <v>-51221640</v>
      </c>
      <c r="H1907">
        <v>-82346698</v>
      </c>
      <c r="P1907">
        <v>120</v>
      </c>
      <c r="Q1907" t="s">
        <v>4134</v>
      </c>
    </row>
    <row r="1908" spans="1:17" x14ac:dyDescent="0.3">
      <c r="A1908" t="s">
        <v>17</v>
      </c>
      <c r="B1908" t="str">
        <f>"688278"</f>
        <v>688278</v>
      </c>
      <c r="C1908" t="s">
        <v>4135</v>
      </c>
      <c r="D1908" t="s">
        <v>1379</v>
      </c>
      <c r="F1908">
        <v>127688290</v>
      </c>
      <c r="G1908">
        <v>76262629</v>
      </c>
      <c r="H1908">
        <v>42084517</v>
      </c>
      <c r="I1908">
        <v>477200</v>
      </c>
      <c r="P1908">
        <v>154</v>
      </c>
      <c r="Q1908" t="s">
        <v>4136</v>
      </c>
    </row>
    <row r="1909" spans="1:17" x14ac:dyDescent="0.3">
      <c r="A1909" t="s">
        <v>17</v>
      </c>
      <c r="B1909" t="str">
        <f>"688280"</f>
        <v>688280</v>
      </c>
      <c r="C1909" t="s">
        <v>4137</v>
      </c>
      <c r="D1909" t="s">
        <v>348</v>
      </c>
      <c r="F1909">
        <v>-278495653</v>
      </c>
      <c r="G1909">
        <v>-274347075</v>
      </c>
      <c r="P1909">
        <v>22</v>
      </c>
      <c r="Q1909" t="s">
        <v>4138</v>
      </c>
    </row>
    <row r="1910" spans="1:17" x14ac:dyDescent="0.3">
      <c r="A1910" t="s">
        <v>17</v>
      </c>
      <c r="B1910" t="str">
        <f>"688281"</f>
        <v>688281</v>
      </c>
      <c r="C1910" t="s">
        <v>4139</v>
      </c>
      <c r="F1910">
        <v>134861646</v>
      </c>
      <c r="G1910">
        <v>52826856</v>
      </c>
      <c r="P1910">
        <v>13</v>
      </c>
      <c r="Q1910" t="s">
        <v>4140</v>
      </c>
    </row>
    <row r="1911" spans="1:17" x14ac:dyDescent="0.3">
      <c r="A1911" t="s">
        <v>17</v>
      </c>
      <c r="B1911" t="str">
        <f>"688283"</f>
        <v>688283</v>
      </c>
      <c r="C1911" t="s">
        <v>4141</v>
      </c>
      <c r="F1911">
        <v>21776745</v>
      </c>
      <c r="G1911">
        <v>12636274</v>
      </c>
      <c r="P1911">
        <v>17</v>
      </c>
      <c r="Q1911" t="s">
        <v>4142</v>
      </c>
    </row>
    <row r="1912" spans="1:17" x14ac:dyDescent="0.3">
      <c r="A1912" t="s">
        <v>17</v>
      </c>
      <c r="B1912" t="str">
        <f>"688285"</f>
        <v>688285</v>
      </c>
      <c r="C1912" t="s">
        <v>4143</v>
      </c>
      <c r="D1912" t="s">
        <v>1012</v>
      </c>
      <c r="F1912">
        <v>101307179</v>
      </c>
      <c r="G1912">
        <v>137707502</v>
      </c>
      <c r="P1912">
        <v>14</v>
      </c>
      <c r="Q1912" t="s">
        <v>4144</v>
      </c>
    </row>
    <row r="1913" spans="1:17" x14ac:dyDescent="0.3">
      <c r="A1913" t="s">
        <v>17</v>
      </c>
      <c r="B1913" t="str">
        <f>"688286"</f>
        <v>688286</v>
      </c>
      <c r="C1913" t="s">
        <v>4145</v>
      </c>
      <c r="D1913" t="s">
        <v>401</v>
      </c>
      <c r="F1913">
        <v>8435113</v>
      </c>
      <c r="G1913">
        <v>31036349</v>
      </c>
      <c r="H1913">
        <v>42494013</v>
      </c>
      <c r="P1913">
        <v>91</v>
      </c>
      <c r="Q1913" t="s">
        <v>4146</v>
      </c>
    </row>
    <row r="1914" spans="1:17" x14ac:dyDescent="0.3">
      <c r="A1914" t="s">
        <v>17</v>
      </c>
      <c r="B1914" t="str">
        <f>"688288"</f>
        <v>688288</v>
      </c>
      <c r="C1914" t="s">
        <v>4147</v>
      </c>
      <c r="D1914" t="s">
        <v>236</v>
      </c>
      <c r="F1914">
        <v>42696698</v>
      </c>
      <c r="G1914">
        <v>54823775</v>
      </c>
      <c r="H1914">
        <v>49024810</v>
      </c>
      <c r="I1914">
        <v>41169518</v>
      </c>
      <c r="P1914">
        <v>110</v>
      </c>
      <c r="Q1914" t="s">
        <v>4148</v>
      </c>
    </row>
    <row r="1915" spans="1:17" x14ac:dyDescent="0.3">
      <c r="A1915" t="s">
        <v>17</v>
      </c>
      <c r="B1915" t="str">
        <f>"688289"</f>
        <v>688289</v>
      </c>
      <c r="C1915" t="s">
        <v>4149</v>
      </c>
      <c r="D1915" t="s">
        <v>1305</v>
      </c>
      <c r="F1915">
        <v>1757137173</v>
      </c>
      <c r="G1915">
        <v>2012815338</v>
      </c>
      <c r="H1915">
        <v>18633049</v>
      </c>
      <c r="P1915">
        <v>209</v>
      </c>
      <c r="Q1915" t="s">
        <v>4150</v>
      </c>
    </row>
    <row r="1916" spans="1:17" x14ac:dyDescent="0.3">
      <c r="A1916" t="s">
        <v>17</v>
      </c>
      <c r="B1916" t="str">
        <f>"688296"</f>
        <v>688296</v>
      </c>
      <c r="C1916" t="s">
        <v>4151</v>
      </c>
      <c r="D1916" t="s">
        <v>945</v>
      </c>
      <c r="F1916">
        <v>46299449</v>
      </c>
      <c r="G1916">
        <v>21741990</v>
      </c>
      <c r="P1916">
        <v>24</v>
      </c>
      <c r="Q1916" t="s">
        <v>4152</v>
      </c>
    </row>
    <row r="1917" spans="1:17" x14ac:dyDescent="0.3">
      <c r="A1917" t="s">
        <v>17</v>
      </c>
      <c r="B1917" t="str">
        <f>"688298"</f>
        <v>688298</v>
      </c>
      <c r="C1917" t="s">
        <v>4153</v>
      </c>
      <c r="D1917" t="s">
        <v>1305</v>
      </c>
      <c r="F1917">
        <v>3919267583</v>
      </c>
      <c r="G1917">
        <v>664456765</v>
      </c>
      <c r="H1917">
        <v>58352937</v>
      </c>
      <c r="I1917">
        <v>47640334</v>
      </c>
      <c r="P1917">
        <v>477</v>
      </c>
      <c r="Q1917" t="s">
        <v>4154</v>
      </c>
    </row>
    <row r="1918" spans="1:17" x14ac:dyDescent="0.3">
      <c r="A1918" t="s">
        <v>17</v>
      </c>
      <c r="B1918" t="str">
        <f>"688299"</f>
        <v>688299</v>
      </c>
      <c r="C1918" t="s">
        <v>4155</v>
      </c>
      <c r="D1918" t="s">
        <v>1117</v>
      </c>
      <c r="F1918">
        <v>146088438</v>
      </c>
      <c r="G1918">
        <v>135163590</v>
      </c>
      <c r="H1918">
        <v>97635257</v>
      </c>
      <c r="I1918">
        <v>51135349</v>
      </c>
      <c r="P1918">
        <v>239</v>
      </c>
      <c r="Q1918" t="s">
        <v>4156</v>
      </c>
    </row>
    <row r="1919" spans="1:17" x14ac:dyDescent="0.3">
      <c r="A1919" t="s">
        <v>17</v>
      </c>
      <c r="B1919" t="str">
        <f>"688300"</f>
        <v>688300</v>
      </c>
      <c r="C1919" t="s">
        <v>4157</v>
      </c>
      <c r="D1919" t="s">
        <v>2739</v>
      </c>
      <c r="F1919">
        <v>128939962</v>
      </c>
      <c r="G1919">
        <v>70882590</v>
      </c>
      <c r="H1919">
        <v>53413058</v>
      </c>
      <c r="I1919">
        <v>42522967</v>
      </c>
      <c r="P1919">
        <v>196</v>
      </c>
      <c r="Q1919" t="s">
        <v>4158</v>
      </c>
    </row>
    <row r="1920" spans="1:17" x14ac:dyDescent="0.3">
      <c r="A1920" t="s">
        <v>17</v>
      </c>
      <c r="B1920" t="str">
        <f>"688301"</f>
        <v>688301</v>
      </c>
      <c r="C1920" t="s">
        <v>4159</v>
      </c>
      <c r="D1920" t="s">
        <v>122</v>
      </c>
      <c r="F1920">
        <v>325844448</v>
      </c>
      <c r="G1920">
        <v>155732927</v>
      </c>
      <c r="H1920">
        <v>34348807</v>
      </c>
      <c r="P1920">
        <v>178</v>
      </c>
      <c r="Q1920" t="s">
        <v>4160</v>
      </c>
    </row>
    <row r="1921" spans="1:17" x14ac:dyDescent="0.3">
      <c r="A1921" t="s">
        <v>17</v>
      </c>
      <c r="B1921" t="str">
        <f>"688303"</f>
        <v>688303</v>
      </c>
      <c r="C1921" t="s">
        <v>4161</v>
      </c>
      <c r="D1921" t="s">
        <v>929</v>
      </c>
      <c r="F1921">
        <v>4473164135</v>
      </c>
      <c r="G1921">
        <v>497165250</v>
      </c>
      <c r="P1921">
        <v>108</v>
      </c>
      <c r="Q1921" t="s">
        <v>4162</v>
      </c>
    </row>
    <row r="1922" spans="1:17" x14ac:dyDescent="0.3">
      <c r="A1922" t="s">
        <v>17</v>
      </c>
      <c r="B1922" t="str">
        <f>"688305"</f>
        <v>688305</v>
      </c>
      <c r="C1922" t="s">
        <v>4163</v>
      </c>
      <c r="D1922" t="s">
        <v>2312</v>
      </c>
      <c r="F1922">
        <v>46628854</v>
      </c>
      <c r="P1922">
        <v>79</v>
      </c>
      <c r="Q1922" t="s">
        <v>4164</v>
      </c>
    </row>
    <row r="1923" spans="1:17" x14ac:dyDescent="0.3">
      <c r="A1923" t="s">
        <v>17</v>
      </c>
      <c r="B1923" t="str">
        <f>"688306"</f>
        <v>688306</v>
      </c>
      <c r="C1923" t="s">
        <v>4165</v>
      </c>
      <c r="F1923">
        <v>52041083</v>
      </c>
      <c r="G1923">
        <v>-44930664</v>
      </c>
      <c r="P1923">
        <v>3</v>
      </c>
      <c r="Q1923" t="s">
        <v>4166</v>
      </c>
    </row>
    <row r="1924" spans="1:17" x14ac:dyDescent="0.3">
      <c r="A1924" t="s">
        <v>17</v>
      </c>
      <c r="B1924" t="str">
        <f>"688308"</f>
        <v>688308</v>
      </c>
      <c r="C1924" t="s">
        <v>4167</v>
      </c>
      <c r="D1924" t="s">
        <v>274</v>
      </c>
      <c r="F1924">
        <v>170094775</v>
      </c>
      <c r="G1924">
        <v>77663661</v>
      </c>
      <c r="H1924">
        <v>62865603</v>
      </c>
      <c r="P1924">
        <v>91</v>
      </c>
      <c r="Q1924" t="s">
        <v>4168</v>
      </c>
    </row>
    <row r="1925" spans="1:17" x14ac:dyDescent="0.3">
      <c r="A1925" t="s">
        <v>17</v>
      </c>
      <c r="B1925" t="str">
        <f>"688309"</f>
        <v>688309</v>
      </c>
      <c r="C1925" t="s">
        <v>4169</v>
      </c>
      <c r="D1925" t="s">
        <v>1070</v>
      </c>
      <c r="F1925">
        <v>-3902365</v>
      </c>
      <c r="G1925">
        <v>34233634</v>
      </c>
      <c r="H1925">
        <v>48332376</v>
      </c>
      <c r="P1925">
        <v>30</v>
      </c>
      <c r="Q1925" t="s">
        <v>4170</v>
      </c>
    </row>
    <row r="1926" spans="1:17" x14ac:dyDescent="0.3">
      <c r="A1926" t="s">
        <v>17</v>
      </c>
      <c r="B1926" t="str">
        <f>"688310"</f>
        <v>688310</v>
      </c>
      <c r="C1926" t="s">
        <v>4171</v>
      </c>
      <c r="D1926" t="s">
        <v>3450</v>
      </c>
      <c r="F1926">
        <v>39276296</v>
      </c>
      <c r="G1926">
        <v>51975496</v>
      </c>
      <c r="H1926">
        <v>16234400</v>
      </c>
      <c r="I1926">
        <v>10958694</v>
      </c>
      <c r="P1926">
        <v>92</v>
      </c>
      <c r="Q1926" t="s">
        <v>4172</v>
      </c>
    </row>
    <row r="1927" spans="1:17" x14ac:dyDescent="0.3">
      <c r="A1927" t="s">
        <v>17</v>
      </c>
      <c r="B1927" t="str">
        <f>"688311"</f>
        <v>688311</v>
      </c>
      <c r="C1927" t="s">
        <v>4173</v>
      </c>
      <c r="D1927" t="s">
        <v>1136</v>
      </c>
      <c r="F1927">
        <v>51223041</v>
      </c>
      <c r="G1927">
        <v>35136380</v>
      </c>
      <c r="H1927">
        <v>22145471</v>
      </c>
      <c r="P1927">
        <v>74</v>
      </c>
      <c r="Q1927" t="s">
        <v>4174</v>
      </c>
    </row>
    <row r="1928" spans="1:17" x14ac:dyDescent="0.3">
      <c r="A1928" t="s">
        <v>17</v>
      </c>
      <c r="B1928" t="str">
        <f>"688312"</f>
        <v>688312</v>
      </c>
      <c r="C1928" t="s">
        <v>4175</v>
      </c>
      <c r="D1928" t="s">
        <v>741</v>
      </c>
      <c r="F1928">
        <v>79999480</v>
      </c>
      <c r="G1928">
        <v>53769519</v>
      </c>
      <c r="H1928">
        <v>61176112</v>
      </c>
      <c r="P1928">
        <v>64</v>
      </c>
      <c r="Q1928" t="s">
        <v>4176</v>
      </c>
    </row>
    <row r="1929" spans="1:17" x14ac:dyDescent="0.3">
      <c r="A1929" t="s">
        <v>17</v>
      </c>
      <c r="B1929" t="str">
        <f>"688313"</f>
        <v>688313</v>
      </c>
      <c r="C1929" t="s">
        <v>4177</v>
      </c>
      <c r="D1929" t="s">
        <v>1019</v>
      </c>
      <c r="F1929">
        <v>26652770</v>
      </c>
      <c r="G1929">
        <v>36410369</v>
      </c>
      <c r="H1929">
        <v>-4592540</v>
      </c>
      <c r="P1929">
        <v>50</v>
      </c>
      <c r="Q1929" t="s">
        <v>4178</v>
      </c>
    </row>
    <row r="1930" spans="1:17" x14ac:dyDescent="0.3">
      <c r="A1930" t="s">
        <v>17</v>
      </c>
      <c r="B1930" t="str">
        <f>"688314"</f>
        <v>688314</v>
      </c>
      <c r="C1930" t="s">
        <v>4179</v>
      </c>
      <c r="D1930" t="s">
        <v>1077</v>
      </c>
      <c r="F1930">
        <v>61904233</v>
      </c>
      <c r="G1930">
        <v>41485401</v>
      </c>
      <c r="P1930">
        <v>53</v>
      </c>
      <c r="Q1930" t="s">
        <v>4180</v>
      </c>
    </row>
    <row r="1931" spans="1:17" x14ac:dyDescent="0.3">
      <c r="A1931" t="s">
        <v>17</v>
      </c>
      <c r="B1931" t="str">
        <f>"688315"</f>
        <v>688315</v>
      </c>
      <c r="C1931" t="s">
        <v>4181</v>
      </c>
      <c r="D1931" t="s">
        <v>4182</v>
      </c>
      <c r="F1931">
        <v>129058810</v>
      </c>
      <c r="G1931">
        <v>-52241040</v>
      </c>
      <c r="P1931">
        <v>46</v>
      </c>
      <c r="Q1931" t="s">
        <v>4183</v>
      </c>
    </row>
    <row r="1932" spans="1:17" x14ac:dyDescent="0.3">
      <c r="A1932" t="s">
        <v>17</v>
      </c>
      <c r="B1932" t="str">
        <f>"688316"</f>
        <v>688316</v>
      </c>
      <c r="C1932" t="s">
        <v>4184</v>
      </c>
      <c r="D1932" t="s">
        <v>316</v>
      </c>
      <c r="F1932">
        <v>-235498894</v>
      </c>
      <c r="G1932">
        <v>-130188045</v>
      </c>
      <c r="H1932">
        <v>-160600196</v>
      </c>
      <c r="P1932">
        <v>31</v>
      </c>
      <c r="Q1932" t="s">
        <v>4185</v>
      </c>
    </row>
    <row r="1933" spans="1:17" x14ac:dyDescent="0.3">
      <c r="A1933" t="s">
        <v>17</v>
      </c>
      <c r="B1933" t="str">
        <f>"688317"</f>
        <v>688317</v>
      </c>
      <c r="C1933" t="s">
        <v>4186</v>
      </c>
      <c r="D1933" t="s">
        <v>1305</v>
      </c>
      <c r="F1933">
        <v>602748337</v>
      </c>
      <c r="G1933">
        <v>695539407</v>
      </c>
      <c r="H1933">
        <v>51177000</v>
      </c>
      <c r="P1933">
        <v>120</v>
      </c>
      <c r="Q1933" t="s">
        <v>4187</v>
      </c>
    </row>
    <row r="1934" spans="1:17" x14ac:dyDescent="0.3">
      <c r="A1934" t="s">
        <v>17</v>
      </c>
      <c r="B1934" t="str">
        <f>"688318"</f>
        <v>688318</v>
      </c>
      <c r="C1934" t="s">
        <v>4188</v>
      </c>
      <c r="D1934" t="s">
        <v>945</v>
      </c>
      <c r="F1934">
        <v>186996889</v>
      </c>
      <c r="G1934">
        <v>122468744</v>
      </c>
      <c r="H1934">
        <v>81113000</v>
      </c>
      <c r="I1934">
        <v>82923400</v>
      </c>
      <c r="P1934">
        <v>155</v>
      </c>
      <c r="Q1934" t="s">
        <v>4189</v>
      </c>
    </row>
    <row r="1935" spans="1:17" x14ac:dyDescent="0.3">
      <c r="A1935" t="s">
        <v>17</v>
      </c>
      <c r="B1935" t="str">
        <f>"688319"</f>
        <v>688319</v>
      </c>
      <c r="C1935" t="s">
        <v>4190</v>
      </c>
      <c r="D1935" t="s">
        <v>1499</v>
      </c>
      <c r="F1935">
        <v>77672354</v>
      </c>
      <c r="P1935">
        <v>46</v>
      </c>
      <c r="Q1935" t="s">
        <v>4191</v>
      </c>
    </row>
    <row r="1936" spans="1:17" x14ac:dyDescent="0.3">
      <c r="A1936" t="s">
        <v>17</v>
      </c>
      <c r="B1936" t="str">
        <f>"688321"</f>
        <v>688321</v>
      </c>
      <c r="C1936" t="s">
        <v>4192</v>
      </c>
      <c r="D1936" t="s">
        <v>143</v>
      </c>
      <c r="F1936">
        <v>-24254905</v>
      </c>
      <c r="G1936">
        <v>38426783</v>
      </c>
      <c r="H1936">
        <v>20830131</v>
      </c>
      <c r="I1936">
        <v>15049959</v>
      </c>
      <c r="P1936">
        <v>157</v>
      </c>
      <c r="Q1936" t="s">
        <v>4193</v>
      </c>
    </row>
    <row r="1937" spans="1:17" x14ac:dyDescent="0.3">
      <c r="A1937" t="s">
        <v>17</v>
      </c>
      <c r="B1937" t="str">
        <f>"688323"</f>
        <v>688323</v>
      </c>
      <c r="C1937" t="s">
        <v>4194</v>
      </c>
      <c r="D1937" t="s">
        <v>324</v>
      </c>
      <c r="F1937">
        <v>44315039</v>
      </c>
      <c r="P1937">
        <v>26</v>
      </c>
      <c r="Q1937" t="s">
        <v>4195</v>
      </c>
    </row>
    <row r="1938" spans="1:17" x14ac:dyDescent="0.3">
      <c r="A1938" t="s">
        <v>17</v>
      </c>
      <c r="B1938" t="str">
        <f>"688326"</f>
        <v>688326</v>
      </c>
      <c r="C1938" t="s">
        <v>4196</v>
      </c>
      <c r="F1938">
        <v>47907880</v>
      </c>
      <c r="G1938">
        <v>-23405852</v>
      </c>
      <c r="P1938">
        <v>3</v>
      </c>
      <c r="Q1938" t="s">
        <v>4197</v>
      </c>
    </row>
    <row r="1939" spans="1:17" x14ac:dyDescent="0.3">
      <c r="A1939" t="s">
        <v>17</v>
      </c>
      <c r="B1939" t="str">
        <f>"688328"</f>
        <v>688328</v>
      </c>
      <c r="C1939" t="s">
        <v>4198</v>
      </c>
      <c r="D1939" t="s">
        <v>741</v>
      </c>
      <c r="F1939">
        <v>37669816</v>
      </c>
      <c r="G1939">
        <v>26432384</v>
      </c>
      <c r="P1939">
        <v>39</v>
      </c>
      <c r="Q1939" t="s">
        <v>4199</v>
      </c>
    </row>
    <row r="1940" spans="1:17" x14ac:dyDescent="0.3">
      <c r="A1940" t="s">
        <v>17</v>
      </c>
      <c r="B1940" t="str">
        <f>"688329"</f>
        <v>688329</v>
      </c>
      <c r="C1940" t="s">
        <v>4200</v>
      </c>
      <c r="D1940" t="s">
        <v>3450</v>
      </c>
      <c r="F1940">
        <v>39656234</v>
      </c>
      <c r="G1940">
        <v>28548484</v>
      </c>
      <c r="P1940">
        <v>43</v>
      </c>
      <c r="Q1940" t="s">
        <v>4201</v>
      </c>
    </row>
    <row r="1941" spans="1:17" x14ac:dyDescent="0.3">
      <c r="A1941" t="s">
        <v>17</v>
      </c>
      <c r="B1941" t="str">
        <f>"688330"</f>
        <v>688330</v>
      </c>
      <c r="C1941" t="s">
        <v>4202</v>
      </c>
      <c r="D1941" t="s">
        <v>610</v>
      </c>
      <c r="F1941">
        <v>328475033</v>
      </c>
      <c r="G1941">
        <v>255289196</v>
      </c>
      <c r="H1941">
        <v>179717323</v>
      </c>
      <c r="P1941">
        <v>90</v>
      </c>
      <c r="Q1941" t="s">
        <v>4203</v>
      </c>
    </row>
    <row r="1942" spans="1:17" x14ac:dyDescent="0.3">
      <c r="A1942" t="s">
        <v>17</v>
      </c>
      <c r="B1942" t="str">
        <f>"688331"</f>
        <v>688331</v>
      </c>
      <c r="C1942" t="s">
        <v>4204</v>
      </c>
      <c r="F1942">
        <v>-688259395</v>
      </c>
      <c r="G1942">
        <v>-427132135</v>
      </c>
      <c r="P1942">
        <v>5</v>
      </c>
      <c r="Q1942" t="s">
        <v>4205</v>
      </c>
    </row>
    <row r="1943" spans="1:17" x14ac:dyDescent="0.3">
      <c r="A1943" t="s">
        <v>17</v>
      </c>
      <c r="B1943" t="str">
        <f>"688333"</f>
        <v>688333</v>
      </c>
      <c r="C1943" t="s">
        <v>4206</v>
      </c>
      <c r="D1943" t="s">
        <v>2312</v>
      </c>
      <c r="F1943">
        <v>-120004495</v>
      </c>
      <c r="G1943">
        <v>-13082037</v>
      </c>
      <c r="H1943">
        <v>26202254</v>
      </c>
      <c r="I1943">
        <v>9115594</v>
      </c>
      <c r="P1943">
        <v>117</v>
      </c>
      <c r="Q1943" t="s">
        <v>4207</v>
      </c>
    </row>
    <row r="1944" spans="1:17" x14ac:dyDescent="0.3">
      <c r="A1944" t="s">
        <v>17</v>
      </c>
      <c r="B1944" t="str">
        <f>"688335"</f>
        <v>688335</v>
      </c>
      <c r="C1944" t="s">
        <v>4208</v>
      </c>
      <c r="D1944" t="s">
        <v>33</v>
      </c>
      <c r="F1944">
        <v>34796226</v>
      </c>
      <c r="G1944">
        <v>40674399</v>
      </c>
      <c r="H1944">
        <v>45701140</v>
      </c>
      <c r="P1944">
        <v>61</v>
      </c>
      <c r="Q1944" t="s">
        <v>4209</v>
      </c>
    </row>
    <row r="1945" spans="1:17" x14ac:dyDescent="0.3">
      <c r="A1945" t="s">
        <v>17</v>
      </c>
      <c r="B1945" t="str">
        <f>"688336"</f>
        <v>688336</v>
      </c>
      <c r="C1945" t="s">
        <v>4210</v>
      </c>
      <c r="D1945" t="s">
        <v>1379</v>
      </c>
      <c r="F1945">
        <v>5715103</v>
      </c>
      <c r="G1945">
        <v>-56897176</v>
      </c>
      <c r="H1945">
        <v>55372336</v>
      </c>
      <c r="P1945">
        <v>52</v>
      </c>
      <c r="Q1945" t="s">
        <v>4211</v>
      </c>
    </row>
    <row r="1946" spans="1:17" x14ac:dyDescent="0.3">
      <c r="A1946" t="s">
        <v>17</v>
      </c>
      <c r="B1946" t="str">
        <f>"688338"</f>
        <v>688338</v>
      </c>
      <c r="C1946" t="s">
        <v>4212</v>
      </c>
      <c r="D1946" t="s">
        <v>1305</v>
      </c>
      <c r="F1946">
        <v>67039891</v>
      </c>
      <c r="G1946">
        <v>40158932</v>
      </c>
      <c r="H1946">
        <v>47838992</v>
      </c>
      <c r="I1946">
        <v>36830800</v>
      </c>
      <c r="P1946">
        <v>56</v>
      </c>
      <c r="Q1946" t="s">
        <v>4213</v>
      </c>
    </row>
    <row r="1947" spans="1:17" x14ac:dyDescent="0.3">
      <c r="A1947" t="s">
        <v>17</v>
      </c>
      <c r="B1947" t="str">
        <f>"688339"</f>
        <v>688339</v>
      </c>
      <c r="C1947" t="s">
        <v>4214</v>
      </c>
      <c r="D1947" t="s">
        <v>4215</v>
      </c>
      <c r="F1947">
        <v>-70755670</v>
      </c>
      <c r="G1947">
        <v>-57437117</v>
      </c>
      <c r="H1947">
        <v>15124302</v>
      </c>
      <c r="P1947">
        <v>153</v>
      </c>
      <c r="Q1947" t="s">
        <v>4216</v>
      </c>
    </row>
    <row r="1948" spans="1:17" x14ac:dyDescent="0.3">
      <c r="A1948" t="s">
        <v>17</v>
      </c>
      <c r="B1948" t="str">
        <f>"688345"</f>
        <v>688345</v>
      </c>
      <c r="C1948" t="s">
        <v>4217</v>
      </c>
      <c r="D1948" t="s">
        <v>359</v>
      </c>
      <c r="F1948">
        <v>88945570</v>
      </c>
      <c r="G1948">
        <v>87105481</v>
      </c>
      <c r="P1948">
        <v>39</v>
      </c>
      <c r="Q1948" t="s">
        <v>4218</v>
      </c>
    </row>
    <row r="1949" spans="1:17" x14ac:dyDescent="0.3">
      <c r="A1949" t="s">
        <v>17</v>
      </c>
      <c r="B1949" t="str">
        <f>"688350"</f>
        <v>688350</v>
      </c>
      <c r="C1949" t="s">
        <v>4219</v>
      </c>
      <c r="D1949" t="s">
        <v>386</v>
      </c>
      <c r="F1949">
        <v>90062935</v>
      </c>
      <c r="G1949">
        <v>88857557</v>
      </c>
      <c r="H1949">
        <v>63929400</v>
      </c>
      <c r="P1949">
        <v>34</v>
      </c>
      <c r="Q1949" t="s">
        <v>4220</v>
      </c>
    </row>
    <row r="1950" spans="1:17" x14ac:dyDescent="0.3">
      <c r="A1950" t="s">
        <v>17</v>
      </c>
      <c r="B1950" t="str">
        <f>"688355"</f>
        <v>688355</v>
      </c>
      <c r="C1950" t="s">
        <v>4221</v>
      </c>
      <c r="D1950" t="s">
        <v>274</v>
      </c>
      <c r="F1950">
        <v>65112481</v>
      </c>
      <c r="P1950">
        <v>21</v>
      </c>
      <c r="Q1950" t="s">
        <v>4222</v>
      </c>
    </row>
    <row r="1951" spans="1:17" x14ac:dyDescent="0.3">
      <c r="A1951" t="s">
        <v>17</v>
      </c>
      <c r="B1951" t="str">
        <f>"688356"</f>
        <v>688356</v>
      </c>
      <c r="C1951" t="s">
        <v>4223</v>
      </c>
      <c r="D1951" t="s">
        <v>496</v>
      </c>
      <c r="F1951">
        <v>142364121</v>
      </c>
      <c r="G1951">
        <v>56129850</v>
      </c>
      <c r="H1951">
        <v>41064403</v>
      </c>
      <c r="P1951">
        <v>152</v>
      </c>
      <c r="Q1951" t="s">
        <v>4224</v>
      </c>
    </row>
    <row r="1952" spans="1:17" x14ac:dyDescent="0.3">
      <c r="A1952" t="s">
        <v>17</v>
      </c>
      <c r="B1952" t="str">
        <f>"688357"</f>
        <v>688357</v>
      </c>
      <c r="C1952" t="s">
        <v>4225</v>
      </c>
      <c r="D1952" t="s">
        <v>2739</v>
      </c>
      <c r="F1952">
        <v>200619525</v>
      </c>
      <c r="G1952">
        <v>93779491</v>
      </c>
      <c r="H1952">
        <v>68742543</v>
      </c>
      <c r="I1952">
        <v>36617914</v>
      </c>
      <c r="P1952">
        <v>157</v>
      </c>
      <c r="Q1952" t="s">
        <v>4226</v>
      </c>
    </row>
    <row r="1953" spans="1:17" x14ac:dyDescent="0.3">
      <c r="A1953" t="s">
        <v>17</v>
      </c>
      <c r="B1953" t="str">
        <f>"688358"</f>
        <v>688358</v>
      </c>
      <c r="C1953" t="s">
        <v>4227</v>
      </c>
      <c r="D1953" t="s">
        <v>122</v>
      </c>
      <c r="F1953">
        <v>77775013</v>
      </c>
      <c r="G1953">
        <v>65820787</v>
      </c>
      <c r="H1953">
        <v>61093616</v>
      </c>
      <c r="I1953">
        <v>55227089</v>
      </c>
      <c r="P1953">
        <v>122</v>
      </c>
      <c r="Q1953" t="s">
        <v>4228</v>
      </c>
    </row>
    <row r="1954" spans="1:17" x14ac:dyDescent="0.3">
      <c r="A1954" t="s">
        <v>17</v>
      </c>
      <c r="B1954" t="str">
        <f>"688359"</f>
        <v>688359</v>
      </c>
      <c r="C1954" t="s">
        <v>4229</v>
      </c>
      <c r="D1954" t="s">
        <v>2399</v>
      </c>
      <c r="F1954">
        <v>37368478</v>
      </c>
      <c r="G1954">
        <v>30599233</v>
      </c>
      <c r="P1954">
        <v>23</v>
      </c>
      <c r="Q1954" t="s">
        <v>4230</v>
      </c>
    </row>
    <row r="1955" spans="1:17" x14ac:dyDescent="0.3">
      <c r="A1955" t="s">
        <v>17</v>
      </c>
      <c r="B1955" t="str">
        <f>"688360"</f>
        <v>688360</v>
      </c>
      <c r="C1955" t="s">
        <v>4231</v>
      </c>
      <c r="D1955" t="s">
        <v>560</v>
      </c>
      <c r="F1955">
        <v>59299474</v>
      </c>
      <c r="G1955">
        <v>27853534</v>
      </c>
      <c r="H1955">
        <v>18844977</v>
      </c>
      <c r="P1955">
        <v>84</v>
      </c>
      <c r="Q1955" t="s">
        <v>4232</v>
      </c>
    </row>
    <row r="1956" spans="1:17" x14ac:dyDescent="0.3">
      <c r="A1956" t="s">
        <v>17</v>
      </c>
      <c r="B1956" t="str">
        <f>"688363"</f>
        <v>688363</v>
      </c>
      <c r="C1956" t="s">
        <v>4233</v>
      </c>
      <c r="D1956" t="s">
        <v>4234</v>
      </c>
      <c r="F1956">
        <v>555302114</v>
      </c>
      <c r="G1956">
        <v>437565649</v>
      </c>
      <c r="H1956">
        <v>416248611</v>
      </c>
      <c r="I1956">
        <v>318787845</v>
      </c>
      <c r="P1956">
        <v>1156</v>
      </c>
      <c r="Q1956" t="s">
        <v>4235</v>
      </c>
    </row>
    <row r="1957" spans="1:17" x14ac:dyDescent="0.3">
      <c r="A1957" t="s">
        <v>17</v>
      </c>
      <c r="B1957" t="str">
        <f>"688365"</f>
        <v>688365</v>
      </c>
      <c r="C1957" t="s">
        <v>4236</v>
      </c>
      <c r="D1957" t="s">
        <v>316</v>
      </c>
      <c r="F1957">
        <v>-30257670</v>
      </c>
      <c r="G1957">
        <v>58638408</v>
      </c>
      <c r="H1957">
        <v>62213524</v>
      </c>
      <c r="I1957">
        <v>70906700</v>
      </c>
      <c r="P1957">
        <v>72</v>
      </c>
      <c r="Q1957" t="s">
        <v>4237</v>
      </c>
    </row>
    <row r="1958" spans="1:17" x14ac:dyDescent="0.3">
      <c r="A1958" t="s">
        <v>17</v>
      </c>
      <c r="B1958" t="str">
        <f>"688366"</f>
        <v>688366</v>
      </c>
      <c r="C1958" t="s">
        <v>4238</v>
      </c>
      <c r="D1958" t="s">
        <v>1077</v>
      </c>
      <c r="F1958">
        <v>310495003</v>
      </c>
      <c r="G1958">
        <v>112646895</v>
      </c>
      <c r="H1958">
        <v>251048458</v>
      </c>
      <c r="I1958">
        <v>279052967</v>
      </c>
      <c r="P1958">
        <v>265</v>
      </c>
      <c r="Q1958" t="s">
        <v>4239</v>
      </c>
    </row>
    <row r="1959" spans="1:17" x14ac:dyDescent="0.3">
      <c r="A1959" t="s">
        <v>17</v>
      </c>
      <c r="B1959" t="str">
        <f>"688367"</f>
        <v>688367</v>
      </c>
      <c r="C1959" t="s">
        <v>4240</v>
      </c>
      <c r="D1959" t="s">
        <v>1012</v>
      </c>
      <c r="F1959">
        <v>23398079</v>
      </c>
      <c r="G1959">
        <v>17812992</v>
      </c>
      <c r="P1959">
        <v>30</v>
      </c>
      <c r="Q1959" t="s">
        <v>4241</v>
      </c>
    </row>
    <row r="1960" spans="1:17" x14ac:dyDescent="0.3">
      <c r="A1960" t="s">
        <v>17</v>
      </c>
      <c r="B1960" t="str">
        <f>"688368"</f>
        <v>688368</v>
      </c>
      <c r="C1960" t="s">
        <v>4242</v>
      </c>
      <c r="D1960" t="s">
        <v>401</v>
      </c>
      <c r="F1960">
        <v>573454360</v>
      </c>
      <c r="G1960">
        <v>29887480</v>
      </c>
      <c r="H1960">
        <v>69197416</v>
      </c>
      <c r="I1960">
        <v>66908988</v>
      </c>
      <c r="P1960">
        <v>213</v>
      </c>
      <c r="Q1960" t="s">
        <v>4243</v>
      </c>
    </row>
    <row r="1961" spans="1:17" x14ac:dyDescent="0.3">
      <c r="A1961" t="s">
        <v>17</v>
      </c>
      <c r="B1961" t="str">
        <f>"688369"</f>
        <v>688369</v>
      </c>
      <c r="C1961" t="s">
        <v>4244</v>
      </c>
      <c r="D1961" t="s">
        <v>1189</v>
      </c>
      <c r="F1961">
        <v>66640824</v>
      </c>
      <c r="G1961">
        <v>57216598</v>
      </c>
      <c r="H1961">
        <v>33528902</v>
      </c>
      <c r="I1961">
        <v>11587434</v>
      </c>
      <c r="P1961">
        <v>168</v>
      </c>
      <c r="Q1961" t="s">
        <v>4245</v>
      </c>
    </row>
    <row r="1962" spans="1:17" x14ac:dyDescent="0.3">
      <c r="A1962" t="s">
        <v>17</v>
      </c>
      <c r="B1962" t="str">
        <f>"688377"</f>
        <v>688377</v>
      </c>
      <c r="C1962" t="s">
        <v>4246</v>
      </c>
      <c r="D1962" t="s">
        <v>395</v>
      </c>
      <c r="F1962">
        <v>27825719</v>
      </c>
      <c r="G1962">
        <v>70326201</v>
      </c>
      <c r="H1962">
        <v>74327833</v>
      </c>
      <c r="P1962">
        <v>52</v>
      </c>
      <c r="Q1962" t="s">
        <v>4247</v>
      </c>
    </row>
    <row r="1963" spans="1:17" x14ac:dyDescent="0.3">
      <c r="A1963" t="s">
        <v>17</v>
      </c>
      <c r="B1963" t="str">
        <f>"688378"</f>
        <v>688378</v>
      </c>
      <c r="C1963" t="s">
        <v>4248</v>
      </c>
      <c r="D1963" t="s">
        <v>741</v>
      </c>
      <c r="F1963">
        <v>146916713</v>
      </c>
      <c r="G1963">
        <v>35558233</v>
      </c>
      <c r="H1963">
        <v>61807381</v>
      </c>
      <c r="P1963">
        <v>50</v>
      </c>
      <c r="Q1963" t="s">
        <v>4249</v>
      </c>
    </row>
    <row r="1964" spans="1:17" x14ac:dyDescent="0.3">
      <c r="A1964" t="s">
        <v>17</v>
      </c>
      <c r="B1964" t="str">
        <f>"688379"</f>
        <v>688379</v>
      </c>
      <c r="C1964" t="s">
        <v>4250</v>
      </c>
      <c r="D1964" t="s">
        <v>274</v>
      </c>
      <c r="F1964">
        <v>40949058</v>
      </c>
      <c r="G1964">
        <v>40691013</v>
      </c>
      <c r="H1964">
        <v>36897241</v>
      </c>
      <c r="P1964">
        <v>36</v>
      </c>
      <c r="Q1964" t="s">
        <v>4251</v>
      </c>
    </row>
    <row r="1965" spans="1:17" x14ac:dyDescent="0.3">
      <c r="A1965" t="s">
        <v>17</v>
      </c>
      <c r="B1965" t="str">
        <f>"688383"</f>
        <v>688383</v>
      </c>
      <c r="C1965" t="s">
        <v>4252</v>
      </c>
      <c r="D1965" t="s">
        <v>741</v>
      </c>
      <c r="F1965">
        <v>156907905</v>
      </c>
      <c r="G1965">
        <v>67568055</v>
      </c>
      <c r="P1965">
        <v>49</v>
      </c>
      <c r="Q1965" t="s">
        <v>4253</v>
      </c>
    </row>
    <row r="1966" spans="1:17" x14ac:dyDescent="0.3">
      <c r="A1966" t="s">
        <v>17</v>
      </c>
      <c r="B1966" t="str">
        <f>"688385"</f>
        <v>688385</v>
      </c>
      <c r="C1966" t="s">
        <v>4254</v>
      </c>
      <c r="D1966" t="s">
        <v>461</v>
      </c>
      <c r="F1966">
        <v>388227527</v>
      </c>
      <c r="G1966">
        <v>106046551</v>
      </c>
      <c r="P1966">
        <v>47</v>
      </c>
      <c r="Q1966" t="s">
        <v>4255</v>
      </c>
    </row>
    <row r="1967" spans="1:17" x14ac:dyDescent="0.3">
      <c r="A1967" t="s">
        <v>17</v>
      </c>
      <c r="B1967" t="str">
        <f>"688386"</f>
        <v>688386</v>
      </c>
      <c r="C1967" t="s">
        <v>4256</v>
      </c>
      <c r="D1967" t="s">
        <v>324</v>
      </c>
      <c r="F1967">
        <v>43422551</v>
      </c>
      <c r="G1967">
        <v>33317003</v>
      </c>
      <c r="H1967">
        <v>24213401</v>
      </c>
      <c r="P1967">
        <v>43</v>
      </c>
      <c r="Q1967" t="s">
        <v>4257</v>
      </c>
    </row>
    <row r="1968" spans="1:17" x14ac:dyDescent="0.3">
      <c r="A1968" t="s">
        <v>17</v>
      </c>
      <c r="B1968" t="str">
        <f>"688388"</f>
        <v>688388</v>
      </c>
      <c r="C1968" t="s">
        <v>4258</v>
      </c>
      <c r="D1968" t="s">
        <v>263</v>
      </c>
      <c r="F1968">
        <v>394224868</v>
      </c>
      <c r="G1968">
        <v>116504450</v>
      </c>
      <c r="H1968">
        <v>268285574</v>
      </c>
      <c r="I1968">
        <v>106297631</v>
      </c>
      <c r="P1968">
        <v>286</v>
      </c>
      <c r="Q1968" t="s">
        <v>4259</v>
      </c>
    </row>
    <row r="1969" spans="1:17" x14ac:dyDescent="0.3">
      <c r="A1969" t="s">
        <v>17</v>
      </c>
      <c r="B1969" t="str">
        <f>"688389"</f>
        <v>688389</v>
      </c>
      <c r="C1969" t="s">
        <v>4260</v>
      </c>
      <c r="D1969" t="s">
        <v>1305</v>
      </c>
      <c r="F1969">
        <v>122241966</v>
      </c>
      <c r="G1969">
        <v>92912031</v>
      </c>
      <c r="H1969">
        <v>66101277</v>
      </c>
      <c r="I1969">
        <v>44855691</v>
      </c>
      <c r="P1969">
        <v>161</v>
      </c>
      <c r="Q1969" t="s">
        <v>4261</v>
      </c>
    </row>
    <row r="1970" spans="1:17" x14ac:dyDescent="0.3">
      <c r="A1970" t="s">
        <v>17</v>
      </c>
      <c r="B1970" t="str">
        <f>"688390"</f>
        <v>688390</v>
      </c>
      <c r="C1970" t="s">
        <v>4262</v>
      </c>
      <c r="D1970" t="s">
        <v>3797</v>
      </c>
      <c r="F1970">
        <v>215126701</v>
      </c>
      <c r="G1970">
        <v>196763731</v>
      </c>
      <c r="H1970">
        <v>76000596</v>
      </c>
      <c r="P1970">
        <v>283</v>
      </c>
      <c r="Q1970" t="s">
        <v>4263</v>
      </c>
    </row>
    <row r="1971" spans="1:17" x14ac:dyDescent="0.3">
      <c r="A1971" t="s">
        <v>17</v>
      </c>
      <c r="B1971" t="str">
        <f>"688393"</f>
        <v>688393</v>
      </c>
      <c r="C1971" t="s">
        <v>4264</v>
      </c>
      <c r="D1971" t="s">
        <v>1305</v>
      </c>
      <c r="F1971">
        <v>74514845</v>
      </c>
      <c r="G1971">
        <v>66376047</v>
      </c>
      <c r="H1971">
        <v>60245032</v>
      </c>
      <c r="P1971">
        <v>76</v>
      </c>
      <c r="Q1971" t="s">
        <v>4265</v>
      </c>
    </row>
    <row r="1972" spans="1:17" x14ac:dyDescent="0.3">
      <c r="A1972" t="s">
        <v>17</v>
      </c>
      <c r="B1972" t="str">
        <f>"688395"</f>
        <v>688395</v>
      </c>
      <c r="C1972" t="s">
        <v>4266</v>
      </c>
      <c r="D1972" t="s">
        <v>2423</v>
      </c>
      <c r="F1972">
        <v>59388299</v>
      </c>
      <c r="G1972">
        <v>52377866</v>
      </c>
      <c r="P1972">
        <v>36</v>
      </c>
      <c r="Q1972" t="s">
        <v>4267</v>
      </c>
    </row>
    <row r="1973" spans="1:17" x14ac:dyDescent="0.3">
      <c r="A1973" t="s">
        <v>17</v>
      </c>
      <c r="B1973" t="str">
        <f>"688396"</f>
        <v>688396</v>
      </c>
      <c r="C1973" t="s">
        <v>4268</v>
      </c>
      <c r="D1973" t="s">
        <v>4269</v>
      </c>
      <c r="F1973">
        <v>1683668239</v>
      </c>
      <c r="G1973">
        <v>686649736</v>
      </c>
      <c r="H1973">
        <v>269707130</v>
      </c>
      <c r="I1973">
        <v>451213100</v>
      </c>
      <c r="P1973">
        <v>495</v>
      </c>
      <c r="Q1973" t="s">
        <v>4270</v>
      </c>
    </row>
    <row r="1974" spans="1:17" x14ac:dyDescent="0.3">
      <c r="A1974" t="s">
        <v>17</v>
      </c>
      <c r="B1974" t="str">
        <f>"688398"</f>
        <v>688398</v>
      </c>
      <c r="C1974" t="s">
        <v>4271</v>
      </c>
      <c r="D1974" t="s">
        <v>386</v>
      </c>
      <c r="F1974">
        <v>98869973</v>
      </c>
      <c r="G1974">
        <v>76275500</v>
      </c>
      <c r="H1974">
        <v>56577188</v>
      </c>
      <c r="I1974">
        <v>31932800</v>
      </c>
      <c r="P1974">
        <v>81</v>
      </c>
      <c r="Q1974" t="s">
        <v>4272</v>
      </c>
    </row>
    <row r="1975" spans="1:17" x14ac:dyDescent="0.3">
      <c r="A1975" t="s">
        <v>17</v>
      </c>
      <c r="B1975" t="str">
        <f>"688399"</f>
        <v>688399</v>
      </c>
      <c r="C1975" t="s">
        <v>4273</v>
      </c>
      <c r="D1975" t="s">
        <v>1305</v>
      </c>
      <c r="F1975">
        <v>996150679</v>
      </c>
      <c r="G1975">
        <v>581793308</v>
      </c>
      <c r="H1975">
        <v>49772187</v>
      </c>
      <c r="I1975">
        <v>39337797</v>
      </c>
      <c r="P1975">
        <v>373</v>
      </c>
      <c r="Q1975" t="s">
        <v>4274</v>
      </c>
    </row>
    <row r="1976" spans="1:17" x14ac:dyDescent="0.3">
      <c r="A1976" t="s">
        <v>17</v>
      </c>
      <c r="B1976" t="str">
        <f>"688408"</f>
        <v>688408</v>
      </c>
      <c r="C1976" t="s">
        <v>4275</v>
      </c>
      <c r="D1976" t="s">
        <v>478</v>
      </c>
      <c r="F1976">
        <v>52328248</v>
      </c>
      <c r="G1976">
        <v>173097698</v>
      </c>
      <c r="H1976">
        <v>85308970</v>
      </c>
      <c r="P1976">
        <v>114</v>
      </c>
      <c r="Q1976" t="s">
        <v>4276</v>
      </c>
    </row>
    <row r="1977" spans="1:17" x14ac:dyDescent="0.3">
      <c r="A1977" t="s">
        <v>17</v>
      </c>
      <c r="B1977" t="str">
        <f>"688418"</f>
        <v>688418</v>
      </c>
      <c r="C1977" t="s">
        <v>4277</v>
      </c>
      <c r="D1977" t="s">
        <v>595</v>
      </c>
      <c r="F1977">
        <v>-69961267</v>
      </c>
      <c r="G1977">
        <v>14554308</v>
      </c>
      <c r="H1977">
        <v>13984939</v>
      </c>
      <c r="P1977">
        <v>40</v>
      </c>
      <c r="Q1977" t="s">
        <v>4278</v>
      </c>
    </row>
    <row r="1978" spans="1:17" x14ac:dyDescent="0.3">
      <c r="A1978" t="s">
        <v>17</v>
      </c>
      <c r="B1978" t="str">
        <f>"688425"</f>
        <v>688425</v>
      </c>
      <c r="C1978" t="s">
        <v>4279</v>
      </c>
      <c r="D1978" t="s">
        <v>83</v>
      </c>
      <c r="F1978">
        <v>1292742280</v>
      </c>
      <c r="P1978">
        <v>40</v>
      </c>
      <c r="Q1978" t="s">
        <v>4280</v>
      </c>
    </row>
    <row r="1979" spans="1:17" x14ac:dyDescent="0.3">
      <c r="A1979" t="s">
        <v>17</v>
      </c>
      <c r="B1979" t="str">
        <f>"688456"</f>
        <v>688456</v>
      </c>
      <c r="C1979" t="s">
        <v>4281</v>
      </c>
      <c r="D1979" t="s">
        <v>263</v>
      </c>
      <c r="F1979">
        <v>49198674</v>
      </c>
      <c r="G1979">
        <v>43159882</v>
      </c>
      <c r="H1979">
        <v>43432879</v>
      </c>
      <c r="P1979">
        <v>28</v>
      </c>
      <c r="Q1979" t="s">
        <v>4282</v>
      </c>
    </row>
    <row r="1980" spans="1:17" x14ac:dyDescent="0.3">
      <c r="A1980" t="s">
        <v>17</v>
      </c>
      <c r="B1980" t="str">
        <f>"688466"</f>
        <v>688466</v>
      </c>
      <c r="C1980" t="s">
        <v>4283</v>
      </c>
      <c r="D1980" t="s">
        <v>33</v>
      </c>
      <c r="F1980">
        <v>35522542</v>
      </c>
      <c r="G1980">
        <v>34790610</v>
      </c>
      <c r="H1980">
        <v>33320235</v>
      </c>
      <c r="I1980">
        <v>32382000</v>
      </c>
      <c r="P1980">
        <v>60</v>
      </c>
      <c r="Q1980" t="s">
        <v>4284</v>
      </c>
    </row>
    <row r="1981" spans="1:17" x14ac:dyDescent="0.3">
      <c r="A1981" t="s">
        <v>17</v>
      </c>
      <c r="B1981" t="str">
        <f>"688468"</f>
        <v>688468</v>
      </c>
      <c r="C1981" t="s">
        <v>4285</v>
      </c>
      <c r="D1981" t="s">
        <v>1305</v>
      </c>
      <c r="F1981">
        <v>107803052</v>
      </c>
      <c r="G1981">
        <v>76595066</v>
      </c>
      <c r="P1981">
        <v>39</v>
      </c>
      <c r="Q1981" t="s">
        <v>4286</v>
      </c>
    </row>
    <row r="1982" spans="1:17" x14ac:dyDescent="0.3">
      <c r="A1982" t="s">
        <v>17</v>
      </c>
      <c r="B1982" t="str">
        <f>"688488"</f>
        <v>688488</v>
      </c>
      <c r="C1982" t="s">
        <v>4287</v>
      </c>
      <c r="D1982" t="s">
        <v>1379</v>
      </c>
      <c r="F1982">
        <v>6640690</v>
      </c>
      <c r="G1982">
        <v>29590563</v>
      </c>
      <c r="H1982">
        <v>11946050</v>
      </c>
      <c r="P1982">
        <v>44</v>
      </c>
      <c r="Q1982" t="s">
        <v>4288</v>
      </c>
    </row>
    <row r="1983" spans="1:17" x14ac:dyDescent="0.3">
      <c r="A1983" t="s">
        <v>17</v>
      </c>
      <c r="B1983" t="str">
        <f>"688499"</f>
        <v>688499</v>
      </c>
      <c r="C1983" t="s">
        <v>4289</v>
      </c>
      <c r="D1983" t="s">
        <v>3749</v>
      </c>
      <c r="F1983">
        <v>156865716</v>
      </c>
      <c r="G1983">
        <v>91542418</v>
      </c>
      <c r="P1983">
        <v>65</v>
      </c>
      <c r="Q1983" t="s">
        <v>4290</v>
      </c>
    </row>
    <row r="1984" spans="1:17" x14ac:dyDescent="0.3">
      <c r="A1984" t="s">
        <v>17</v>
      </c>
      <c r="B1984" t="str">
        <f>"688500"</f>
        <v>688500</v>
      </c>
      <c r="C1984" t="s">
        <v>4291</v>
      </c>
      <c r="D1984" t="s">
        <v>316</v>
      </c>
      <c r="F1984">
        <v>22019892</v>
      </c>
      <c r="G1984">
        <v>17933368</v>
      </c>
      <c r="H1984">
        <v>23390776</v>
      </c>
      <c r="P1984">
        <v>26</v>
      </c>
      <c r="Q1984" t="s">
        <v>4292</v>
      </c>
    </row>
    <row r="1985" spans="1:17" x14ac:dyDescent="0.3">
      <c r="A1985" t="s">
        <v>17</v>
      </c>
      <c r="B1985" t="str">
        <f>"688501"</f>
        <v>688501</v>
      </c>
      <c r="C1985" t="s">
        <v>4293</v>
      </c>
      <c r="D1985" t="s">
        <v>1070</v>
      </c>
      <c r="F1985">
        <v>11965691</v>
      </c>
      <c r="G1985">
        <v>2246850</v>
      </c>
      <c r="P1985">
        <v>24</v>
      </c>
      <c r="Q1985" t="s">
        <v>4294</v>
      </c>
    </row>
    <row r="1986" spans="1:17" x14ac:dyDescent="0.3">
      <c r="A1986" t="s">
        <v>17</v>
      </c>
      <c r="B1986" t="str">
        <f>"688505"</f>
        <v>688505</v>
      </c>
      <c r="C1986" t="s">
        <v>4295</v>
      </c>
      <c r="D1986" t="s">
        <v>143</v>
      </c>
      <c r="F1986">
        <v>118614270</v>
      </c>
      <c r="G1986">
        <v>84847892</v>
      </c>
      <c r="H1986">
        <v>121471294</v>
      </c>
      <c r="P1986">
        <v>69</v>
      </c>
      <c r="Q1986" t="s">
        <v>4296</v>
      </c>
    </row>
    <row r="1987" spans="1:17" x14ac:dyDescent="0.3">
      <c r="A1987" t="s">
        <v>17</v>
      </c>
      <c r="B1987" t="str">
        <f>"688508"</f>
        <v>688508</v>
      </c>
      <c r="C1987" t="s">
        <v>4297</v>
      </c>
      <c r="D1987" t="s">
        <v>401</v>
      </c>
      <c r="F1987">
        <v>129041670</v>
      </c>
      <c r="G1987">
        <v>59268334</v>
      </c>
      <c r="H1987">
        <v>43604178</v>
      </c>
      <c r="P1987">
        <v>165</v>
      </c>
      <c r="Q1987" t="s">
        <v>4298</v>
      </c>
    </row>
    <row r="1988" spans="1:17" x14ac:dyDescent="0.3">
      <c r="A1988" t="s">
        <v>17</v>
      </c>
      <c r="B1988" t="str">
        <f>"688509"</f>
        <v>688509</v>
      </c>
      <c r="C1988" t="s">
        <v>4299</v>
      </c>
      <c r="D1988" t="s">
        <v>316</v>
      </c>
      <c r="F1988">
        <v>-36037541</v>
      </c>
      <c r="G1988">
        <v>-53591222</v>
      </c>
      <c r="P1988">
        <v>17</v>
      </c>
      <c r="Q1988" t="s">
        <v>4300</v>
      </c>
    </row>
    <row r="1989" spans="1:17" x14ac:dyDescent="0.3">
      <c r="A1989" t="s">
        <v>17</v>
      </c>
      <c r="B1989" t="str">
        <f>"688510"</f>
        <v>688510</v>
      </c>
      <c r="C1989" t="s">
        <v>4301</v>
      </c>
      <c r="D1989" t="s">
        <v>98</v>
      </c>
      <c r="F1989">
        <v>11068074</v>
      </c>
      <c r="G1989">
        <v>39441420</v>
      </c>
      <c r="H1989">
        <v>34453400</v>
      </c>
      <c r="P1989">
        <v>66</v>
      </c>
      <c r="Q1989" t="s">
        <v>4302</v>
      </c>
    </row>
    <row r="1990" spans="1:17" x14ac:dyDescent="0.3">
      <c r="A1990" t="s">
        <v>17</v>
      </c>
      <c r="B1990" t="str">
        <f>"688511"</f>
        <v>688511</v>
      </c>
      <c r="C1990" t="s">
        <v>4303</v>
      </c>
      <c r="D1990" t="s">
        <v>1136</v>
      </c>
      <c r="F1990">
        <v>89478708</v>
      </c>
      <c r="P1990">
        <v>23</v>
      </c>
      <c r="Q1990" t="s">
        <v>4304</v>
      </c>
    </row>
    <row r="1991" spans="1:17" x14ac:dyDescent="0.3">
      <c r="A1991" t="s">
        <v>17</v>
      </c>
      <c r="B1991" t="str">
        <f>"688513"</f>
        <v>688513</v>
      </c>
      <c r="C1991" t="s">
        <v>4305</v>
      </c>
      <c r="D1991" t="s">
        <v>143</v>
      </c>
      <c r="F1991">
        <v>186075903</v>
      </c>
      <c r="G1991">
        <v>124861473</v>
      </c>
      <c r="H1991">
        <v>94929398</v>
      </c>
      <c r="P1991">
        <v>58</v>
      </c>
      <c r="Q1991" t="s">
        <v>4306</v>
      </c>
    </row>
    <row r="1992" spans="1:17" x14ac:dyDescent="0.3">
      <c r="A1992" t="s">
        <v>17</v>
      </c>
      <c r="B1992" t="str">
        <f>"688516"</f>
        <v>688516</v>
      </c>
      <c r="C1992" t="s">
        <v>4307</v>
      </c>
      <c r="D1992" t="s">
        <v>2654</v>
      </c>
      <c r="F1992">
        <v>227786909</v>
      </c>
      <c r="G1992">
        <v>69424319</v>
      </c>
      <c r="H1992">
        <v>9067345</v>
      </c>
      <c r="P1992">
        <v>152</v>
      </c>
      <c r="Q1992" t="s">
        <v>4308</v>
      </c>
    </row>
    <row r="1993" spans="1:17" x14ac:dyDescent="0.3">
      <c r="A1993" t="s">
        <v>17</v>
      </c>
      <c r="B1993" t="str">
        <f>"688517"</f>
        <v>688517</v>
      </c>
      <c r="C1993" t="s">
        <v>4309</v>
      </c>
      <c r="D1993" t="s">
        <v>657</v>
      </c>
      <c r="F1993">
        <v>30700105</v>
      </c>
      <c r="G1993">
        <v>40516504</v>
      </c>
      <c r="P1993">
        <v>19</v>
      </c>
      <c r="Q1993" t="s">
        <v>4310</v>
      </c>
    </row>
    <row r="1994" spans="1:17" x14ac:dyDescent="0.3">
      <c r="A1994" t="s">
        <v>17</v>
      </c>
      <c r="B1994" t="str">
        <f>"688518"</f>
        <v>688518</v>
      </c>
      <c r="C1994" t="s">
        <v>4311</v>
      </c>
      <c r="D1994" t="s">
        <v>3784</v>
      </c>
      <c r="F1994">
        <v>56355715</v>
      </c>
      <c r="G1994">
        <v>12913633</v>
      </c>
      <c r="H1994">
        <v>51464569</v>
      </c>
      <c r="P1994">
        <v>65</v>
      </c>
      <c r="Q1994" t="s">
        <v>4312</v>
      </c>
    </row>
    <row r="1995" spans="1:17" x14ac:dyDescent="0.3">
      <c r="A1995" t="s">
        <v>17</v>
      </c>
      <c r="B1995" t="str">
        <f>"688519"</f>
        <v>688519</v>
      </c>
      <c r="C1995" t="s">
        <v>4313</v>
      </c>
      <c r="D1995" t="s">
        <v>425</v>
      </c>
      <c r="F1995">
        <v>321372079</v>
      </c>
      <c r="G1995">
        <v>89435957</v>
      </c>
      <c r="H1995">
        <v>107920639</v>
      </c>
      <c r="I1995">
        <v>91512682</v>
      </c>
      <c r="P1995">
        <v>80</v>
      </c>
      <c r="Q1995" t="s">
        <v>4314</v>
      </c>
    </row>
    <row r="1996" spans="1:17" x14ac:dyDescent="0.3">
      <c r="A1996" t="s">
        <v>17</v>
      </c>
      <c r="B1996" t="str">
        <f>"688520"</f>
        <v>688520</v>
      </c>
      <c r="C1996" t="s">
        <v>4315</v>
      </c>
      <c r="D1996" t="s">
        <v>1379</v>
      </c>
      <c r="F1996">
        <v>-660742721</v>
      </c>
      <c r="G1996">
        <v>-514638892</v>
      </c>
      <c r="H1996">
        <v>-600406222</v>
      </c>
      <c r="P1996">
        <v>90</v>
      </c>
      <c r="Q1996" t="s">
        <v>4316</v>
      </c>
    </row>
    <row r="1997" spans="1:17" x14ac:dyDescent="0.3">
      <c r="A1997" t="s">
        <v>17</v>
      </c>
      <c r="B1997" t="str">
        <f>"688521"</f>
        <v>688521</v>
      </c>
      <c r="C1997" t="s">
        <v>4317</v>
      </c>
      <c r="D1997" t="s">
        <v>461</v>
      </c>
      <c r="F1997">
        <v>-21816338</v>
      </c>
      <c r="G1997">
        <v>-85561541</v>
      </c>
      <c r="H1997">
        <v>-22691572</v>
      </c>
      <c r="P1997">
        <v>140</v>
      </c>
      <c r="Q1997" t="s">
        <v>4318</v>
      </c>
    </row>
    <row r="1998" spans="1:17" x14ac:dyDescent="0.3">
      <c r="A1998" t="s">
        <v>17</v>
      </c>
      <c r="B1998" t="str">
        <f>"688526"</f>
        <v>688526</v>
      </c>
      <c r="C1998" t="s">
        <v>4319</v>
      </c>
      <c r="D1998" t="s">
        <v>453</v>
      </c>
      <c r="F1998">
        <v>385907080</v>
      </c>
      <c r="G1998">
        <v>319739674</v>
      </c>
      <c r="H1998">
        <v>190909445</v>
      </c>
      <c r="P1998">
        <v>147</v>
      </c>
      <c r="Q1998" t="s">
        <v>4320</v>
      </c>
    </row>
    <row r="1999" spans="1:17" x14ac:dyDescent="0.3">
      <c r="A1999" t="s">
        <v>17</v>
      </c>
      <c r="B1999" t="str">
        <f>"688528"</f>
        <v>688528</v>
      </c>
      <c r="C1999" t="s">
        <v>4321</v>
      </c>
      <c r="D1999" t="s">
        <v>2551</v>
      </c>
      <c r="F1999">
        <v>21337619</v>
      </c>
      <c r="G1999">
        <v>34235479</v>
      </c>
      <c r="H1999">
        <v>25796536</v>
      </c>
      <c r="P1999">
        <v>42</v>
      </c>
      <c r="Q1999" t="s">
        <v>4322</v>
      </c>
    </row>
    <row r="2000" spans="1:17" x14ac:dyDescent="0.3">
      <c r="A2000" t="s">
        <v>17</v>
      </c>
      <c r="B2000" t="str">
        <f>"688529"</f>
        <v>688529</v>
      </c>
      <c r="C2000" t="s">
        <v>4323</v>
      </c>
      <c r="D2000" t="s">
        <v>741</v>
      </c>
      <c r="F2000">
        <v>43597642</v>
      </c>
      <c r="G2000">
        <v>68251895</v>
      </c>
      <c r="H2000">
        <v>8768957</v>
      </c>
      <c r="P2000">
        <v>33</v>
      </c>
      <c r="Q2000" t="s">
        <v>4324</v>
      </c>
    </row>
    <row r="2001" spans="1:17" x14ac:dyDescent="0.3">
      <c r="A2001" t="s">
        <v>17</v>
      </c>
      <c r="B2001" t="str">
        <f>"688533"</f>
        <v>688533</v>
      </c>
      <c r="C2001" t="s">
        <v>4325</v>
      </c>
      <c r="D2001" t="s">
        <v>1415</v>
      </c>
      <c r="F2001">
        <v>44321490</v>
      </c>
      <c r="G2001">
        <v>40270131</v>
      </c>
      <c r="P2001">
        <v>39</v>
      </c>
      <c r="Q2001" t="s">
        <v>4326</v>
      </c>
    </row>
    <row r="2002" spans="1:17" x14ac:dyDescent="0.3">
      <c r="A2002" t="s">
        <v>17</v>
      </c>
      <c r="B2002" t="str">
        <f>"688536"</f>
        <v>688536</v>
      </c>
      <c r="C2002" t="s">
        <v>4327</v>
      </c>
      <c r="D2002" t="s">
        <v>401</v>
      </c>
      <c r="F2002">
        <v>311717377</v>
      </c>
      <c r="G2002">
        <v>162812080</v>
      </c>
      <c r="H2002">
        <v>42264386</v>
      </c>
      <c r="P2002">
        <v>199</v>
      </c>
      <c r="Q2002" t="s">
        <v>4328</v>
      </c>
    </row>
    <row r="2003" spans="1:17" x14ac:dyDescent="0.3">
      <c r="A2003" t="s">
        <v>17</v>
      </c>
      <c r="B2003" t="str">
        <f>"688538"</f>
        <v>688538</v>
      </c>
      <c r="C2003" t="s">
        <v>4329</v>
      </c>
      <c r="D2003" t="s">
        <v>1117</v>
      </c>
      <c r="F2003">
        <v>-681506715</v>
      </c>
      <c r="P2003">
        <v>37</v>
      </c>
      <c r="Q2003" t="s">
        <v>4330</v>
      </c>
    </row>
    <row r="2004" spans="1:17" x14ac:dyDescent="0.3">
      <c r="A2004" t="s">
        <v>17</v>
      </c>
      <c r="B2004" t="str">
        <f>"688550"</f>
        <v>688550</v>
      </c>
      <c r="C2004" t="s">
        <v>4331</v>
      </c>
      <c r="D2004" t="s">
        <v>2399</v>
      </c>
      <c r="F2004">
        <v>168362145</v>
      </c>
      <c r="G2004">
        <v>123454188</v>
      </c>
      <c r="H2004">
        <v>121842369</v>
      </c>
      <c r="P2004">
        <v>54</v>
      </c>
      <c r="Q2004" t="s">
        <v>4332</v>
      </c>
    </row>
    <row r="2005" spans="1:17" x14ac:dyDescent="0.3">
      <c r="A2005" t="s">
        <v>17</v>
      </c>
      <c r="B2005" t="str">
        <f>"688551"</f>
        <v>688551</v>
      </c>
      <c r="C2005" t="s">
        <v>4333</v>
      </c>
      <c r="D2005" t="s">
        <v>880</v>
      </c>
      <c r="F2005">
        <v>49183326</v>
      </c>
      <c r="G2005">
        <v>35358144</v>
      </c>
      <c r="H2005">
        <v>47055188</v>
      </c>
      <c r="P2005">
        <v>39</v>
      </c>
      <c r="Q2005" t="s">
        <v>4334</v>
      </c>
    </row>
    <row r="2006" spans="1:17" x14ac:dyDescent="0.3">
      <c r="A2006" t="s">
        <v>17</v>
      </c>
      <c r="B2006" t="str">
        <f>"688553"</f>
        <v>688553</v>
      </c>
      <c r="C2006" t="s">
        <v>4335</v>
      </c>
      <c r="D2006" t="s">
        <v>143</v>
      </c>
      <c r="F2006">
        <v>387067307</v>
      </c>
      <c r="G2006">
        <v>267712240</v>
      </c>
      <c r="P2006">
        <v>30</v>
      </c>
      <c r="Q2006" t="s">
        <v>4336</v>
      </c>
    </row>
    <row r="2007" spans="1:17" x14ac:dyDescent="0.3">
      <c r="A2007" t="s">
        <v>17</v>
      </c>
      <c r="B2007" t="str">
        <f>"688555"</f>
        <v>688555</v>
      </c>
      <c r="C2007" t="s">
        <v>4337</v>
      </c>
      <c r="D2007" t="s">
        <v>945</v>
      </c>
      <c r="F2007">
        <v>36219981</v>
      </c>
      <c r="G2007">
        <v>49076931</v>
      </c>
      <c r="H2007">
        <v>48767843</v>
      </c>
      <c r="P2007">
        <v>55</v>
      </c>
      <c r="Q2007" t="s">
        <v>4338</v>
      </c>
    </row>
    <row r="2008" spans="1:17" x14ac:dyDescent="0.3">
      <c r="A2008" t="s">
        <v>17</v>
      </c>
      <c r="B2008" t="str">
        <f>"688556"</f>
        <v>688556</v>
      </c>
      <c r="C2008" t="s">
        <v>4339</v>
      </c>
      <c r="D2008" t="s">
        <v>2654</v>
      </c>
      <c r="F2008">
        <v>111526543</v>
      </c>
      <c r="G2008">
        <v>41649612</v>
      </c>
      <c r="H2008">
        <v>-12597500</v>
      </c>
      <c r="P2008">
        <v>69</v>
      </c>
      <c r="Q2008" t="s">
        <v>4340</v>
      </c>
    </row>
    <row r="2009" spans="1:17" x14ac:dyDescent="0.3">
      <c r="A2009" t="s">
        <v>17</v>
      </c>
      <c r="B2009" t="str">
        <f>"688557"</f>
        <v>688557</v>
      </c>
      <c r="C2009" t="s">
        <v>4341</v>
      </c>
      <c r="D2009" t="s">
        <v>560</v>
      </c>
      <c r="F2009">
        <v>6050773</v>
      </c>
      <c r="G2009">
        <v>70901697</v>
      </c>
      <c r="H2009">
        <v>3015479</v>
      </c>
      <c r="P2009">
        <v>47</v>
      </c>
      <c r="Q2009" t="s">
        <v>4342</v>
      </c>
    </row>
    <row r="2010" spans="1:17" x14ac:dyDescent="0.3">
      <c r="A2010" t="s">
        <v>17</v>
      </c>
      <c r="B2010" t="str">
        <f>"688558"</f>
        <v>688558</v>
      </c>
      <c r="C2010" t="s">
        <v>4343</v>
      </c>
      <c r="D2010" t="s">
        <v>2312</v>
      </c>
      <c r="F2010">
        <v>152179551</v>
      </c>
      <c r="G2010">
        <v>81236808</v>
      </c>
      <c r="H2010">
        <v>60897289</v>
      </c>
      <c r="P2010">
        <v>95</v>
      </c>
      <c r="Q2010" t="s">
        <v>4344</v>
      </c>
    </row>
    <row r="2011" spans="1:17" x14ac:dyDescent="0.3">
      <c r="A2011" t="s">
        <v>17</v>
      </c>
      <c r="B2011" t="str">
        <f>"688559"</f>
        <v>688559</v>
      </c>
      <c r="C2011" t="s">
        <v>4345</v>
      </c>
      <c r="D2011" t="s">
        <v>3784</v>
      </c>
      <c r="F2011">
        <v>36285900</v>
      </c>
      <c r="G2011">
        <v>34682092</v>
      </c>
      <c r="H2011">
        <v>77255598</v>
      </c>
      <c r="P2011">
        <v>68</v>
      </c>
      <c r="Q2011" t="s">
        <v>4346</v>
      </c>
    </row>
    <row r="2012" spans="1:17" x14ac:dyDescent="0.3">
      <c r="A2012" t="s">
        <v>17</v>
      </c>
      <c r="B2012" t="str">
        <f>"688560"</f>
        <v>688560</v>
      </c>
      <c r="C2012" t="s">
        <v>4347</v>
      </c>
      <c r="D2012" t="s">
        <v>478</v>
      </c>
      <c r="F2012">
        <v>87506760</v>
      </c>
      <c r="G2012">
        <v>79317926</v>
      </c>
      <c r="H2012">
        <v>75093300</v>
      </c>
      <c r="P2012">
        <v>38</v>
      </c>
      <c r="Q2012" t="s">
        <v>4348</v>
      </c>
    </row>
    <row r="2013" spans="1:17" x14ac:dyDescent="0.3">
      <c r="A2013" t="s">
        <v>17</v>
      </c>
      <c r="B2013" t="str">
        <f>"688561"</f>
        <v>688561</v>
      </c>
      <c r="C2013" t="s">
        <v>4349</v>
      </c>
      <c r="D2013" t="s">
        <v>1189</v>
      </c>
      <c r="F2013">
        <v>-1156923189</v>
      </c>
      <c r="G2013">
        <v>-1007361944</v>
      </c>
      <c r="H2013">
        <v>-976222473</v>
      </c>
      <c r="P2013">
        <v>192</v>
      </c>
      <c r="Q2013" t="s">
        <v>4350</v>
      </c>
    </row>
    <row r="2014" spans="1:17" x14ac:dyDescent="0.3">
      <c r="A2014" t="s">
        <v>17</v>
      </c>
      <c r="B2014" t="str">
        <f>"688565"</f>
        <v>688565</v>
      </c>
      <c r="C2014" t="s">
        <v>4351</v>
      </c>
      <c r="D2014" t="s">
        <v>33</v>
      </c>
      <c r="F2014">
        <v>18849820</v>
      </c>
      <c r="G2014">
        <v>20679481</v>
      </c>
      <c r="P2014">
        <v>38</v>
      </c>
      <c r="Q2014" t="s">
        <v>4352</v>
      </c>
    </row>
    <row r="2015" spans="1:17" x14ac:dyDescent="0.3">
      <c r="A2015" t="s">
        <v>17</v>
      </c>
      <c r="B2015" t="str">
        <f>"688566"</f>
        <v>688566</v>
      </c>
      <c r="C2015" t="s">
        <v>4353</v>
      </c>
      <c r="D2015" t="s">
        <v>143</v>
      </c>
      <c r="F2015">
        <v>76248695</v>
      </c>
      <c r="G2015">
        <v>78821897</v>
      </c>
      <c r="H2015">
        <v>74126850</v>
      </c>
      <c r="P2015">
        <v>69</v>
      </c>
      <c r="Q2015" t="s">
        <v>4354</v>
      </c>
    </row>
    <row r="2016" spans="1:17" x14ac:dyDescent="0.3">
      <c r="A2016" t="s">
        <v>17</v>
      </c>
      <c r="B2016" t="str">
        <f>"688567"</f>
        <v>688567</v>
      </c>
      <c r="C2016" t="s">
        <v>4355</v>
      </c>
      <c r="D2016" t="s">
        <v>359</v>
      </c>
      <c r="F2016">
        <v>-420195296</v>
      </c>
      <c r="G2016">
        <v>-293079021</v>
      </c>
      <c r="H2016">
        <v>83379461</v>
      </c>
      <c r="P2016">
        <v>107</v>
      </c>
      <c r="Q2016" t="s">
        <v>4356</v>
      </c>
    </row>
    <row r="2017" spans="1:17" x14ac:dyDescent="0.3">
      <c r="A2017" t="s">
        <v>17</v>
      </c>
      <c r="B2017" t="str">
        <f>"688568"</f>
        <v>688568</v>
      </c>
      <c r="C2017" t="s">
        <v>4357</v>
      </c>
      <c r="D2017" t="s">
        <v>316</v>
      </c>
      <c r="F2017">
        <v>54656385</v>
      </c>
      <c r="G2017">
        <v>31978421</v>
      </c>
      <c r="H2017">
        <v>20086847</v>
      </c>
      <c r="P2017">
        <v>98</v>
      </c>
      <c r="Q2017" t="s">
        <v>4358</v>
      </c>
    </row>
    <row r="2018" spans="1:17" x14ac:dyDescent="0.3">
      <c r="A2018" t="s">
        <v>17</v>
      </c>
      <c r="B2018" t="str">
        <f>"688569"</f>
        <v>688569</v>
      </c>
      <c r="C2018" t="s">
        <v>4359</v>
      </c>
      <c r="D2018" t="s">
        <v>1012</v>
      </c>
      <c r="F2018">
        <v>104663040</v>
      </c>
      <c r="G2018">
        <v>99539716</v>
      </c>
      <c r="H2018">
        <v>112625254</v>
      </c>
      <c r="I2018">
        <v>55378200</v>
      </c>
      <c r="P2018">
        <v>31</v>
      </c>
      <c r="Q2018" t="s">
        <v>4360</v>
      </c>
    </row>
    <row r="2019" spans="1:17" x14ac:dyDescent="0.3">
      <c r="A2019" t="s">
        <v>17</v>
      </c>
      <c r="B2019" t="str">
        <f>"688571"</f>
        <v>688571</v>
      </c>
      <c r="C2019" t="s">
        <v>4361</v>
      </c>
      <c r="D2019" t="s">
        <v>2570</v>
      </c>
      <c r="F2019">
        <v>82137881</v>
      </c>
      <c r="G2019">
        <v>69661800</v>
      </c>
      <c r="H2019">
        <v>66382200</v>
      </c>
      <c r="P2019">
        <v>29</v>
      </c>
      <c r="Q2019" t="s">
        <v>4362</v>
      </c>
    </row>
    <row r="2020" spans="1:17" x14ac:dyDescent="0.3">
      <c r="A2020" t="s">
        <v>17</v>
      </c>
      <c r="B2020" t="str">
        <f>"688575"</f>
        <v>688575</v>
      </c>
      <c r="C2020" t="s">
        <v>4363</v>
      </c>
      <c r="D2020" t="s">
        <v>1305</v>
      </c>
      <c r="F2020">
        <v>154949087</v>
      </c>
      <c r="G2020">
        <v>149097226</v>
      </c>
      <c r="P2020">
        <v>46</v>
      </c>
      <c r="Q2020" t="s">
        <v>4364</v>
      </c>
    </row>
    <row r="2021" spans="1:17" x14ac:dyDescent="0.3">
      <c r="A2021" t="s">
        <v>17</v>
      </c>
      <c r="B2021" t="str">
        <f>"688577"</f>
        <v>688577</v>
      </c>
      <c r="C2021" t="s">
        <v>4365</v>
      </c>
      <c r="D2021" t="s">
        <v>2312</v>
      </c>
      <c r="F2021">
        <v>57217928</v>
      </c>
      <c r="G2021">
        <v>36074648</v>
      </c>
      <c r="H2021">
        <v>24763774</v>
      </c>
      <c r="P2021">
        <v>56</v>
      </c>
      <c r="Q2021" t="s">
        <v>4366</v>
      </c>
    </row>
    <row r="2022" spans="1:17" x14ac:dyDescent="0.3">
      <c r="A2022" t="s">
        <v>17</v>
      </c>
      <c r="B2022" t="str">
        <f>"688578"</f>
        <v>688578</v>
      </c>
      <c r="C2022" t="s">
        <v>4367</v>
      </c>
      <c r="D2022" t="s">
        <v>143</v>
      </c>
      <c r="F2022">
        <v>134907630</v>
      </c>
      <c r="G2022">
        <v>-204843004</v>
      </c>
      <c r="H2022">
        <v>-248307022</v>
      </c>
      <c r="P2022">
        <v>47</v>
      </c>
      <c r="Q2022" t="s">
        <v>4368</v>
      </c>
    </row>
    <row r="2023" spans="1:17" x14ac:dyDescent="0.3">
      <c r="A2023" t="s">
        <v>17</v>
      </c>
      <c r="B2023" t="str">
        <f>"688579"</f>
        <v>688579</v>
      </c>
      <c r="C2023" t="s">
        <v>4369</v>
      </c>
      <c r="D2023" t="s">
        <v>945</v>
      </c>
      <c r="F2023">
        <v>23388392</v>
      </c>
      <c r="G2023">
        <v>1922364</v>
      </c>
      <c r="H2023">
        <v>659609</v>
      </c>
      <c r="P2023">
        <v>34</v>
      </c>
      <c r="Q2023" t="s">
        <v>4370</v>
      </c>
    </row>
    <row r="2024" spans="1:17" x14ac:dyDescent="0.3">
      <c r="A2024" t="s">
        <v>17</v>
      </c>
      <c r="B2024" t="str">
        <f>"688580"</f>
        <v>688580</v>
      </c>
      <c r="C2024" t="s">
        <v>4371</v>
      </c>
      <c r="D2024" t="s">
        <v>122</v>
      </c>
      <c r="F2024">
        <v>107573510</v>
      </c>
      <c r="G2024">
        <v>85609918</v>
      </c>
      <c r="H2024">
        <v>69898798</v>
      </c>
      <c r="P2024">
        <v>246</v>
      </c>
      <c r="Q2024" t="s">
        <v>4372</v>
      </c>
    </row>
    <row r="2025" spans="1:17" x14ac:dyDescent="0.3">
      <c r="A2025" t="s">
        <v>17</v>
      </c>
      <c r="B2025" t="str">
        <f>"688585"</f>
        <v>688585</v>
      </c>
      <c r="C2025" t="s">
        <v>4373</v>
      </c>
      <c r="D2025" t="s">
        <v>3350</v>
      </c>
      <c r="F2025">
        <v>-6159434</v>
      </c>
      <c r="G2025">
        <v>99862579</v>
      </c>
      <c r="H2025">
        <v>63199962</v>
      </c>
      <c r="I2025">
        <v>21112400</v>
      </c>
      <c r="P2025">
        <v>26</v>
      </c>
      <c r="Q2025" t="s">
        <v>4374</v>
      </c>
    </row>
    <row r="2026" spans="1:17" x14ac:dyDescent="0.3">
      <c r="A2026" t="s">
        <v>17</v>
      </c>
      <c r="B2026" t="str">
        <f>"688586"</f>
        <v>688586</v>
      </c>
      <c r="C2026" t="s">
        <v>4375</v>
      </c>
      <c r="D2026" t="s">
        <v>98</v>
      </c>
      <c r="F2026">
        <v>198116742</v>
      </c>
      <c r="G2026">
        <v>158156924</v>
      </c>
      <c r="H2026">
        <v>92951159</v>
      </c>
      <c r="P2026">
        <v>70</v>
      </c>
      <c r="Q2026" t="s">
        <v>4376</v>
      </c>
    </row>
    <row r="2027" spans="1:17" x14ac:dyDescent="0.3">
      <c r="A2027" t="s">
        <v>17</v>
      </c>
      <c r="B2027" t="str">
        <f>"688588"</f>
        <v>688588</v>
      </c>
      <c r="C2027" t="s">
        <v>4377</v>
      </c>
      <c r="D2027" t="s">
        <v>945</v>
      </c>
      <c r="F2027">
        <v>102154127</v>
      </c>
      <c r="G2027">
        <v>137745392</v>
      </c>
      <c r="H2027">
        <v>127370127</v>
      </c>
      <c r="I2027">
        <v>66862600</v>
      </c>
      <c r="P2027">
        <v>79</v>
      </c>
      <c r="Q2027" t="s">
        <v>4378</v>
      </c>
    </row>
    <row r="2028" spans="1:17" x14ac:dyDescent="0.3">
      <c r="A2028" t="s">
        <v>17</v>
      </c>
      <c r="B2028" t="str">
        <f>"688589"</f>
        <v>688589</v>
      </c>
      <c r="C2028" t="s">
        <v>4379</v>
      </c>
      <c r="D2028" t="s">
        <v>461</v>
      </c>
      <c r="F2028">
        <v>17351685</v>
      </c>
      <c r="G2028">
        <v>8692789</v>
      </c>
      <c r="H2028">
        <v>13415747</v>
      </c>
      <c r="P2028">
        <v>73</v>
      </c>
      <c r="Q2028" t="s">
        <v>4380</v>
      </c>
    </row>
    <row r="2029" spans="1:17" x14ac:dyDescent="0.3">
      <c r="A2029" t="s">
        <v>17</v>
      </c>
      <c r="B2029" t="str">
        <f>"688590"</f>
        <v>688590</v>
      </c>
      <c r="C2029" t="s">
        <v>4381</v>
      </c>
      <c r="D2029" t="s">
        <v>945</v>
      </c>
      <c r="F2029">
        <v>47337962</v>
      </c>
      <c r="G2029">
        <v>33829892</v>
      </c>
      <c r="H2029">
        <v>34879901</v>
      </c>
      <c r="P2029">
        <v>29</v>
      </c>
      <c r="Q2029" t="s">
        <v>4382</v>
      </c>
    </row>
    <row r="2030" spans="1:17" x14ac:dyDescent="0.3">
      <c r="A2030" t="s">
        <v>17</v>
      </c>
      <c r="B2030" t="str">
        <f>"688595"</f>
        <v>688595</v>
      </c>
      <c r="C2030" t="s">
        <v>4383</v>
      </c>
      <c r="D2030" t="s">
        <v>401</v>
      </c>
      <c r="F2030">
        <v>82924299</v>
      </c>
      <c r="G2030">
        <v>60692037</v>
      </c>
      <c r="H2030">
        <v>19168969</v>
      </c>
      <c r="P2030">
        <v>128</v>
      </c>
      <c r="Q2030" t="s">
        <v>4384</v>
      </c>
    </row>
    <row r="2031" spans="1:17" x14ac:dyDescent="0.3">
      <c r="A2031" t="s">
        <v>17</v>
      </c>
      <c r="B2031" t="str">
        <f>"688596"</f>
        <v>688596</v>
      </c>
      <c r="C2031" t="s">
        <v>4385</v>
      </c>
      <c r="D2031" t="s">
        <v>741</v>
      </c>
      <c r="F2031">
        <v>107456061</v>
      </c>
      <c r="G2031">
        <v>46184632</v>
      </c>
      <c r="H2031">
        <v>12826634</v>
      </c>
      <c r="P2031">
        <v>61</v>
      </c>
      <c r="Q2031" t="s">
        <v>4386</v>
      </c>
    </row>
    <row r="2032" spans="1:17" x14ac:dyDescent="0.3">
      <c r="A2032" t="s">
        <v>17</v>
      </c>
      <c r="B2032" t="str">
        <f>"688597"</f>
        <v>688597</v>
      </c>
      <c r="C2032" t="s">
        <v>4387</v>
      </c>
      <c r="D2032" t="s">
        <v>2171</v>
      </c>
      <c r="F2032">
        <v>-4089501</v>
      </c>
      <c r="G2032">
        <v>32819178</v>
      </c>
      <c r="P2032">
        <v>17</v>
      </c>
      <c r="Q2032" t="s">
        <v>4388</v>
      </c>
    </row>
    <row r="2033" spans="1:17" x14ac:dyDescent="0.3">
      <c r="A2033" t="s">
        <v>17</v>
      </c>
      <c r="B2033" t="str">
        <f>"688598"</f>
        <v>688598</v>
      </c>
      <c r="C2033" t="s">
        <v>4389</v>
      </c>
      <c r="D2033" t="s">
        <v>478</v>
      </c>
      <c r="F2033">
        <v>334422872</v>
      </c>
      <c r="G2033">
        <v>114273999</v>
      </c>
      <c r="H2033">
        <v>70632634</v>
      </c>
      <c r="P2033">
        <v>262</v>
      </c>
      <c r="Q2033" t="s">
        <v>4390</v>
      </c>
    </row>
    <row r="2034" spans="1:17" x14ac:dyDescent="0.3">
      <c r="A2034" t="s">
        <v>17</v>
      </c>
      <c r="B2034" t="str">
        <f>"688599"</f>
        <v>688599</v>
      </c>
      <c r="C2034" t="s">
        <v>4391</v>
      </c>
      <c r="D2034" t="s">
        <v>356</v>
      </c>
      <c r="F2034">
        <v>1156385124</v>
      </c>
      <c r="G2034">
        <v>831609822</v>
      </c>
      <c r="H2034">
        <v>379828513</v>
      </c>
      <c r="P2034">
        <v>371</v>
      </c>
      <c r="Q2034" t="s">
        <v>4392</v>
      </c>
    </row>
    <row r="2035" spans="1:17" x14ac:dyDescent="0.3">
      <c r="A2035" t="s">
        <v>17</v>
      </c>
      <c r="B2035" t="str">
        <f>"688600"</f>
        <v>688600</v>
      </c>
      <c r="C2035" t="s">
        <v>4393</v>
      </c>
      <c r="D2035" t="s">
        <v>1070</v>
      </c>
      <c r="F2035">
        <v>5245363</v>
      </c>
      <c r="G2035">
        <v>1358760</v>
      </c>
      <c r="H2035">
        <v>23848455</v>
      </c>
      <c r="P2035">
        <v>62</v>
      </c>
      <c r="Q2035" t="s">
        <v>4394</v>
      </c>
    </row>
    <row r="2036" spans="1:17" x14ac:dyDescent="0.3">
      <c r="A2036" t="s">
        <v>17</v>
      </c>
      <c r="B2036" t="str">
        <f>"688601"</f>
        <v>688601</v>
      </c>
      <c r="C2036" t="s">
        <v>4395</v>
      </c>
      <c r="D2036" t="s">
        <v>401</v>
      </c>
      <c r="F2036">
        <v>115212113</v>
      </c>
      <c r="G2036">
        <v>55095623</v>
      </c>
      <c r="P2036">
        <v>57</v>
      </c>
      <c r="Q2036" t="s">
        <v>4396</v>
      </c>
    </row>
    <row r="2037" spans="1:17" x14ac:dyDescent="0.3">
      <c r="A2037" t="s">
        <v>17</v>
      </c>
      <c r="B2037" t="str">
        <f>"688606"</f>
        <v>688606</v>
      </c>
      <c r="C2037" t="s">
        <v>4397</v>
      </c>
      <c r="D2037" t="s">
        <v>1305</v>
      </c>
      <c r="F2037">
        <v>482315234</v>
      </c>
      <c r="G2037">
        <v>377650687</v>
      </c>
      <c r="H2037">
        <v>62564381</v>
      </c>
      <c r="P2037">
        <v>104</v>
      </c>
      <c r="Q2037" t="s">
        <v>4398</v>
      </c>
    </row>
    <row r="2038" spans="1:17" x14ac:dyDescent="0.3">
      <c r="A2038" t="s">
        <v>17</v>
      </c>
      <c r="B2038" t="str">
        <f>"688607"</f>
        <v>688607</v>
      </c>
      <c r="C2038" t="s">
        <v>4399</v>
      </c>
      <c r="D2038" t="s">
        <v>122</v>
      </c>
      <c r="F2038">
        <v>63637166</v>
      </c>
      <c r="G2038">
        <v>45946796</v>
      </c>
      <c r="H2038">
        <v>29924100</v>
      </c>
      <c r="P2038">
        <v>55</v>
      </c>
      <c r="Q2038" t="s">
        <v>4400</v>
      </c>
    </row>
    <row r="2039" spans="1:17" x14ac:dyDescent="0.3">
      <c r="A2039" t="s">
        <v>17</v>
      </c>
      <c r="B2039" t="str">
        <f>"688608"</f>
        <v>688608</v>
      </c>
      <c r="C2039" t="s">
        <v>4401</v>
      </c>
      <c r="D2039" t="s">
        <v>461</v>
      </c>
      <c r="F2039">
        <v>294033709</v>
      </c>
      <c r="G2039">
        <v>117001334</v>
      </c>
      <c r="H2039">
        <v>44086562</v>
      </c>
      <c r="P2039">
        <v>123</v>
      </c>
      <c r="Q2039" t="s">
        <v>4402</v>
      </c>
    </row>
    <row r="2040" spans="1:17" x14ac:dyDescent="0.3">
      <c r="A2040" t="s">
        <v>17</v>
      </c>
      <c r="B2040" t="str">
        <f>"688609"</f>
        <v>688609</v>
      </c>
      <c r="C2040" t="s">
        <v>4403</v>
      </c>
      <c r="D2040" t="s">
        <v>4404</v>
      </c>
      <c r="F2040">
        <v>31597059</v>
      </c>
      <c r="G2040">
        <v>45133919</v>
      </c>
      <c r="P2040">
        <v>31</v>
      </c>
      <c r="Q2040" t="s">
        <v>4405</v>
      </c>
    </row>
    <row r="2041" spans="1:17" x14ac:dyDescent="0.3">
      <c r="A2041" t="s">
        <v>17</v>
      </c>
      <c r="B2041" t="str">
        <f>"688611"</f>
        <v>688611</v>
      </c>
      <c r="C2041" t="s">
        <v>4406</v>
      </c>
      <c r="D2041" t="s">
        <v>610</v>
      </c>
      <c r="F2041">
        <v>33001368</v>
      </c>
      <c r="G2041">
        <v>27761563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"688613"</f>
        <v>688613</v>
      </c>
      <c r="C2042" t="s">
        <v>4408</v>
      </c>
      <c r="D2042" t="s">
        <v>1077</v>
      </c>
      <c r="F2042">
        <v>85011952</v>
      </c>
      <c r="G2042">
        <v>46208097</v>
      </c>
      <c r="P2042">
        <v>51</v>
      </c>
      <c r="Q2042" t="s">
        <v>4409</v>
      </c>
    </row>
    <row r="2043" spans="1:17" x14ac:dyDescent="0.3">
      <c r="A2043" t="s">
        <v>17</v>
      </c>
      <c r="B2043" t="str">
        <f>"688616"</f>
        <v>688616</v>
      </c>
      <c r="C2043" t="s">
        <v>4410</v>
      </c>
      <c r="D2043" t="s">
        <v>2171</v>
      </c>
      <c r="F2043">
        <v>44439958</v>
      </c>
      <c r="G2043">
        <v>54549869</v>
      </c>
      <c r="P2043">
        <v>23</v>
      </c>
      <c r="Q2043" t="s">
        <v>4411</v>
      </c>
    </row>
    <row r="2044" spans="1:17" x14ac:dyDescent="0.3">
      <c r="A2044" t="s">
        <v>17</v>
      </c>
      <c r="B2044" t="str">
        <f>"688617"</f>
        <v>688617</v>
      </c>
      <c r="C2044" t="s">
        <v>4412</v>
      </c>
      <c r="D2044" t="s">
        <v>1077</v>
      </c>
      <c r="F2044">
        <v>162028222</v>
      </c>
      <c r="G2044">
        <v>71574440</v>
      </c>
      <c r="H2044">
        <v>56162700</v>
      </c>
      <c r="P2044">
        <v>137</v>
      </c>
      <c r="Q2044" t="s">
        <v>4413</v>
      </c>
    </row>
    <row r="2045" spans="1:17" x14ac:dyDescent="0.3">
      <c r="A2045" t="s">
        <v>17</v>
      </c>
      <c r="B2045" t="str">
        <f>"688618"</f>
        <v>688618</v>
      </c>
      <c r="C2045" t="s">
        <v>4414</v>
      </c>
      <c r="D2045" t="s">
        <v>1019</v>
      </c>
      <c r="F2045">
        <v>42020837</v>
      </c>
      <c r="G2045">
        <v>48327157</v>
      </c>
      <c r="H2045">
        <v>39125971</v>
      </c>
      <c r="P2045">
        <v>41</v>
      </c>
      <c r="Q2045" t="s">
        <v>4415</v>
      </c>
    </row>
    <row r="2046" spans="1:17" x14ac:dyDescent="0.3">
      <c r="A2046" t="s">
        <v>17</v>
      </c>
      <c r="B2046" t="str">
        <f>"688619"</f>
        <v>688619</v>
      </c>
      <c r="C2046" t="s">
        <v>4416</v>
      </c>
      <c r="D2046" t="s">
        <v>2953</v>
      </c>
      <c r="F2046">
        <v>39604091</v>
      </c>
      <c r="G2046">
        <v>42162576</v>
      </c>
      <c r="H2046">
        <v>-25870034</v>
      </c>
      <c r="P2046">
        <v>31</v>
      </c>
      <c r="Q2046" t="s">
        <v>4417</v>
      </c>
    </row>
    <row r="2047" spans="1:17" x14ac:dyDescent="0.3">
      <c r="A2047" t="s">
        <v>17</v>
      </c>
      <c r="B2047" t="str">
        <f>"688621"</f>
        <v>688621</v>
      </c>
      <c r="C2047" t="s">
        <v>4418</v>
      </c>
      <c r="D2047" t="s">
        <v>1461</v>
      </c>
      <c r="F2047">
        <v>85132224</v>
      </c>
      <c r="G2047">
        <v>50975084</v>
      </c>
      <c r="P2047">
        <v>63</v>
      </c>
      <c r="Q2047" t="s">
        <v>4419</v>
      </c>
    </row>
    <row r="2048" spans="1:17" x14ac:dyDescent="0.3">
      <c r="A2048" t="s">
        <v>17</v>
      </c>
      <c r="B2048" t="str">
        <f>"688622"</f>
        <v>688622</v>
      </c>
      <c r="C2048" t="s">
        <v>4420</v>
      </c>
      <c r="D2048" t="s">
        <v>2551</v>
      </c>
      <c r="F2048">
        <v>39288298</v>
      </c>
      <c r="G2048">
        <v>30087157</v>
      </c>
      <c r="P2048">
        <v>29</v>
      </c>
      <c r="Q2048" t="s">
        <v>4421</v>
      </c>
    </row>
    <row r="2049" spans="1:17" x14ac:dyDescent="0.3">
      <c r="A2049" t="s">
        <v>17</v>
      </c>
      <c r="B2049" t="str">
        <f>"688625"</f>
        <v>688625</v>
      </c>
      <c r="C2049" t="s">
        <v>4422</v>
      </c>
      <c r="D2049" t="s">
        <v>386</v>
      </c>
      <c r="F2049">
        <v>115927247</v>
      </c>
      <c r="G2049">
        <v>85792708</v>
      </c>
      <c r="P2049">
        <v>63</v>
      </c>
      <c r="Q2049" t="s">
        <v>4423</v>
      </c>
    </row>
    <row r="2050" spans="1:17" x14ac:dyDescent="0.3">
      <c r="A2050" t="s">
        <v>17</v>
      </c>
      <c r="B2050" t="str">
        <f>"688626"</f>
        <v>688626</v>
      </c>
      <c r="C2050" t="s">
        <v>4424</v>
      </c>
      <c r="D2050" t="s">
        <v>122</v>
      </c>
      <c r="F2050">
        <v>131434440</v>
      </c>
      <c r="G2050">
        <v>115975463</v>
      </c>
      <c r="P2050">
        <v>82</v>
      </c>
      <c r="Q2050" t="s">
        <v>4425</v>
      </c>
    </row>
    <row r="2051" spans="1:17" x14ac:dyDescent="0.3">
      <c r="A2051" t="s">
        <v>17</v>
      </c>
      <c r="B2051" t="str">
        <f>"688628"</f>
        <v>688628</v>
      </c>
      <c r="C2051" t="s">
        <v>4426</v>
      </c>
      <c r="D2051" t="s">
        <v>2551</v>
      </c>
      <c r="F2051">
        <v>100159299</v>
      </c>
      <c r="G2051">
        <v>140318310</v>
      </c>
      <c r="H2051">
        <v>41708246</v>
      </c>
      <c r="P2051">
        <v>35</v>
      </c>
      <c r="Q2051" t="s">
        <v>4427</v>
      </c>
    </row>
    <row r="2052" spans="1:17" x14ac:dyDescent="0.3">
      <c r="A2052" t="s">
        <v>17</v>
      </c>
      <c r="B2052" t="str">
        <f>"688630"</f>
        <v>688630</v>
      </c>
      <c r="C2052" t="s">
        <v>4428</v>
      </c>
      <c r="D2052" t="s">
        <v>741</v>
      </c>
      <c r="F2052">
        <v>63208957</v>
      </c>
      <c r="G2052">
        <v>24000886</v>
      </c>
      <c r="P2052">
        <v>63</v>
      </c>
      <c r="Q2052" t="s">
        <v>4429</v>
      </c>
    </row>
    <row r="2053" spans="1:17" x14ac:dyDescent="0.3">
      <c r="A2053" t="s">
        <v>17</v>
      </c>
      <c r="B2053" t="str">
        <f>"688633"</f>
        <v>688633</v>
      </c>
      <c r="C2053" t="s">
        <v>4430</v>
      </c>
      <c r="D2053" t="s">
        <v>395</v>
      </c>
      <c r="F2053">
        <v>86473144</v>
      </c>
      <c r="G2053">
        <v>71349671</v>
      </c>
      <c r="P2053">
        <v>38</v>
      </c>
      <c r="Q2053" t="s">
        <v>4431</v>
      </c>
    </row>
    <row r="2054" spans="1:17" x14ac:dyDescent="0.3">
      <c r="A2054" t="s">
        <v>17</v>
      </c>
      <c r="B2054" t="str">
        <f>"688636"</f>
        <v>688636</v>
      </c>
      <c r="C2054" t="s">
        <v>4432</v>
      </c>
      <c r="D2054" t="s">
        <v>1136</v>
      </c>
      <c r="F2054">
        <v>68288856</v>
      </c>
      <c r="G2054">
        <v>45337068</v>
      </c>
      <c r="H2054">
        <v>24679097</v>
      </c>
      <c r="P2054">
        <v>32</v>
      </c>
      <c r="Q2054" t="s">
        <v>4433</v>
      </c>
    </row>
    <row r="2055" spans="1:17" x14ac:dyDescent="0.3">
      <c r="A2055" t="s">
        <v>17</v>
      </c>
      <c r="B2055" t="str">
        <f>"688639"</f>
        <v>688639</v>
      </c>
      <c r="C2055" t="s">
        <v>4434</v>
      </c>
      <c r="D2055" t="s">
        <v>677</v>
      </c>
      <c r="F2055">
        <v>102080753</v>
      </c>
      <c r="G2055">
        <v>85170267</v>
      </c>
      <c r="H2055">
        <v>97660783</v>
      </c>
      <c r="P2055">
        <v>58</v>
      </c>
      <c r="Q2055" t="s">
        <v>4435</v>
      </c>
    </row>
    <row r="2056" spans="1:17" x14ac:dyDescent="0.3">
      <c r="A2056" t="s">
        <v>17</v>
      </c>
      <c r="B2056" t="str">
        <f>"688655"</f>
        <v>688655</v>
      </c>
      <c r="C2056" t="s">
        <v>4436</v>
      </c>
      <c r="D2056" t="s">
        <v>425</v>
      </c>
      <c r="F2056">
        <v>57082275</v>
      </c>
      <c r="G2056">
        <v>36720013</v>
      </c>
      <c r="P2056">
        <v>21</v>
      </c>
      <c r="Q2056" t="s">
        <v>4437</v>
      </c>
    </row>
    <row r="2057" spans="1:17" x14ac:dyDescent="0.3">
      <c r="A2057" t="s">
        <v>17</v>
      </c>
      <c r="B2057" t="str">
        <f>"688656"</f>
        <v>688656</v>
      </c>
      <c r="C2057" t="s">
        <v>4438</v>
      </c>
      <c r="D2057" t="s">
        <v>1305</v>
      </c>
      <c r="F2057">
        <v>74756575</v>
      </c>
      <c r="G2057">
        <v>38691674</v>
      </c>
      <c r="H2057">
        <v>54901213</v>
      </c>
      <c r="P2057">
        <v>59</v>
      </c>
      <c r="Q2057" t="s">
        <v>4439</v>
      </c>
    </row>
    <row r="2058" spans="1:17" x14ac:dyDescent="0.3">
      <c r="A2058" t="s">
        <v>17</v>
      </c>
      <c r="B2058" t="str">
        <f>"688658"</f>
        <v>688658</v>
      </c>
      <c r="C2058" t="s">
        <v>4440</v>
      </c>
      <c r="D2058" t="s">
        <v>143</v>
      </c>
      <c r="F2058">
        <v>373543535</v>
      </c>
      <c r="G2058">
        <v>253998838</v>
      </c>
      <c r="H2058">
        <v>181463754</v>
      </c>
      <c r="P2058">
        <v>75</v>
      </c>
      <c r="Q2058" t="s">
        <v>4441</v>
      </c>
    </row>
    <row r="2059" spans="1:17" x14ac:dyDescent="0.3">
      <c r="A2059" t="s">
        <v>17</v>
      </c>
      <c r="B2059" t="str">
        <f>"688659"</f>
        <v>688659</v>
      </c>
      <c r="C2059" t="s">
        <v>4442</v>
      </c>
      <c r="D2059" t="s">
        <v>386</v>
      </c>
      <c r="F2059">
        <v>42003659</v>
      </c>
      <c r="G2059">
        <v>22246598</v>
      </c>
      <c r="H2059">
        <v>37288430</v>
      </c>
      <c r="P2059">
        <v>40</v>
      </c>
      <c r="Q2059" t="s">
        <v>4443</v>
      </c>
    </row>
    <row r="2060" spans="1:17" x14ac:dyDescent="0.3">
      <c r="A2060" t="s">
        <v>17</v>
      </c>
      <c r="B2060" t="str">
        <f>"688660"</f>
        <v>688660</v>
      </c>
      <c r="C2060" t="s">
        <v>4444</v>
      </c>
      <c r="D2060" t="s">
        <v>895</v>
      </c>
      <c r="F2060">
        <v>483390514</v>
      </c>
      <c r="G2060">
        <v>137247307</v>
      </c>
      <c r="P2060">
        <v>54</v>
      </c>
      <c r="Q2060" t="s">
        <v>4445</v>
      </c>
    </row>
    <row r="2061" spans="1:17" x14ac:dyDescent="0.3">
      <c r="A2061" t="s">
        <v>17</v>
      </c>
      <c r="B2061" t="str">
        <f>"688661"</f>
        <v>688661</v>
      </c>
      <c r="C2061" t="s">
        <v>4446</v>
      </c>
      <c r="D2061" t="s">
        <v>313</v>
      </c>
      <c r="F2061">
        <v>83355564</v>
      </c>
      <c r="G2061">
        <v>38737124</v>
      </c>
      <c r="P2061">
        <v>64</v>
      </c>
      <c r="Q2061" t="s">
        <v>4447</v>
      </c>
    </row>
    <row r="2062" spans="1:17" x14ac:dyDescent="0.3">
      <c r="A2062" t="s">
        <v>17</v>
      </c>
      <c r="B2062" t="str">
        <f>"688662"</f>
        <v>688662</v>
      </c>
      <c r="C2062" t="s">
        <v>4448</v>
      </c>
      <c r="D2062" t="s">
        <v>651</v>
      </c>
      <c r="F2062">
        <v>66650058</v>
      </c>
      <c r="G2062">
        <v>54582823</v>
      </c>
      <c r="P2062">
        <v>23</v>
      </c>
      <c r="Q2062" t="s">
        <v>4449</v>
      </c>
    </row>
    <row r="2063" spans="1:17" x14ac:dyDescent="0.3">
      <c r="A2063" t="s">
        <v>17</v>
      </c>
      <c r="B2063" t="str">
        <f>"688663"</f>
        <v>688663</v>
      </c>
      <c r="C2063" t="s">
        <v>4450</v>
      </c>
      <c r="D2063" t="s">
        <v>657</v>
      </c>
      <c r="F2063">
        <v>77992011</v>
      </c>
      <c r="G2063">
        <v>69231422</v>
      </c>
      <c r="P2063">
        <v>32</v>
      </c>
      <c r="Q2063" t="s">
        <v>4451</v>
      </c>
    </row>
    <row r="2064" spans="1:17" x14ac:dyDescent="0.3">
      <c r="A2064" t="s">
        <v>17</v>
      </c>
      <c r="B2064" t="str">
        <f>"688665"</f>
        <v>688665</v>
      </c>
      <c r="C2064" t="s">
        <v>4452</v>
      </c>
      <c r="D2064" t="s">
        <v>2551</v>
      </c>
      <c r="F2064">
        <v>122846727</v>
      </c>
      <c r="G2064">
        <v>46604226</v>
      </c>
      <c r="H2064">
        <v>35558781</v>
      </c>
      <c r="P2064">
        <v>63</v>
      </c>
      <c r="Q2064" t="s">
        <v>4453</v>
      </c>
    </row>
    <row r="2065" spans="1:17" x14ac:dyDescent="0.3">
      <c r="A2065" t="s">
        <v>17</v>
      </c>
      <c r="B2065" t="str">
        <f>"688667"</f>
        <v>688667</v>
      </c>
      <c r="C2065" t="s">
        <v>4454</v>
      </c>
      <c r="D2065" t="s">
        <v>1415</v>
      </c>
      <c r="F2065">
        <v>120993200</v>
      </c>
      <c r="G2065">
        <v>103309175</v>
      </c>
      <c r="P2065">
        <v>66</v>
      </c>
      <c r="Q2065" t="s">
        <v>4455</v>
      </c>
    </row>
    <row r="2066" spans="1:17" x14ac:dyDescent="0.3">
      <c r="A2066" t="s">
        <v>17</v>
      </c>
      <c r="B2066" t="str">
        <f>"688668"</f>
        <v>688668</v>
      </c>
      <c r="C2066" t="s">
        <v>4456</v>
      </c>
      <c r="D2066" t="s">
        <v>1019</v>
      </c>
      <c r="F2066">
        <v>86181089</v>
      </c>
      <c r="G2066">
        <v>54081244</v>
      </c>
      <c r="H2066">
        <v>38541700</v>
      </c>
      <c r="P2066">
        <v>44</v>
      </c>
      <c r="Q2066" t="s">
        <v>4457</v>
      </c>
    </row>
    <row r="2067" spans="1:17" x14ac:dyDescent="0.3">
      <c r="A2067" t="s">
        <v>17</v>
      </c>
      <c r="B2067" t="str">
        <f>"688669"</f>
        <v>688669</v>
      </c>
      <c r="C2067" t="s">
        <v>4458</v>
      </c>
      <c r="D2067" t="s">
        <v>341</v>
      </c>
      <c r="F2067">
        <v>67747931</v>
      </c>
      <c r="G2067">
        <v>135137464</v>
      </c>
      <c r="H2067">
        <v>71737600</v>
      </c>
      <c r="P2067">
        <v>36</v>
      </c>
      <c r="Q2067" t="s">
        <v>4459</v>
      </c>
    </row>
    <row r="2068" spans="1:17" x14ac:dyDescent="0.3">
      <c r="A2068" t="s">
        <v>17</v>
      </c>
      <c r="B2068" t="str">
        <f>"688670"</f>
        <v>688670</v>
      </c>
      <c r="C2068" t="s">
        <v>4460</v>
      </c>
      <c r="D2068" t="s">
        <v>1499</v>
      </c>
      <c r="F2068">
        <v>100075143</v>
      </c>
      <c r="P2068">
        <v>19</v>
      </c>
      <c r="Q2068" t="s">
        <v>4461</v>
      </c>
    </row>
    <row r="2069" spans="1:17" x14ac:dyDescent="0.3">
      <c r="A2069" t="s">
        <v>17</v>
      </c>
      <c r="B2069" t="str">
        <f>"688676"</f>
        <v>688676</v>
      </c>
      <c r="C2069" t="s">
        <v>4462</v>
      </c>
      <c r="D2069" t="s">
        <v>210</v>
      </c>
      <c r="F2069">
        <v>167477441</v>
      </c>
      <c r="G2069">
        <v>165616090</v>
      </c>
      <c r="P2069">
        <v>42</v>
      </c>
      <c r="Q2069" t="s">
        <v>4463</v>
      </c>
    </row>
    <row r="2070" spans="1:17" x14ac:dyDescent="0.3">
      <c r="A2070" t="s">
        <v>17</v>
      </c>
      <c r="B2070" t="str">
        <f>"688677"</f>
        <v>688677</v>
      </c>
      <c r="C2070" t="s">
        <v>4464</v>
      </c>
      <c r="D2070" t="s">
        <v>122</v>
      </c>
      <c r="F2070">
        <v>91717969</v>
      </c>
      <c r="G2070">
        <v>75413884</v>
      </c>
      <c r="H2070">
        <v>58264100</v>
      </c>
      <c r="P2070">
        <v>94</v>
      </c>
      <c r="Q2070" t="s">
        <v>4465</v>
      </c>
    </row>
    <row r="2071" spans="1:17" x14ac:dyDescent="0.3">
      <c r="A2071" t="s">
        <v>17</v>
      </c>
      <c r="B2071" t="str">
        <f>"688678"</f>
        <v>688678</v>
      </c>
      <c r="C2071" t="s">
        <v>4466</v>
      </c>
      <c r="D2071" t="s">
        <v>313</v>
      </c>
      <c r="F2071">
        <v>92577594</v>
      </c>
      <c r="G2071">
        <v>71382567</v>
      </c>
      <c r="H2071">
        <v>57808703</v>
      </c>
      <c r="P2071">
        <v>29</v>
      </c>
      <c r="Q2071" t="s">
        <v>4467</v>
      </c>
    </row>
    <row r="2072" spans="1:17" x14ac:dyDescent="0.3">
      <c r="A2072" t="s">
        <v>17</v>
      </c>
      <c r="B2072" t="str">
        <f>"688679"</f>
        <v>688679</v>
      </c>
      <c r="C2072" t="s">
        <v>4468</v>
      </c>
      <c r="D2072" t="s">
        <v>499</v>
      </c>
      <c r="F2072">
        <v>29596590</v>
      </c>
      <c r="G2072">
        <v>54513719</v>
      </c>
      <c r="H2072">
        <v>52993300</v>
      </c>
      <c r="P2072">
        <v>31</v>
      </c>
      <c r="Q2072" t="s">
        <v>4469</v>
      </c>
    </row>
    <row r="2073" spans="1:17" x14ac:dyDescent="0.3">
      <c r="A2073" t="s">
        <v>17</v>
      </c>
      <c r="B2073" t="str">
        <f>"688680"</f>
        <v>688680</v>
      </c>
      <c r="C2073" t="s">
        <v>4470</v>
      </c>
      <c r="D2073" t="s">
        <v>478</v>
      </c>
      <c r="F2073">
        <v>120450357</v>
      </c>
      <c r="G2073">
        <v>116131270</v>
      </c>
      <c r="H2073">
        <v>42586000</v>
      </c>
      <c r="I2073">
        <v>23531097</v>
      </c>
      <c r="P2073">
        <v>79</v>
      </c>
      <c r="Q2073" t="s">
        <v>4471</v>
      </c>
    </row>
    <row r="2074" spans="1:17" x14ac:dyDescent="0.3">
      <c r="A2074" t="s">
        <v>17</v>
      </c>
      <c r="B2074" t="str">
        <f>"688681"</f>
        <v>688681</v>
      </c>
      <c r="C2074" t="s">
        <v>4472</v>
      </c>
      <c r="D2074" t="s">
        <v>610</v>
      </c>
      <c r="F2074">
        <v>32130408</v>
      </c>
      <c r="G2074">
        <v>25752403</v>
      </c>
      <c r="P2074">
        <v>31</v>
      </c>
      <c r="Q2074" t="s">
        <v>4473</v>
      </c>
    </row>
    <row r="2075" spans="1:17" x14ac:dyDescent="0.3">
      <c r="A2075" t="s">
        <v>17</v>
      </c>
      <c r="B2075" t="str">
        <f>"688682"</f>
        <v>688682</v>
      </c>
      <c r="C2075" t="s">
        <v>4474</v>
      </c>
      <c r="D2075" t="s">
        <v>1136</v>
      </c>
      <c r="F2075">
        <v>20503533</v>
      </c>
      <c r="G2075">
        <v>15248703</v>
      </c>
      <c r="H2075">
        <v>11624492</v>
      </c>
      <c r="P2075">
        <v>33</v>
      </c>
      <c r="Q2075" t="s">
        <v>4475</v>
      </c>
    </row>
    <row r="2076" spans="1:17" x14ac:dyDescent="0.3">
      <c r="A2076" t="s">
        <v>17</v>
      </c>
      <c r="B2076" t="str">
        <f>"688683"</f>
        <v>688683</v>
      </c>
      <c r="C2076" t="s">
        <v>4476</v>
      </c>
      <c r="D2076" t="s">
        <v>313</v>
      </c>
      <c r="F2076">
        <v>53463310</v>
      </c>
      <c r="P2076">
        <v>18</v>
      </c>
      <c r="Q2076" t="s">
        <v>4477</v>
      </c>
    </row>
    <row r="2077" spans="1:17" x14ac:dyDescent="0.3">
      <c r="A2077" t="s">
        <v>17</v>
      </c>
      <c r="B2077" t="str">
        <f>"688685"</f>
        <v>688685</v>
      </c>
      <c r="C2077" t="s">
        <v>4478</v>
      </c>
      <c r="D2077" t="s">
        <v>98</v>
      </c>
      <c r="F2077">
        <v>27003080</v>
      </c>
      <c r="G2077">
        <v>26476749</v>
      </c>
      <c r="P2077">
        <v>21</v>
      </c>
      <c r="Q2077" t="s">
        <v>4479</v>
      </c>
    </row>
    <row r="2078" spans="1:17" x14ac:dyDescent="0.3">
      <c r="A2078" t="s">
        <v>17</v>
      </c>
      <c r="B2078" t="str">
        <f>"688686"</f>
        <v>688686</v>
      </c>
      <c r="C2078" t="s">
        <v>4480</v>
      </c>
      <c r="D2078" t="s">
        <v>3450</v>
      </c>
      <c r="F2078">
        <v>217960082</v>
      </c>
      <c r="G2078">
        <v>181423846</v>
      </c>
      <c r="H2078">
        <v>177789500</v>
      </c>
      <c r="P2078">
        <v>117</v>
      </c>
      <c r="Q2078" t="s">
        <v>4481</v>
      </c>
    </row>
    <row r="2079" spans="1:17" x14ac:dyDescent="0.3">
      <c r="A2079" t="s">
        <v>17</v>
      </c>
      <c r="B2079" t="str">
        <f>"688687"</f>
        <v>688687</v>
      </c>
      <c r="C2079" t="s">
        <v>4482</v>
      </c>
      <c r="D2079" t="s">
        <v>1379</v>
      </c>
      <c r="F2079">
        <v>77818994</v>
      </c>
      <c r="G2079">
        <v>55150551</v>
      </c>
      <c r="H2079">
        <v>52531400</v>
      </c>
      <c r="P2079">
        <v>41</v>
      </c>
      <c r="Q2079" t="s">
        <v>4483</v>
      </c>
    </row>
    <row r="2080" spans="1:17" x14ac:dyDescent="0.3">
      <c r="A2080" t="s">
        <v>17</v>
      </c>
      <c r="B2080" t="str">
        <f>"688689"</f>
        <v>688689</v>
      </c>
      <c r="C2080" t="s">
        <v>4484</v>
      </c>
      <c r="D2080" t="s">
        <v>795</v>
      </c>
      <c r="F2080">
        <v>105293367</v>
      </c>
      <c r="G2080">
        <v>49603470</v>
      </c>
      <c r="H2080">
        <v>36854300</v>
      </c>
      <c r="P2080">
        <v>46</v>
      </c>
      <c r="Q2080" t="s">
        <v>4485</v>
      </c>
    </row>
    <row r="2081" spans="1:17" x14ac:dyDescent="0.3">
      <c r="A2081" t="s">
        <v>17</v>
      </c>
      <c r="B2081" t="str">
        <f>"688690"</f>
        <v>688690</v>
      </c>
      <c r="C2081" t="s">
        <v>4486</v>
      </c>
      <c r="D2081" t="s">
        <v>496</v>
      </c>
      <c r="F2081">
        <v>115262064</v>
      </c>
      <c r="G2081">
        <v>39512922</v>
      </c>
      <c r="P2081">
        <v>116</v>
      </c>
      <c r="Q2081" t="s">
        <v>4487</v>
      </c>
    </row>
    <row r="2082" spans="1:17" x14ac:dyDescent="0.3">
      <c r="A2082" t="s">
        <v>17</v>
      </c>
      <c r="B2082" t="str">
        <f>"688696"</f>
        <v>688696</v>
      </c>
      <c r="C2082" t="s">
        <v>4488</v>
      </c>
      <c r="D2082" t="s">
        <v>137</v>
      </c>
      <c r="F2082">
        <v>300241675</v>
      </c>
      <c r="G2082">
        <v>171577105</v>
      </c>
      <c r="P2082">
        <v>150</v>
      </c>
      <c r="Q2082" t="s">
        <v>4489</v>
      </c>
    </row>
    <row r="2083" spans="1:17" x14ac:dyDescent="0.3">
      <c r="A2083" t="s">
        <v>17</v>
      </c>
      <c r="B2083" t="str">
        <f>"688697"</f>
        <v>688697</v>
      </c>
      <c r="C2083" t="s">
        <v>4490</v>
      </c>
      <c r="D2083" t="s">
        <v>2312</v>
      </c>
      <c r="F2083">
        <v>114847283</v>
      </c>
      <c r="G2083">
        <v>85959088</v>
      </c>
      <c r="P2083">
        <v>16</v>
      </c>
      <c r="Q2083" t="s">
        <v>4491</v>
      </c>
    </row>
    <row r="2084" spans="1:17" x14ac:dyDescent="0.3">
      <c r="A2084" t="s">
        <v>17</v>
      </c>
      <c r="B2084" t="str">
        <f>"688698"</f>
        <v>688698</v>
      </c>
      <c r="C2084" t="s">
        <v>4492</v>
      </c>
      <c r="D2084" t="s">
        <v>2423</v>
      </c>
      <c r="F2084">
        <v>100614210</v>
      </c>
      <c r="G2084">
        <v>73964806</v>
      </c>
      <c r="H2084">
        <v>51935000</v>
      </c>
      <c r="P2084">
        <v>74</v>
      </c>
      <c r="Q2084" t="s">
        <v>4493</v>
      </c>
    </row>
    <row r="2085" spans="1:17" x14ac:dyDescent="0.3">
      <c r="A2085" t="s">
        <v>17</v>
      </c>
      <c r="B2085" t="str">
        <f>"688699"</f>
        <v>688699</v>
      </c>
      <c r="C2085" t="s">
        <v>4494</v>
      </c>
      <c r="D2085" t="s">
        <v>401</v>
      </c>
      <c r="F2085">
        <v>600038523</v>
      </c>
      <c r="G2085">
        <v>58468906</v>
      </c>
      <c r="H2085">
        <v>57377253</v>
      </c>
      <c r="P2085">
        <v>140</v>
      </c>
      <c r="Q2085" t="s">
        <v>4495</v>
      </c>
    </row>
    <row r="2086" spans="1:17" x14ac:dyDescent="0.3">
      <c r="A2086" t="s">
        <v>17</v>
      </c>
      <c r="B2086" t="str">
        <f>"688700"</f>
        <v>688700</v>
      </c>
      <c r="C2086" t="s">
        <v>4496</v>
      </c>
      <c r="D2086" t="s">
        <v>741</v>
      </c>
      <c r="F2086">
        <v>110950965</v>
      </c>
      <c r="G2086">
        <v>53632111</v>
      </c>
      <c r="P2086">
        <v>34</v>
      </c>
      <c r="Q2086" t="s">
        <v>4497</v>
      </c>
    </row>
    <row r="2087" spans="1:17" x14ac:dyDescent="0.3">
      <c r="A2087" t="s">
        <v>17</v>
      </c>
      <c r="B2087" t="str">
        <f>"688701"</f>
        <v>688701</v>
      </c>
      <c r="C2087" t="s">
        <v>4498</v>
      </c>
      <c r="D2087" t="s">
        <v>3548</v>
      </c>
      <c r="F2087">
        <v>15485197</v>
      </c>
      <c r="G2087">
        <v>12796306</v>
      </c>
      <c r="P2087">
        <v>19</v>
      </c>
      <c r="Q2087" t="s">
        <v>4499</v>
      </c>
    </row>
    <row r="2088" spans="1:17" x14ac:dyDescent="0.3">
      <c r="A2088" t="s">
        <v>17</v>
      </c>
      <c r="B2088" t="str">
        <f>"688707"</f>
        <v>688707</v>
      </c>
      <c r="C2088" t="s">
        <v>4500</v>
      </c>
      <c r="D2088" t="s">
        <v>1786</v>
      </c>
      <c r="F2088">
        <v>260527707</v>
      </c>
      <c r="G2088">
        <v>-132392349</v>
      </c>
      <c r="P2088">
        <v>31</v>
      </c>
      <c r="Q2088" t="s">
        <v>4501</v>
      </c>
    </row>
    <row r="2089" spans="1:17" x14ac:dyDescent="0.3">
      <c r="A2089" t="s">
        <v>17</v>
      </c>
      <c r="B2089" t="str">
        <f>"688711"</f>
        <v>688711</v>
      </c>
      <c r="C2089" t="s">
        <v>4502</v>
      </c>
      <c r="D2089" t="s">
        <v>795</v>
      </c>
      <c r="F2089">
        <v>46568223</v>
      </c>
      <c r="G2089">
        <v>18433885</v>
      </c>
      <c r="P2089">
        <v>38</v>
      </c>
      <c r="Q2089" t="s">
        <v>4503</v>
      </c>
    </row>
    <row r="2090" spans="1:17" x14ac:dyDescent="0.3">
      <c r="A2090" t="s">
        <v>17</v>
      </c>
      <c r="B2090" t="str">
        <f>"688718"</f>
        <v>688718</v>
      </c>
      <c r="C2090" t="s">
        <v>4504</v>
      </c>
      <c r="D2090" t="s">
        <v>324</v>
      </c>
      <c r="F2090">
        <v>41272532</v>
      </c>
      <c r="G2090">
        <v>29169388</v>
      </c>
      <c r="P2090">
        <v>20</v>
      </c>
      <c r="Q2090" t="s">
        <v>4505</v>
      </c>
    </row>
    <row r="2091" spans="1:17" x14ac:dyDescent="0.3">
      <c r="A2091" t="s">
        <v>17</v>
      </c>
      <c r="B2091" t="str">
        <f>"688722"</f>
        <v>688722</v>
      </c>
      <c r="C2091" t="s">
        <v>4506</v>
      </c>
      <c r="D2091" t="s">
        <v>146</v>
      </c>
      <c r="F2091">
        <v>41276804</v>
      </c>
      <c r="G2091">
        <v>42259913</v>
      </c>
      <c r="P2091">
        <v>13</v>
      </c>
      <c r="Q2091" t="s">
        <v>4507</v>
      </c>
    </row>
    <row r="2092" spans="1:17" x14ac:dyDescent="0.3">
      <c r="A2092" t="s">
        <v>17</v>
      </c>
      <c r="B2092" t="str">
        <f>"688728"</f>
        <v>688728</v>
      </c>
      <c r="C2092" t="s">
        <v>4508</v>
      </c>
      <c r="D2092" t="s">
        <v>461</v>
      </c>
      <c r="F2092">
        <v>933439617</v>
      </c>
      <c r="P2092">
        <v>58</v>
      </c>
      <c r="Q2092" t="s">
        <v>4509</v>
      </c>
    </row>
    <row r="2093" spans="1:17" x14ac:dyDescent="0.3">
      <c r="A2093" t="s">
        <v>17</v>
      </c>
      <c r="B2093" t="str">
        <f>"688733"</f>
        <v>688733</v>
      </c>
      <c r="C2093" t="s">
        <v>4510</v>
      </c>
      <c r="D2093" t="s">
        <v>1786</v>
      </c>
      <c r="F2093">
        <v>64885068</v>
      </c>
      <c r="G2093">
        <v>19980484</v>
      </c>
      <c r="P2093">
        <v>47</v>
      </c>
      <c r="Q2093" t="s">
        <v>4511</v>
      </c>
    </row>
    <row r="2094" spans="1:17" x14ac:dyDescent="0.3">
      <c r="A2094" t="s">
        <v>17</v>
      </c>
      <c r="B2094" t="str">
        <f>"688737"</f>
        <v>688737</v>
      </c>
      <c r="C2094" t="s">
        <v>4512</v>
      </c>
      <c r="D2094" t="s">
        <v>985</v>
      </c>
      <c r="F2094">
        <v>22486296</v>
      </c>
      <c r="G2094">
        <v>210009267</v>
      </c>
      <c r="P2094">
        <v>15</v>
      </c>
      <c r="Q2094" t="s">
        <v>4513</v>
      </c>
    </row>
    <row r="2095" spans="1:17" x14ac:dyDescent="0.3">
      <c r="A2095" t="s">
        <v>17</v>
      </c>
      <c r="B2095" t="str">
        <f>"688739"</f>
        <v>688739</v>
      </c>
      <c r="C2095" t="s">
        <v>4514</v>
      </c>
      <c r="D2095" t="s">
        <v>1499</v>
      </c>
      <c r="F2095">
        <v>828635844</v>
      </c>
      <c r="G2095">
        <v>830868735</v>
      </c>
      <c r="P2095">
        <v>36</v>
      </c>
      <c r="Q2095" t="s">
        <v>4515</v>
      </c>
    </row>
    <row r="2096" spans="1:17" x14ac:dyDescent="0.3">
      <c r="A2096" t="s">
        <v>17</v>
      </c>
      <c r="B2096" t="str">
        <f>"688766"</f>
        <v>688766</v>
      </c>
      <c r="C2096" t="s">
        <v>4516</v>
      </c>
      <c r="D2096" t="s">
        <v>461</v>
      </c>
      <c r="F2096">
        <v>222733428</v>
      </c>
      <c r="G2096">
        <v>47023903</v>
      </c>
      <c r="P2096">
        <v>42</v>
      </c>
      <c r="Q2096" t="s">
        <v>4517</v>
      </c>
    </row>
    <row r="2097" spans="1:17" x14ac:dyDescent="0.3">
      <c r="A2097" t="s">
        <v>17</v>
      </c>
      <c r="B2097" t="str">
        <f>"688767"</f>
        <v>688767</v>
      </c>
      <c r="C2097" t="s">
        <v>4518</v>
      </c>
      <c r="D2097" t="s">
        <v>1305</v>
      </c>
      <c r="F2097">
        <v>719110208</v>
      </c>
      <c r="G2097">
        <v>356213219</v>
      </c>
      <c r="P2097">
        <v>43</v>
      </c>
      <c r="Q2097" t="s">
        <v>4519</v>
      </c>
    </row>
    <row r="2098" spans="1:17" x14ac:dyDescent="0.3">
      <c r="A2098" t="s">
        <v>17</v>
      </c>
      <c r="B2098" t="str">
        <f>"688768"</f>
        <v>688768</v>
      </c>
      <c r="C2098" t="s">
        <v>4520</v>
      </c>
      <c r="D2098" t="s">
        <v>2551</v>
      </c>
      <c r="F2098">
        <v>31059995</v>
      </c>
      <c r="G2098">
        <v>38622240</v>
      </c>
      <c r="P2098">
        <v>30</v>
      </c>
      <c r="Q2098" t="s">
        <v>4521</v>
      </c>
    </row>
    <row r="2099" spans="1:17" x14ac:dyDescent="0.3">
      <c r="A2099" t="s">
        <v>17</v>
      </c>
      <c r="B2099" t="str">
        <f>"688772"</f>
        <v>688772</v>
      </c>
      <c r="C2099" t="s">
        <v>4522</v>
      </c>
      <c r="D2099" t="s">
        <v>359</v>
      </c>
      <c r="F2099">
        <v>814396232</v>
      </c>
      <c r="G2099">
        <v>575574253</v>
      </c>
      <c r="P2099">
        <v>33</v>
      </c>
      <c r="Q2099" t="s">
        <v>4523</v>
      </c>
    </row>
    <row r="2100" spans="1:17" x14ac:dyDescent="0.3">
      <c r="A2100" t="s">
        <v>17</v>
      </c>
      <c r="B2100" t="str">
        <f>"688776"</f>
        <v>688776</v>
      </c>
      <c r="C2100" t="s">
        <v>4524</v>
      </c>
      <c r="D2100" t="s">
        <v>1136</v>
      </c>
      <c r="F2100">
        <v>110464283</v>
      </c>
      <c r="G2100">
        <v>55472844</v>
      </c>
      <c r="P2100">
        <v>23</v>
      </c>
      <c r="Q2100" t="s">
        <v>4525</v>
      </c>
    </row>
    <row r="2101" spans="1:17" x14ac:dyDescent="0.3">
      <c r="A2101" t="s">
        <v>17</v>
      </c>
      <c r="B2101" t="str">
        <f>"688777"</f>
        <v>688777</v>
      </c>
      <c r="C2101" t="s">
        <v>4526</v>
      </c>
      <c r="D2101" t="s">
        <v>2423</v>
      </c>
      <c r="F2101">
        <v>333035096</v>
      </c>
      <c r="G2101">
        <v>241718788</v>
      </c>
      <c r="H2101">
        <v>217795334</v>
      </c>
      <c r="P2101">
        <v>180</v>
      </c>
      <c r="Q2101" t="s">
        <v>4527</v>
      </c>
    </row>
    <row r="2102" spans="1:17" x14ac:dyDescent="0.3">
      <c r="A2102" t="s">
        <v>17</v>
      </c>
      <c r="B2102" t="str">
        <f>"688778"</f>
        <v>688778</v>
      </c>
      <c r="C2102" t="s">
        <v>4528</v>
      </c>
      <c r="D2102" t="s">
        <v>1786</v>
      </c>
      <c r="F2102">
        <v>398994123</v>
      </c>
      <c r="G2102">
        <v>156081587</v>
      </c>
      <c r="P2102">
        <v>44</v>
      </c>
      <c r="Q2102" t="s">
        <v>4529</v>
      </c>
    </row>
    <row r="2103" spans="1:17" x14ac:dyDescent="0.3">
      <c r="A2103" t="s">
        <v>17</v>
      </c>
      <c r="B2103" t="str">
        <f>"688779"</f>
        <v>688779</v>
      </c>
      <c r="C2103" t="s">
        <v>4530</v>
      </c>
      <c r="D2103" t="s">
        <v>1786</v>
      </c>
      <c r="F2103">
        <v>486973097</v>
      </c>
      <c r="P2103">
        <v>53</v>
      </c>
      <c r="Q2103" t="s">
        <v>4531</v>
      </c>
    </row>
    <row r="2104" spans="1:17" x14ac:dyDescent="0.3">
      <c r="A2104" t="s">
        <v>17</v>
      </c>
      <c r="B2104" t="str">
        <f>"688786"</f>
        <v>688786</v>
      </c>
      <c r="C2104" t="s">
        <v>4532</v>
      </c>
      <c r="D2104" t="s">
        <v>581</v>
      </c>
      <c r="F2104">
        <v>65682167</v>
      </c>
      <c r="G2104">
        <v>34199717</v>
      </c>
      <c r="P2104">
        <v>31</v>
      </c>
      <c r="Q2104" t="s">
        <v>4533</v>
      </c>
    </row>
    <row r="2105" spans="1:17" x14ac:dyDescent="0.3">
      <c r="A2105" t="s">
        <v>17</v>
      </c>
      <c r="B2105" t="str">
        <f>"688787"</f>
        <v>688787</v>
      </c>
      <c r="C2105" t="s">
        <v>4534</v>
      </c>
      <c r="D2105" t="s">
        <v>316</v>
      </c>
      <c r="F2105">
        <v>25658432</v>
      </c>
      <c r="G2105">
        <v>51818933</v>
      </c>
      <c r="P2105">
        <v>32</v>
      </c>
      <c r="Q2105" t="s">
        <v>4535</v>
      </c>
    </row>
    <row r="2106" spans="1:17" x14ac:dyDescent="0.3">
      <c r="A2106" t="s">
        <v>17</v>
      </c>
      <c r="B2106" t="str">
        <f>"688788"</f>
        <v>688788</v>
      </c>
      <c r="C2106" t="s">
        <v>4536</v>
      </c>
      <c r="D2106" t="s">
        <v>1136</v>
      </c>
      <c r="F2106">
        <v>205542105</v>
      </c>
      <c r="G2106">
        <v>45477057</v>
      </c>
      <c r="H2106">
        <v>20623742</v>
      </c>
      <c r="P2106">
        <v>57</v>
      </c>
      <c r="Q2106" t="s">
        <v>4537</v>
      </c>
    </row>
    <row r="2107" spans="1:17" x14ac:dyDescent="0.3">
      <c r="A2107" t="s">
        <v>17</v>
      </c>
      <c r="B2107" t="str">
        <f>"688789"</f>
        <v>688789</v>
      </c>
      <c r="C2107" t="s">
        <v>4538</v>
      </c>
      <c r="D2107" t="s">
        <v>534</v>
      </c>
      <c r="F2107">
        <v>163070783</v>
      </c>
      <c r="G2107">
        <v>106112202</v>
      </c>
      <c r="P2107">
        <v>43</v>
      </c>
      <c r="Q2107" t="s">
        <v>4539</v>
      </c>
    </row>
    <row r="2108" spans="1:17" x14ac:dyDescent="0.3">
      <c r="A2108" t="s">
        <v>17</v>
      </c>
      <c r="B2108" t="str">
        <f>"688793"</f>
        <v>688793</v>
      </c>
      <c r="C2108" t="s">
        <v>4540</v>
      </c>
      <c r="D2108" t="s">
        <v>3337</v>
      </c>
      <c r="F2108">
        <v>65978870</v>
      </c>
      <c r="G2108">
        <v>32769522</v>
      </c>
      <c r="P2108">
        <v>48</v>
      </c>
      <c r="Q2108" t="s">
        <v>4541</v>
      </c>
    </row>
    <row r="2109" spans="1:17" x14ac:dyDescent="0.3">
      <c r="A2109" t="s">
        <v>17</v>
      </c>
      <c r="B2109" t="str">
        <f>"688798"</f>
        <v>688798</v>
      </c>
      <c r="C2109" t="s">
        <v>4542</v>
      </c>
      <c r="D2109" t="s">
        <v>401</v>
      </c>
      <c r="F2109">
        <v>195583216</v>
      </c>
      <c r="G2109">
        <v>79872697</v>
      </c>
      <c r="P2109">
        <v>67</v>
      </c>
      <c r="Q2109" t="s">
        <v>4543</v>
      </c>
    </row>
    <row r="2110" spans="1:17" x14ac:dyDescent="0.3">
      <c r="A2110" t="s">
        <v>17</v>
      </c>
      <c r="B2110" t="str">
        <f>"688799"</f>
        <v>688799</v>
      </c>
      <c r="C2110" t="s">
        <v>4544</v>
      </c>
      <c r="D2110" t="s">
        <v>143</v>
      </c>
      <c r="F2110">
        <v>103261091</v>
      </c>
      <c r="G2110">
        <v>90785046</v>
      </c>
      <c r="P2110">
        <v>35</v>
      </c>
      <c r="Q2110" t="s">
        <v>4545</v>
      </c>
    </row>
    <row r="2111" spans="1:17" x14ac:dyDescent="0.3">
      <c r="A2111" t="s">
        <v>17</v>
      </c>
      <c r="B2111" t="str">
        <f>"688800"</f>
        <v>688800</v>
      </c>
      <c r="C2111" t="s">
        <v>4546</v>
      </c>
      <c r="D2111" t="s">
        <v>651</v>
      </c>
      <c r="F2111">
        <v>71497069</v>
      </c>
      <c r="G2111">
        <v>61575206</v>
      </c>
      <c r="P2111">
        <v>51</v>
      </c>
      <c r="Q2111" t="s">
        <v>4547</v>
      </c>
    </row>
    <row r="2112" spans="1:17" x14ac:dyDescent="0.3">
      <c r="A2112" t="s">
        <v>17</v>
      </c>
      <c r="B2112" t="str">
        <f>"688819"</f>
        <v>688819</v>
      </c>
      <c r="C2112" t="s">
        <v>4548</v>
      </c>
      <c r="D2112" t="s">
        <v>555</v>
      </c>
      <c r="F2112">
        <v>1065538948</v>
      </c>
      <c r="G2112">
        <v>1465312811</v>
      </c>
      <c r="H2112">
        <v>890882000</v>
      </c>
      <c r="P2112">
        <v>159</v>
      </c>
      <c r="Q2112" t="s">
        <v>4549</v>
      </c>
    </row>
    <row r="2113" spans="1:17" x14ac:dyDescent="0.3">
      <c r="A2113" t="s">
        <v>17</v>
      </c>
      <c r="B2113" t="str">
        <f>"688981"</f>
        <v>688981</v>
      </c>
      <c r="C2113" t="s">
        <v>4550</v>
      </c>
      <c r="D2113" t="s">
        <v>4269</v>
      </c>
      <c r="F2113">
        <v>7318276000</v>
      </c>
      <c r="G2113">
        <v>3080189000</v>
      </c>
      <c r="H2113">
        <v>814338342</v>
      </c>
      <c r="P2113">
        <v>1041</v>
      </c>
      <c r="Q2113" t="s">
        <v>4551</v>
      </c>
    </row>
    <row r="2114" spans="1:17" x14ac:dyDescent="0.3">
      <c r="A2114" t="s">
        <v>17</v>
      </c>
      <c r="B2114" t="str">
        <f>"689009"</f>
        <v>689009</v>
      </c>
      <c r="C2114" t="s">
        <v>4552</v>
      </c>
      <c r="D2114" t="s">
        <v>233</v>
      </c>
      <c r="F2114">
        <v>388289632</v>
      </c>
      <c r="G2114">
        <v>85007216</v>
      </c>
      <c r="H2114">
        <v>-286529268</v>
      </c>
      <c r="P2114">
        <v>114</v>
      </c>
      <c r="Q2114" t="s">
        <v>4553</v>
      </c>
    </row>
    <row r="2115" spans="1:17" x14ac:dyDescent="0.3">
      <c r="A2115" t="s">
        <v>17</v>
      </c>
      <c r="B2115" t="str">
        <f>"900901"</f>
        <v>900901</v>
      </c>
      <c r="C2115" t="s">
        <v>4554</v>
      </c>
      <c r="G2115">
        <v>22836218.2608</v>
      </c>
      <c r="H2115">
        <v>25882377.033100002</v>
      </c>
      <c r="I2115">
        <v>26408846.259</v>
      </c>
      <c r="J2115">
        <v>24660109.0636</v>
      </c>
      <c r="K2115">
        <v>33961578.593500003</v>
      </c>
      <c r="L2115">
        <v>9178339.2271999996</v>
      </c>
      <c r="M2115">
        <v>9641515.5477000009</v>
      </c>
      <c r="N2115">
        <v>7820882.8279999997</v>
      </c>
      <c r="O2115">
        <v>9393623.2478</v>
      </c>
      <c r="P2115">
        <v>7</v>
      </c>
      <c r="Q2115" t="s">
        <v>4555</v>
      </c>
    </row>
    <row r="2116" spans="1:17" x14ac:dyDescent="0.3">
      <c r="A2116" t="s">
        <v>17</v>
      </c>
      <c r="B2116" t="str">
        <f>"900902"</f>
        <v>900902</v>
      </c>
      <c r="C2116" t="s">
        <v>4556</v>
      </c>
      <c r="G2116">
        <v>8285262.7010000004</v>
      </c>
      <c r="H2116">
        <v>2973555.1938</v>
      </c>
      <c r="I2116">
        <v>8333627.7359999996</v>
      </c>
      <c r="J2116">
        <v>12278188.218800001</v>
      </c>
      <c r="K2116">
        <v>24587782.509799998</v>
      </c>
      <c r="L2116">
        <v>-4616430.6474000001</v>
      </c>
      <c r="M2116">
        <v>1460362.9878</v>
      </c>
      <c r="N2116">
        <v>16473986.5294</v>
      </c>
      <c r="O2116">
        <v>9238969.9337000009</v>
      </c>
      <c r="P2116">
        <v>10</v>
      </c>
      <c r="Q2116" t="s">
        <v>4557</v>
      </c>
    </row>
    <row r="2117" spans="1:17" x14ac:dyDescent="0.3">
      <c r="A2117" t="s">
        <v>17</v>
      </c>
      <c r="B2117" t="str">
        <f>"900903"</f>
        <v>900903</v>
      </c>
      <c r="C2117" t="s">
        <v>4558</v>
      </c>
      <c r="G2117">
        <v>47672907.381099999</v>
      </c>
      <c r="H2117">
        <v>96878787.762600005</v>
      </c>
      <c r="I2117">
        <v>84042765.559499994</v>
      </c>
      <c r="J2117">
        <v>85350759.930600002</v>
      </c>
      <c r="K2117">
        <v>65055152.415700004</v>
      </c>
      <c r="L2117">
        <v>64984416.682899997</v>
      </c>
      <c r="M2117">
        <v>58233060.152099997</v>
      </c>
      <c r="N2117">
        <v>57276867.0348</v>
      </c>
      <c r="O2117">
        <v>58136397.685500003</v>
      </c>
      <c r="P2117">
        <v>32</v>
      </c>
      <c r="Q2117" t="s">
        <v>4559</v>
      </c>
    </row>
    <row r="2118" spans="1:17" x14ac:dyDescent="0.3">
      <c r="A2118" t="s">
        <v>17</v>
      </c>
      <c r="B2118" t="str">
        <f>"900904"</f>
        <v>900904</v>
      </c>
      <c r="C2118" t="s">
        <v>4560</v>
      </c>
      <c r="G2118">
        <v>-21562503.5002</v>
      </c>
      <c r="H2118">
        <v>11538814.4783</v>
      </c>
      <c r="I2118">
        <v>9416674.0095000006</v>
      </c>
      <c r="J2118">
        <v>12101709.5272</v>
      </c>
      <c r="K2118">
        <v>14695173.981799999</v>
      </c>
      <c r="L2118">
        <v>23118843.7766</v>
      </c>
      <c r="M2118">
        <v>21974321.054699998</v>
      </c>
      <c r="N2118">
        <v>9541443.8146000002</v>
      </c>
      <c r="O2118">
        <v>1417591.0233</v>
      </c>
      <c r="P2118">
        <v>8</v>
      </c>
      <c r="Q2118" t="s">
        <v>4561</v>
      </c>
    </row>
    <row r="2119" spans="1:17" x14ac:dyDescent="0.3">
      <c r="A2119" t="s">
        <v>17</v>
      </c>
      <c r="B2119" t="str">
        <f>"900905"</f>
        <v>900905</v>
      </c>
      <c r="C2119" t="s">
        <v>4562</v>
      </c>
      <c r="G2119">
        <v>180844673.71489999</v>
      </c>
      <c r="H2119">
        <v>163088758.66150001</v>
      </c>
      <c r="I2119">
        <v>143725094.24250001</v>
      </c>
      <c r="J2119">
        <v>134710919.5422</v>
      </c>
      <c r="K2119">
        <v>120411154.54520001</v>
      </c>
      <c r="L2119">
        <v>125947501.8087</v>
      </c>
      <c r="M2119">
        <v>118173715.6446</v>
      </c>
      <c r="N2119">
        <v>103376522.4304</v>
      </c>
      <c r="O2119">
        <v>81666895.981299996</v>
      </c>
      <c r="P2119">
        <v>473</v>
      </c>
      <c r="Q2119" t="s">
        <v>4563</v>
      </c>
    </row>
    <row r="2120" spans="1:17" x14ac:dyDescent="0.3">
      <c r="A2120" t="s">
        <v>17</v>
      </c>
      <c r="B2120" t="str">
        <f>"900906"</f>
        <v>900906</v>
      </c>
      <c r="C2120" t="s">
        <v>4564</v>
      </c>
      <c r="F2120">
        <v>6131988.5697999997</v>
      </c>
      <c r="G2120">
        <v>1183708.4963</v>
      </c>
      <c r="H2120">
        <v>-2906291.4136999999</v>
      </c>
      <c r="I2120">
        <v>-3163308.807</v>
      </c>
      <c r="J2120">
        <v>87232.855599999995</v>
      </c>
      <c r="K2120">
        <v>-2567932.1031999998</v>
      </c>
      <c r="L2120">
        <v>1235258.9678</v>
      </c>
      <c r="M2120">
        <v>-4209566.0148</v>
      </c>
      <c r="N2120">
        <v>-2341080.8199999998</v>
      </c>
      <c r="O2120">
        <v>214781.818</v>
      </c>
      <c r="P2120">
        <v>4</v>
      </c>
      <c r="Q2120" t="s">
        <v>4565</v>
      </c>
    </row>
    <row r="2121" spans="1:17" x14ac:dyDescent="0.3">
      <c r="A2121" t="s">
        <v>17</v>
      </c>
      <c r="B2121" t="str">
        <f>"900907"</f>
        <v>900907</v>
      </c>
      <c r="C2121" t="s">
        <v>4566</v>
      </c>
      <c r="G2121">
        <v>-10257434.353599999</v>
      </c>
      <c r="H2121">
        <v>-15036725.5045</v>
      </c>
      <c r="I2121">
        <v>23252875.453499999</v>
      </c>
      <c r="J2121">
        <v>38622656.153800003</v>
      </c>
      <c r="K2121">
        <v>29327983.867400002</v>
      </c>
      <c r="L2121">
        <v>11065807.4098</v>
      </c>
      <c r="M2121">
        <v>3653170.8021</v>
      </c>
      <c r="N2121">
        <v>5003532.5115999999</v>
      </c>
      <c r="O2121">
        <v>4448802.0891000004</v>
      </c>
      <c r="P2121">
        <v>4</v>
      </c>
      <c r="Q2121" t="s">
        <v>4567</v>
      </c>
    </row>
    <row r="2122" spans="1:17" x14ac:dyDescent="0.3">
      <c r="A2122" t="s">
        <v>17</v>
      </c>
      <c r="B2122" t="str">
        <f>"900908"</f>
        <v>900908</v>
      </c>
      <c r="C2122" t="s">
        <v>4568</v>
      </c>
      <c r="F2122">
        <v>176823000.3021</v>
      </c>
      <c r="G2122">
        <v>49606567.821400002</v>
      </c>
      <c r="H2122">
        <v>88012109.031599998</v>
      </c>
      <c r="I2122">
        <v>97724378.782499999</v>
      </c>
      <c r="J2122">
        <v>90430654.754800007</v>
      </c>
      <c r="K2122">
        <v>-6943582.5069000004</v>
      </c>
      <c r="L2122">
        <v>-7026770.4792999998</v>
      </c>
      <c r="M2122">
        <v>-14643225.003599999</v>
      </c>
      <c r="N2122">
        <v>-6497984.6632000003</v>
      </c>
      <c r="O2122">
        <v>15577378.5396</v>
      </c>
      <c r="P2122">
        <v>50</v>
      </c>
      <c r="Q2122" t="s">
        <v>4569</v>
      </c>
    </row>
    <row r="2123" spans="1:17" x14ac:dyDescent="0.3">
      <c r="A2123" t="s">
        <v>17</v>
      </c>
      <c r="B2123" t="str">
        <f>"900909"</f>
        <v>900909</v>
      </c>
      <c r="C2123" t="s">
        <v>4570</v>
      </c>
      <c r="G2123">
        <v>7253632.2723000003</v>
      </c>
      <c r="H2123">
        <v>75527353.708299994</v>
      </c>
      <c r="I2123">
        <v>232392922.2825</v>
      </c>
      <c r="J2123">
        <v>57749559.5836</v>
      </c>
      <c r="K2123">
        <v>40489094.313299999</v>
      </c>
      <c r="L2123">
        <v>65952337.222199999</v>
      </c>
      <c r="M2123">
        <v>35769243.005099997</v>
      </c>
      <c r="N2123">
        <v>37597890.486599997</v>
      </c>
      <c r="O2123">
        <v>32772132.677200001</v>
      </c>
      <c r="P2123">
        <v>24</v>
      </c>
      <c r="Q2123" t="s">
        <v>4571</v>
      </c>
    </row>
    <row r="2124" spans="1:17" x14ac:dyDescent="0.3">
      <c r="A2124" t="s">
        <v>17</v>
      </c>
      <c r="B2124" t="str">
        <f>"900910"</f>
        <v>900910</v>
      </c>
      <c r="C2124" t="s">
        <v>4572</v>
      </c>
      <c r="G2124">
        <v>10621354.680199999</v>
      </c>
      <c r="H2124">
        <v>26789975.764899999</v>
      </c>
      <c r="I2124">
        <v>29203562.098499998</v>
      </c>
      <c r="J2124">
        <v>29707339.293000001</v>
      </c>
      <c r="K2124">
        <v>8192468.8106000004</v>
      </c>
      <c r="L2124">
        <v>7101679.7280000001</v>
      </c>
      <c r="M2124">
        <v>10938202.479900001</v>
      </c>
      <c r="N2124">
        <v>11446281.112</v>
      </c>
      <c r="O2124">
        <v>17009053.7313</v>
      </c>
      <c r="P2124">
        <v>13</v>
      </c>
      <c r="Q2124" t="s">
        <v>4573</v>
      </c>
    </row>
    <row r="2125" spans="1:17" x14ac:dyDescent="0.3">
      <c r="A2125" t="s">
        <v>17</v>
      </c>
      <c r="B2125" t="str">
        <f>"900911"</f>
        <v>900911</v>
      </c>
      <c r="C2125" t="s">
        <v>4574</v>
      </c>
      <c r="G2125">
        <v>100697751.6003</v>
      </c>
      <c r="H2125">
        <v>82908509.885299996</v>
      </c>
      <c r="I2125">
        <v>82648539.018000007</v>
      </c>
      <c r="J2125">
        <v>82086127.633599997</v>
      </c>
      <c r="K2125">
        <v>70834267.202299997</v>
      </c>
      <c r="L2125">
        <v>59636032.012699999</v>
      </c>
      <c r="M2125">
        <v>51980867.742600001</v>
      </c>
      <c r="N2125">
        <v>44137377.279200003</v>
      </c>
      <c r="O2125">
        <v>39363361.2064</v>
      </c>
      <c r="P2125">
        <v>73</v>
      </c>
      <c r="Q2125" t="s">
        <v>4575</v>
      </c>
    </row>
    <row r="2126" spans="1:17" x14ac:dyDescent="0.3">
      <c r="A2126" t="s">
        <v>17</v>
      </c>
      <c r="B2126" t="str">
        <f>"900912"</f>
        <v>900912</v>
      </c>
      <c r="C2126" t="s">
        <v>4576</v>
      </c>
      <c r="G2126">
        <v>65573618.8979</v>
      </c>
      <c r="H2126">
        <v>103632032.02869999</v>
      </c>
      <c r="I2126">
        <v>96568452.577500001</v>
      </c>
      <c r="J2126">
        <v>52290481.555</v>
      </c>
      <c r="K2126">
        <v>93404794.745900005</v>
      </c>
      <c r="L2126">
        <v>64143627.891199999</v>
      </c>
      <c r="M2126">
        <v>88842709.718099996</v>
      </c>
      <c r="N2126">
        <v>83260865.754800007</v>
      </c>
      <c r="O2126">
        <v>22183479.5777</v>
      </c>
      <c r="P2126">
        <v>18</v>
      </c>
      <c r="Q2126" t="s">
        <v>4577</v>
      </c>
    </row>
    <row r="2127" spans="1:17" x14ac:dyDescent="0.3">
      <c r="A2127" t="s">
        <v>17</v>
      </c>
      <c r="B2127" t="str">
        <f>"900913"</f>
        <v>900913</v>
      </c>
      <c r="C2127" t="s">
        <v>4578</v>
      </c>
      <c r="G2127">
        <v>-85657676.750200003</v>
      </c>
      <c r="H2127">
        <v>1830723.7054999999</v>
      </c>
      <c r="I2127">
        <v>1821276.0255</v>
      </c>
      <c r="J2127">
        <v>945098.65359999996</v>
      </c>
      <c r="K2127">
        <v>55529456.965800002</v>
      </c>
      <c r="L2127">
        <v>57093256.434500001</v>
      </c>
      <c r="M2127">
        <v>50949796.102200001</v>
      </c>
      <c r="N2127">
        <v>-1353403.1473999999</v>
      </c>
      <c r="O2127">
        <v>372306.09159999999</v>
      </c>
      <c r="P2127">
        <v>7</v>
      </c>
      <c r="Q2127" t="s">
        <v>4579</v>
      </c>
    </row>
    <row r="2128" spans="1:17" x14ac:dyDescent="0.3">
      <c r="A2128" t="s">
        <v>17</v>
      </c>
      <c r="B2128" t="str">
        <f>"900914"</f>
        <v>900914</v>
      </c>
      <c r="C2128" t="s">
        <v>4580</v>
      </c>
      <c r="G2128">
        <v>9779103.0914999992</v>
      </c>
      <c r="H2128">
        <v>29639022.337000001</v>
      </c>
      <c r="I2128">
        <v>30697778.131499998</v>
      </c>
      <c r="J2128">
        <v>28055658.834800001</v>
      </c>
      <c r="K2128">
        <v>26682378.2311</v>
      </c>
      <c r="L2128">
        <v>24537119.249499999</v>
      </c>
      <c r="M2128">
        <v>27436928.530499998</v>
      </c>
      <c r="N2128">
        <v>31328742.621399999</v>
      </c>
      <c r="O2128">
        <v>21943230.622699998</v>
      </c>
      <c r="P2128">
        <v>20</v>
      </c>
      <c r="Q2128" t="s">
        <v>4581</v>
      </c>
    </row>
    <row r="2129" spans="1:17" x14ac:dyDescent="0.3">
      <c r="A2129" t="s">
        <v>17</v>
      </c>
      <c r="B2129" t="str">
        <f>"900915"</f>
        <v>900915</v>
      </c>
      <c r="C2129" t="s">
        <v>4582</v>
      </c>
      <c r="G2129">
        <v>3241333.9851000002</v>
      </c>
      <c r="H2129">
        <v>-3368746.2527000001</v>
      </c>
      <c r="I2129">
        <v>2022213.7080000001</v>
      </c>
      <c r="J2129">
        <v>4922598.1745999996</v>
      </c>
      <c r="K2129">
        <v>11909143.374600001</v>
      </c>
      <c r="L2129">
        <v>6690493.4381999997</v>
      </c>
      <c r="M2129">
        <v>1162302.4143000001</v>
      </c>
      <c r="N2129">
        <v>1588421.5308000001</v>
      </c>
      <c r="O2129">
        <v>1182429.4498999999</v>
      </c>
      <c r="P2129">
        <v>6</v>
      </c>
      <c r="Q2129" t="s">
        <v>4583</v>
      </c>
    </row>
    <row r="2130" spans="1:17" x14ac:dyDescent="0.3">
      <c r="A2130" t="s">
        <v>17</v>
      </c>
      <c r="B2130" t="str">
        <f>"900916"</f>
        <v>900916</v>
      </c>
      <c r="C2130" t="s">
        <v>4584</v>
      </c>
      <c r="G2130">
        <v>7860244.4983999999</v>
      </c>
      <c r="H2130">
        <v>3326008.0617999998</v>
      </c>
      <c r="I2130">
        <v>3882981.1979999999</v>
      </c>
      <c r="J2130">
        <v>9616195.8717999998</v>
      </c>
      <c r="K2130">
        <v>5150429.6896000002</v>
      </c>
      <c r="L2130">
        <v>-1727452.7127</v>
      </c>
      <c r="M2130">
        <v>-517798.3383</v>
      </c>
      <c r="N2130">
        <v>-1345793.6094</v>
      </c>
      <c r="O2130">
        <v>-1245675.6773999999</v>
      </c>
      <c r="P2130">
        <v>7</v>
      </c>
      <c r="Q2130" t="s">
        <v>4585</v>
      </c>
    </row>
    <row r="2131" spans="1:17" x14ac:dyDescent="0.3">
      <c r="A2131" t="s">
        <v>17</v>
      </c>
      <c r="B2131" t="str">
        <f>"900917"</f>
        <v>900917</v>
      </c>
      <c r="C2131" t="s">
        <v>4586</v>
      </c>
      <c r="G2131">
        <v>17730297.263799999</v>
      </c>
      <c r="H2131">
        <v>13421608.404200001</v>
      </c>
      <c r="I2131">
        <v>15100863.727499999</v>
      </c>
      <c r="J2131">
        <v>14381776.4684</v>
      </c>
      <c r="K2131">
        <v>23921802.7425</v>
      </c>
      <c r="L2131">
        <v>20076257.043699998</v>
      </c>
      <c r="M2131">
        <v>20013819.2289</v>
      </c>
      <c r="N2131">
        <v>9341355.4492000006</v>
      </c>
      <c r="O2131">
        <v>3392368.7022000002</v>
      </c>
      <c r="P2131">
        <v>12</v>
      </c>
      <c r="Q2131" t="s">
        <v>4587</v>
      </c>
    </row>
    <row r="2132" spans="1:17" x14ac:dyDescent="0.3">
      <c r="A2132" t="s">
        <v>17</v>
      </c>
      <c r="B2132" t="str">
        <f>"900918"</f>
        <v>900918</v>
      </c>
      <c r="C2132" t="s">
        <v>4588</v>
      </c>
      <c r="F2132">
        <v>25641391.252500001</v>
      </c>
      <c r="G2132">
        <v>16420242.600199999</v>
      </c>
      <c r="H2132">
        <v>19060156.750799999</v>
      </c>
      <c r="I2132">
        <v>13083548.422499999</v>
      </c>
      <c r="J2132">
        <v>4276390.1612</v>
      </c>
      <c r="K2132">
        <v>6261507.3770000003</v>
      </c>
      <c r="L2132">
        <v>-14060910.4636</v>
      </c>
      <c r="M2132">
        <v>5799965.5565999998</v>
      </c>
      <c r="N2132">
        <v>14988058.465600001</v>
      </c>
      <c r="O2132">
        <v>-593312.21979999996</v>
      </c>
      <c r="P2132">
        <v>10</v>
      </c>
      <c r="Q2132" t="s">
        <v>4589</v>
      </c>
    </row>
    <row r="2133" spans="1:17" x14ac:dyDescent="0.3">
      <c r="A2133" t="s">
        <v>17</v>
      </c>
      <c r="B2133" t="str">
        <f>"900919"</f>
        <v>900919</v>
      </c>
      <c r="C2133" t="s">
        <v>4590</v>
      </c>
      <c r="G2133">
        <v>9363435.2078000009</v>
      </c>
      <c r="H2133">
        <v>6232579.5553000001</v>
      </c>
      <c r="I2133">
        <v>708615.26399999997</v>
      </c>
      <c r="J2133">
        <v>6570893.7255999995</v>
      </c>
      <c r="K2133">
        <v>579990.83149999997</v>
      </c>
      <c r="L2133">
        <v>-557680.40899999999</v>
      </c>
      <c r="M2133">
        <v>-4708861.8453000002</v>
      </c>
      <c r="N2133">
        <v>25086357.061799999</v>
      </c>
      <c r="O2133">
        <v>-15721835.930199999</v>
      </c>
      <c r="P2133">
        <v>5</v>
      </c>
      <c r="Q2133" t="s">
        <v>4591</v>
      </c>
    </row>
    <row r="2134" spans="1:17" x14ac:dyDescent="0.3">
      <c r="A2134" t="s">
        <v>17</v>
      </c>
      <c r="B2134" t="str">
        <f>"900920"</f>
        <v>900920</v>
      </c>
      <c r="C2134" t="s">
        <v>4592</v>
      </c>
      <c r="G2134">
        <v>20351800.724599998</v>
      </c>
      <c r="H2134">
        <v>12826198.0613</v>
      </c>
      <c r="I2134">
        <v>16722556.239</v>
      </c>
      <c r="J2134">
        <v>14433600.875600001</v>
      </c>
      <c r="K2134">
        <v>10137692.3298</v>
      </c>
      <c r="L2134">
        <v>10739330.1587</v>
      </c>
      <c r="M2134">
        <v>19892909.473200001</v>
      </c>
      <c r="N2134">
        <v>23260272.3552</v>
      </c>
      <c r="O2134">
        <v>22300971.904800002</v>
      </c>
      <c r="P2134">
        <v>12</v>
      </c>
      <c r="Q2134" t="s">
        <v>4593</v>
      </c>
    </row>
    <row r="2135" spans="1:17" x14ac:dyDescent="0.3">
      <c r="A2135" t="s">
        <v>17</v>
      </c>
      <c r="B2135" t="str">
        <f>"900921"</f>
        <v>900921</v>
      </c>
      <c r="C2135" t="s">
        <v>4594</v>
      </c>
      <c r="G2135">
        <v>-33236564.936999999</v>
      </c>
      <c r="H2135">
        <v>-31437736.3629</v>
      </c>
      <c r="I2135">
        <v>423380.70150000002</v>
      </c>
      <c r="J2135">
        <v>11076552.0206</v>
      </c>
      <c r="K2135">
        <v>-15836443.4779</v>
      </c>
      <c r="L2135">
        <v>-124890.3799</v>
      </c>
      <c r="M2135">
        <v>1062706.0059</v>
      </c>
      <c r="N2135">
        <v>-25774074.981800001</v>
      </c>
      <c r="O2135">
        <v>19526922.442200001</v>
      </c>
      <c r="P2135">
        <v>6</v>
      </c>
      <c r="Q2135" t="s">
        <v>4595</v>
      </c>
    </row>
    <row r="2136" spans="1:17" x14ac:dyDescent="0.3">
      <c r="A2136" t="s">
        <v>17</v>
      </c>
      <c r="B2136" t="str">
        <f>"900922"</f>
        <v>900922</v>
      </c>
      <c r="C2136" t="s">
        <v>4596</v>
      </c>
      <c r="G2136">
        <v>-1348290.6292999999</v>
      </c>
      <c r="H2136">
        <v>1740071.0237</v>
      </c>
      <c r="I2136">
        <v>346447.14</v>
      </c>
      <c r="J2136">
        <v>5319549.2879999997</v>
      </c>
      <c r="K2136">
        <v>-696792.16200000001</v>
      </c>
      <c r="L2136">
        <v>-3162340.9531999999</v>
      </c>
      <c r="M2136">
        <v>12022506.745200001</v>
      </c>
      <c r="N2136">
        <v>-1461296.1673999999</v>
      </c>
      <c r="O2136">
        <v>4022081.8883000002</v>
      </c>
      <c r="P2136">
        <v>9</v>
      </c>
      <c r="Q2136" t="s">
        <v>4597</v>
      </c>
    </row>
    <row r="2137" spans="1:17" x14ac:dyDescent="0.3">
      <c r="A2137" t="s">
        <v>17</v>
      </c>
      <c r="B2137" t="str">
        <f>"900923"</f>
        <v>900923</v>
      </c>
      <c r="C2137" t="s">
        <v>4598</v>
      </c>
      <c r="G2137">
        <v>63989218.815200001</v>
      </c>
      <c r="H2137">
        <v>100308521.46170001</v>
      </c>
      <c r="I2137">
        <v>101921056.81649999</v>
      </c>
      <c r="J2137">
        <v>102104696.5176</v>
      </c>
      <c r="K2137">
        <v>111876192.8655</v>
      </c>
      <c r="L2137">
        <v>184970305.74880001</v>
      </c>
      <c r="M2137">
        <v>143246120.2128</v>
      </c>
      <c r="N2137">
        <v>148667382.95699999</v>
      </c>
      <c r="O2137">
        <v>158566818.03420001</v>
      </c>
      <c r="P2137">
        <v>26</v>
      </c>
      <c r="Q2137" t="s">
        <v>4599</v>
      </c>
    </row>
    <row r="2138" spans="1:17" x14ac:dyDescent="0.3">
      <c r="A2138" t="s">
        <v>17</v>
      </c>
      <c r="B2138" t="str">
        <f>"900924"</f>
        <v>900924</v>
      </c>
      <c r="C2138" t="s">
        <v>4600</v>
      </c>
      <c r="G2138">
        <v>5971148.0573000005</v>
      </c>
      <c r="H2138">
        <v>11353628.0089</v>
      </c>
      <c r="I2138">
        <v>19644866.412</v>
      </c>
      <c r="J2138">
        <v>28461530.326200001</v>
      </c>
      <c r="K2138">
        <v>23577734.8741</v>
      </c>
      <c r="L2138">
        <v>24236348.593600001</v>
      </c>
      <c r="M2138">
        <v>10063398.366</v>
      </c>
      <c r="N2138">
        <v>7118319.6912000002</v>
      </c>
      <c r="O2138">
        <v>5913202.8779999996</v>
      </c>
      <c r="P2138">
        <v>11</v>
      </c>
      <c r="Q2138" t="s">
        <v>4601</v>
      </c>
    </row>
    <row r="2139" spans="1:17" x14ac:dyDescent="0.3">
      <c r="A2139" t="s">
        <v>17</v>
      </c>
      <c r="B2139" t="str">
        <f>"900925"</f>
        <v>900925</v>
      </c>
      <c r="C2139" t="s">
        <v>4602</v>
      </c>
      <c r="G2139">
        <v>134849015.9677</v>
      </c>
      <c r="H2139">
        <v>120488342.8204</v>
      </c>
      <c r="I2139">
        <v>150222415.94850001</v>
      </c>
      <c r="J2139">
        <v>156968135.0138</v>
      </c>
      <c r="K2139">
        <v>171314395.46250001</v>
      </c>
      <c r="L2139">
        <v>254672746.85710001</v>
      </c>
      <c r="M2139">
        <v>120803724.74160001</v>
      </c>
      <c r="N2139">
        <v>101681565.5702</v>
      </c>
      <c r="O2139">
        <v>93900274.764300004</v>
      </c>
      <c r="P2139">
        <v>83</v>
      </c>
      <c r="Q2139" t="s">
        <v>4603</v>
      </c>
    </row>
    <row r="2140" spans="1:17" x14ac:dyDescent="0.3">
      <c r="A2140" t="s">
        <v>17</v>
      </c>
      <c r="B2140" t="str">
        <f>"900926"</f>
        <v>900926</v>
      </c>
      <c r="C2140" t="s">
        <v>4604</v>
      </c>
      <c r="G2140">
        <v>142061231.53150001</v>
      </c>
      <c r="H2140">
        <v>85002036.720100001</v>
      </c>
      <c r="I2140">
        <v>75434107.175999999</v>
      </c>
      <c r="J2140">
        <v>48614926.840999998</v>
      </c>
      <c r="K2140">
        <v>38430111.684100002</v>
      </c>
      <c r="L2140">
        <v>35717397.644500002</v>
      </c>
      <c r="M2140">
        <v>33522520.1778</v>
      </c>
      <c r="N2140">
        <v>31518154.757599998</v>
      </c>
      <c r="O2140">
        <v>30859237.102400001</v>
      </c>
      <c r="P2140">
        <v>63</v>
      </c>
      <c r="Q2140" t="s">
        <v>4605</v>
      </c>
    </row>
    <row r="2141" spans="1:17" x14ac:dyDescent="0.3">
      <c r="A2141" t="s">
        <v>17</v>
      </c>
      <c r="B2141" t="str">
        <f>"900927"</f>
        <v>900927</v>
      </c>
      <c r="C2141" t="s">
        <v>4606</v>
      </c>
      <c r="G2141">
        <v>5925305.0998</v>
      </c>
      <c r="H2141">
        <v>6758869.3652999997</v>
      </c>
      <c r="I2141">
        <v>5932971.5834999997</v>
      </c>
      <c r="J2141">
        <v>3472989.8872000002</v>
      </c>
      <c r="K2141">
        <v>2487105.4235999999</v>
      </c>
      <c r="L2141">
        <v>-97156402.571799994</v>
      </c>
      <c r="M2141">
        <v>70993.123200000002</v>
      </c>
      <c r="N2141">
        <v>-3116436.696</v>
      </c>
      <c r="O2141">
        <v>-14694222.5537</v>
      </c>
      <c r="P2141">
        <v>5</v>
      </c>
      <c r="Q2141" t="s">
        <v>4607</v>
      </c>
    </row>
    <row r="2142" spans="1:17" x14ac:dyDescent="0.3">
      <c r="A2142" t="s">
        <v>17</v>
      </c>
      <c r="B2142" t="str">
        <f>"900928"</f>
        <v>900928</v>
      </c>
      <c r="C2142" t="s">
        <v>4608</v>
      </c>
      <c r="G2142">
        <v>178434109.01120001</v>
      </c>
      <c r="H2142">
        <v>168339000.00850001</v>
      </c>
      <c r="I2142">
        <v>49242380.090999998</v>
      </c>
      <c r="J2142">
        <v>44047018.156000003</v>
      </c>
      <c r="K2142">
        <v>23299177.952599999</v>
      </c>
      <c r="L2142">
        <v>17718977.175900001</v>
      </c>
      <c r="M2142">
        <v>-735999.79319999996</v>
      </c>
      <c r="N2142">
        <v>903889.09380000003</v>
      </c>
      <c r="O2142">
        <v>866430.28020000004</v>
      </c>
      <c r="P2142">
        <v>14</v>
      </c>
      <c r="Q2142" t="s">
        <v>4609</v>
      </c>
    </row>
    <row r="2143" spans="1:17" x14ac:dyDescent="0.3">
      <c r="A2143" t="s">
        <v>17</v>
      </c>
      <c r="B2143" t="str">
        <f>"900929"</f>
        <v>900929</v>
      </c>
      <c r="C2143" t="s">
        <v>4610</v>
      </c>
      <c r="F2143">
        <v>755801.28720000002</v>
      </c>
      <c r="G2143">
        <v>1896052.7298000001</v>
      </c>
      <c r="H2143">
        <v>7738697.6277000001</v>
      </c>
      <c r="I2143">
        <v>8030369.5065000001</v>
      </c>
      <c r="J2143">
        <v>7846741.7911999999</v>
      </c>
      <c r="K2143">
        <v>7820817.9930999996</v>
      </c>
      <c r="L2143">
        <v>8177578.2231000001</v>
      </c>
      <c r="M2143">
        <v>9322716.0122999996</v>
      </c>
      <c r="N2143">
        <v>9444621.9616</v>
      </c>
      <c r="O2143">
        <v>4525547.3152000001</v>
      </c>
      <c r="P2143">
        <v>11</v>
      </c>
      <c r="Q2143" t="s">
        <v>4611</v>
      </c>
    </row>
    <row r="2144" spans="1:17" x14ac:dyDescent="0.3">
      <c r="A2144" t="s">
        <v>17</v>
      </c>
      <c r="B2144" t="str">
        <f>"900930"</f>
        <v>900930</v>
      </c>
      <c r="C2144" t="s">
        <v>4612</v>
      </c>
      <c r="H2144">
        <v>-14946544.985200001</v>
      </c>
      <c r="I2144">
        <v>-16154660.863500001</v>
      </c>
      <c r="J2144">
        <v>-26727547.177200001</v>
      </c>
      <c r="K2144">
        <v>-5788936.9841</v>
      </c>
      <c r="L2144">
        <v>-4441937.8596000001</v>
      </c>
      <c r="M2144">
        <v>-646333.97239999997</v>
      </c>
      <c r="N2144">
        <v>1503688.4476999999</v>
      </c>
      <c r="O2144">
        <v>844808.47560000001</v>
      </c>
      <c r="P2144">
        <v>1</v>
      </c>
      <c r="Q2144" t="s">
        <v>4613</v>
      </c>
    </row>
    <row r="2145" spans="1:17" x14ac:dyDescent="0.3">
      <c r="A2145" t="s">
        <v>17</v>
      </c>
      <c r="B2145" t="str">
        <f>"900931"</f>
        <v>900931</v>
      </c>
      <c r="C2145" t="s">
        <v>4614</v>
      </c>
      <c r="K2145">
        <v>-101438.63559999999</v>
      </c>
      <c r="L2145">
        <v>246054.2819</v>
      </c>
      <c r="M2145">
        <v>1626319.2378</v>
      </c>
      <c r="N2145">
        <v>-84264.116899999994</v>
      </c>
      <c r="O2145">
        <v>-62067.256699999998</v>
      </c>
      <c r="P2145">
        <v>1</v>
      </c>
      <c r="Q2145" t="s">
        <v>4615</v>
      </c>
    </row>
    <row r="2146" spans="1:17" x14ac:dyDescent="0.3">
      <c r="A2146" t="s">
        <v>17</v>
      </c>
      <c r="B2146" t="str">
        <f>"900932"</f>
        <v>900932</v>
      </c>
      <c r="C2146" t="s">
        <v>4616</v>
      </c>
      <c r="G2146">
        <v>336264180.52859998</v>
      </c>
      <c r="H2146">
        <v>349018733.1868</v>
      </c>
      <c r="I2146">
        <v>312712002.66299999</v>
      </c>
      <c r="J2146">
        <v>219815123.46919999</v>
      </c>
      <c r="K2146">
        <v>202697439.07609999</v>
      </c>
      <c r="L2146">
        <v>177257681.1577</v>
      </c>
      <c r="M2146">
        <v>160733959.42500001</v>
      </c>
      <c r="N2146">
        <v>176887302.99559999</v>
      </c>
      <c r="O2146">
        <v>102736885.09370001</v>
      </c>
      <c r="P2146">
        <v>138</v>
      </c>
      <c r="Q2146" t="s">
        <v>4617</v>
      </c>
    </row>
    <row r="2147" spans="1:17" x14ac:dyDescent="0.3">
      <c r="A2147" t="s">
        <v>17</v>
      </c>
      <c r="B2147" t="str">
        <f>"900933"</f>
        <v>900933</v>
      </c>
      <c r="C2147" t="s">
        <v>4618</v>
      </c>
      <c r="G2147">
        <v>590462200.05139995</v>
      </c>
      <c r="H2147">
        <v>677660580.89559996</v>
      </c>
      <c r="I2147">
        <v>496356451.73400003</v>
      </c>
      <c r="J2147">
        <v>157669193.664</v>
      </c>
      <c r="K2147">
        <v>24105025.6624</v>
      </c>
      <c r="L2147">
        <v>19589381.297200002</v>
      </c>
      <c r="M2147">
        <v>132756298.6797</v>
      </c>
      <c r="N2147">
        <v>91198787.427599996</v>
      </c>
      <c r="O2147">
        <v>38476062.892899998</v>
      </c>
      <c r="P2147">
        <v>142</v>
      </c>
      <c r="Q2147" t="s">
        <v>4619</v>
      </c>
    </row>
    <row r="2148" spans="1:17" x14ac:dyDescent="0.3">
      <c r="A2148" t="s">
        <v>17</v>
      </c>
      <c r="B2148" t="str">
        <f>"900934"</f>
        <v>900934</v>
      </c>
      <c r="C2148" t="s">
        <v>4620</v>
      </c>
      <c r="G2148">
        <v>44144545.7936</v>
      </c>
      <c r="H2148">
        <v>122165448.9112</v>
      </c>
      <c r="I2148">
        <v>126863227.2825</v>
      </c>
      <c r="J2148">
        <v>106900359.92120001</v>
      </c>
      <c r="K2148">
        <v>75799271.941</v>
      </c>
      <c r="L2148">
        <v>72962498.709099993</v>
      </c>
      <c r="M2148">
        <v>55236295.877400003</v>
      </c>
      <c r="N2148">
        <v>54313604.439999998</v>
      </c>
      <c r="O2148">
        <v>52263878.5867</v>
      </c>
      <c r="P2148">
        <v>47</v>
      </c>
      <c r="Q2148" t="s">
        <v>4621</v>
      </c>
    </row>
    <row r="2149" spans="1:17" x14ac:dyDescent="0.3">
      <c r="A2149" t="s">
        <v>17</v>
      </c>
      <c r="B2149" t="str">
        <f>"900935"</f>
        <v>900935</v>
      </c>
      <c r="C2149" t="s">
        <v>4622</v>
      </c>
      <c r="K2149">
        <v>3037870.5594000001</v>
      </c>
      <c r="L2149">
        <v>2993871.6213000002</v>
      </c>
      <c r="M2149">
        <v>2784402.5584</v>
      </c>
      <c r="N2149">
        <v>1906253.1486</v>
      </c>
      <c r="O2149">
        <v>2980177.3542999998</v>
      </c>
      <c r="P2149">
        <v>1</v>
      </c>
      <c r="Q2149" t="s">
        <v>4623</v>
      </c>
    </row>
    <row r="2150" spans="1:17" x14ac:dyDescent="0.3">
      <c r="A2150" t="s">
        <v>17</v>
      </c>
      <c r="B2150" t="str">
        <f>"900936"</f>
        <v>900936</v>
      </c>
      <c r="C2150" t="s">
        <v>4624</v>
      </c>
      <c r="G2150">
        <v>139989474.11899999</v>
      </c>
      <c r="H2150">
        <v>136287194.83970001</v>
      </c>
      <c r="I2150">
        <v>72480351.542999998</v>
      </c>
      <c r="J2150">
        <v>54438589.5352</v>
      </c>
      <c r="K2150">
        <v>27263873.7588</v>
      </c>
      <c r="L2150">
        <v>27200859.471500002</v>
      </c>
      <c r="M2150">
        <v>43146494.9793</v>
      </c>
      <c r="N2150">
        <v>67956882.5396</v>
      </c>
      <c r="O2150">
        <v>64395010.481899999</v>
      </c>
      <c r="P2150">
        <v>53</v>
      </c>
      <c r="Q2150" t="s">
        <v>4625</v>
      </c>
    </row>
    <row r="2151" spans="1:17" x14ac:dyDescent="0.3">
      <c r="A2151" t="s">
        <v>17</v>
      </c>
      <c r="B2151" t="str">
        <f>"900937"</f>
        <v>900937</v>
      </c>
      <c r="C2151" t="s">
        <v>4626</v>
      </c>
      <c r="G2151">
        <v>-96451923.197300002</v>
      </c>
      <c r="H2151">
        <v>-29673563.786899999</v>
      </c>
      <c r="I2151">
        <v>-76140575.442000002</v>
      </c>
      <c r="J2151">
        <v>-59640511.645800002</v>
      </c>
      <c r="K2151">
        <v>38140977.0691</v>
      </c>
      <c r="L2151">
        <v>24640558.3138</v>
      </c>
      <c r="M2151">
        <v>31100256.4734</v>
      </c>
      <c r="N2151">
        <v>-28788319.030200001</v>
      </c>
      <c r="O2151">
        <v>-46204666.615800001</v>
      </c>
      <c r="P2151">
        <v>10</v>
      </c>
      <c r="Q2151" t="s">
        <v>4627</v>
      </c>
    </row>
    <row r="2152" spans="1:17" x14ac:dyDescent="0.3">
      <c r="A2152" t="s">
        <v>17</v>
      </c>
      <c r="B2152" t="str">
        <f>"900938"</f>
        <v>900938</v>
      </c>
      <c r="C2152" t="s">
        <v>4628</v>
      </c>
      <c r="G2152">
        <v>67298556.640000001</v>
      </c>
      <c r="H2152">
        <v>38590575.600000001</v>
      </c>
      <c r="I2152">
        <v>6346273.5</v>
      </c>
      <c r="J2152">
        <v>18203338.800000001</v>
      </c>
      <c r="K2152">
        <v>32225637.9593</v>
      </c>
      <c r="L2152">
        <v>22427072.1961</v>
      </c>
      <c r="M2152">
        <v>578465.23049999995</v>
      </c>
      <c r="N2152">
        <v>-9033345.6322000008</v>
      </c>
      <c r="O2152">
        <v>-3234401.0169000002</v>
      </c>
      <c r="P2152">
        <v>12</v>
      </c>
      <c r="Q2152" t="s">
        <v>4629</v>
      </c>
    </row>
    <row r="2153" spans="1:17" x14ac:dyDescent="0.3">
      <c r="A2153" t="s">
        <v>17</v>
      </c>
      <c r="B2153" t="str">
        <f>"900939"</f>
        <v>900939</v>
      </c>
      <c r="C2153" t="s">
        <v>4630</v>
      </c>
      <c r="F2153">
        <v>1199172.1954000001</v>
      </c>
      <c r="G2153">
        <v>1926795.5582000001</v>
      </c>
      <c r="H2153">
        <v>646786.51939999999</v>
      </c>
      <c r="I2153">
        <v>74590.865999999995</v>
      </c>
      <c r="J2153">
        <v>458585.68339999998</v>
      </c>
      <c r="K2153">
        <v>1083561.2938999999</v>
      </c>
      <c r="L2153">
        <v>668211.65839999996</v>
      </c>
      <c r="M2153">
        <v>160138.19339999999</v>
      </c>
      <c r="N2153">
        <v>-42103.441400000003</v>
      </c>
      <c r="O2153">
        <v>617350.63879999996</v>
      </c>
      <c r="P2153">
        <v>7</v>
      </c>
      <c r="Q2153" t="s">
        <v>4631</v>
      </c>
    </row>
    <row r="2154" spans="1:17" x14ac:dyDescent="0.3">
      <c r="A2154" t="s">
        <v>17</v>
      </c>
      <c r="B2154" t="str">
        <f>"900940"</f>
        <v>900940</v>
      </c>
      <c r="C2154" t="s">
        <v>4632</v>
      </c>
      <c r="G2154">
        <v>47859485.776500002</v>
      </c>
      <c r="H2154">
        <v>64615080.960299999</v>
      </c>
      <c r="I2154">
        <v>8094415.6964999996</v>
      </c>
      <c r="J2154">
        <v>98675302.330599993</v>
      </c>
      <c r="K2154">
        <v>119135742.68700001</v>
      </c>
      <c r="L2154">
        <v>43043644.043399997</v>
      </c>
      <c r="M2154">
        <v>8979074.0639999993</v>
      </c>
      <c r="N2154">
        <v>36031941.031000003</v>
      </c>
      <c r="O2154">
        <v>15309021.069399999</v>
      </c>
      <c r="P2154">
        <v>15</v>
      </c>
      <c r="Q2154" t="s">
        <v>4633</v>
      </c>
    </row>
    <row r="2155" spans="1:17" x14ac:dyDescent="0.3">
      <c r="A2155" t="s">
        <v>17</v>
      </c>
      <c r="B2155" t="str">
        <f>"900941"</f>
        <v>900941</v>
      </c>
      <c r="C2155" t="s">
        <v>4634</v>
      </c>
      <c r="G2155">
        <v>6897916.6749</v>
      </c>
      <c r="H2155">
        <v>7526225.0623000003</v>
      </c>
      <c r="I2155">
        <v>11160094.149</v>
      </c>
      <c r="J2155">
        <v>10365959.5756</v>
      </c>
      <c r="K2155">
        <v>10094168.7149</v>
      </c>
      <c r="L2155">
        <v>15418214.2543</v>
      </c>
      <c r="M2155">
        <v>15943426.5033</v>
      </c>
      <c r="N2155">
        <v>16005790.4636</v>
      </c>
      <c r="O2155">
        <v>14921976.749299999</v>
      </c>
      <c r="P2155">
        <v>8</v>
      </c>
      <c r="Q2155" t="s">
        <v>4635</v>
      </c>
    </row>
    <row r="2156" spans="1:17" x14ac:dyDescent="0.3">
      <c r="A2156" t="s">
        <v>17</v>
      </c>
      <c r="B2156" t="str">
        <f>"900942"</f>
        <v>900942</v>
      </c>
      <c r="C2156" t="s">
        <v>4636</v>
      </c>
      <c r="G2156">
        <v>-7033160.6765999999</v>
      </c>
      <c r="H2156">
        <v>47005912.588399999</v>
      </c>
      <c r="I2156">
        <v>61233521.206500001</v>
      </c>
      <c r="J2156">
        <v>51413941.841600001</v>
      </c>
      <c r="K2156">
        <v>48882066.365900002</v>
      </c>
      <c r="L2156">
        <v>45976074.3728</v>
      </c>
      <c r="M2156">
        <v>34785921.427199997</v>
      </c>
      <c r="N2156">
        <v>24921098.877</v>
      </c>
      <c r="O2156">
        <v>41506524.5977</v>
      </c>
      <c r="P2156">
        <v>55</v>
      </c>
      <c r="Q2156" t="s">
        <v>4637</v>
      </c>
    </row>
    <row r="2157" spans="1:17" x14ac:dyDescent="0.3">
      <c r="A2157" t="s">
        <v>17</v>
      </c>
      <c r="B2157" t="str">
        <f>"900943"</f>
        <v>900943</v>
      </c>
      <c r="C2157" t="s">
        <v>4638</v>
      </c>
      <c r="G2157">
        <v>805035.03359999997</v>
      </c>
      <c r="H2157">
        <v>1984718.3507000001</v>
      </c>
      <c r="I2157">
        <v>3890912.9849999999</v>
      </c>
      <c r="J2157">
        <v>3017272.2727999999</v>
      </c>
      <c r="K2157">
        <v>2130219.7560999999</v>
      </c>
      <c r="L2157">
        <v>2808621.2297</v>
      </c>
      <c r="M2157">
        <v>7127712.4688999997</v>
      </c>
      <c r="N2157">
        <v>2292772.1002000002</v>
      </c>
      <c r="O2157">
        <v>9603073.4657000005</v>
      </c>
      <c r="P2157">
        <v>3</v>
      </c>
      <c r="Q2157" t="s">
        <v>4639</v>
      </c>
    </row>
    <row r="2158" spans="1:17" x14ac:dyDescent="0.3">
      <c r="A2158" t="s">
        <v>17</v>
      </c>
      <c r="B2158" t="str">
        <f>"900945"</f>
        <v>900945</v>
      </c>
      <c r="C2158" t="s">
        <v>4640</v>
      </c>
      <c r="G2158">
        <v>-2292817502.0799999</v>
      </c>
      <c r="H2158">
        <v>85596695.799999997</v>
      </c>
      <c r="I2158">
        <v>106066153.5</v>
      </c>
      <c r="J2158">
        <v>414216152.80000001</v>
      </c>
      <c r="K2158">
        <v>510152871.19999999</v>
      </c>
      <c r="L2158">
        <v>391645382.69999999</v>
      </c>
      <c r="M2158">
        <v>307530439.19999999</v>
      </c>
      <c r="N2158">
        <v>356851057.39999998</v>
      </c>
      <c r="O2158">
        <v>270525366.80000001</v>
      </c>
      <c r="P2158">
        <v>7</v>
      </c>
      <c r="Q2158" t="s">
        <v>4641</v>
      </c>
    </row>
    <row r="2159" spans="1:17" x14ac:dyDescent="0.3">
      <c r="A2159" t="s">
        <v>17</v>
      </c>
      <c r="B2159" t="str">
        <f>"900946"</f>
        <v>900946</v>
      </c>
      <c r="C2159" t="s">
        <v>4642</v>
      </c>
      <c r="G2159">
        <v>500673.4902</v>
      </c>
      <c r="H2159">
        <v>162822.7549</v>
      </c>
      <c r="I2159">
        <v>-336173.67599999998</v>
      </c>
      <c r="J2159">
        <v>-1406413.7714</v>
      </c>
      <c r="K2159">
        <v>1181775.6240000001</v>
      </c>
      <c r="L2159">
        <v>267645.16350000002</v>
      </c>
      <c r="M2159">
        <v>3526404.7914</v>
      </c>
      <c r="N2159">
        <v>6563096.4585999995</v>
      </c>
      <c r="O2159">
        <v>5908082.8809000002</v>
      </c>
      <c r="P2159">
        <v>3</v>
      </c>
      <c r="Q2159" t="s">
        <v>4643</v>
      </c>
    </row>
    <row r="2160" spans="1:17" x14ac:dyDescent="0.3">
      <c r="A2160" t="s">
        <v>17</v>
      </c>
      <c r="B2160" t="str">
        <f>"900947"</f>
        <v>900947</v>
      </c>
      <c r="C2160" t="s">
        <v>4644</v>
      </c>
      <c r="G2160">
        <v>28189069.8981</v>
      </c>
      <c r="H2160">
        <v>34028116.928499997</v>
      </c>
      <c r="I2160">
        <v>28362303.068999998</v>
      </c>
      <c r="J2160">
        <v>25680963.190000001</v>
      </c>
      <c r="K2160">
        <v>23319955.141899999</v>
      </c>
      <c r="L2160">
        <v>25878381.743500002</v>
      </c>
      <c r="M2160">
        <v>13120763.069700001</v>
      </c>
      <c r="N2160">
        <v>9007280.3910000008</v>
      </c>
      <c r="O2160">
        <v>-102589057.6469</v>
      </c>
      <c r="P2160">
        <v>18</v>
      </c>
      <c r="Q2160" t="s">
        <v>4645</v>
      </c>
    </row>
    <row r="2161" spans="1:17" x14ac:dyDescent="0.3">
      <c r="A2161" t="s">
        <v>17</v>
      </c>
      <c r="B2161" t="str">
        <f>"900948"</f>
        <v>900948</v>
      </c>
      <c r="C2161" t="s">
        <v>4646</v>
      </c>
      <c r="F2161">
        <v>770486758.80149996</v>
      </c>
      <c r="G2161">
        <v>137544867.7344</v>
      </c>
      <c r="H2161">
        <v>400712681.20490003</v>
      </c>
      <c r="I2161">
        <v>567259408.82249999</v>
      </c>
      <c r="J2161">
        <v>566133155.9892</v>
      </c>
      <c r="K2161">
        <v>128061498.6134</v>
      </c>
      <c r="L2161">
        <v>62266769.436300002</v>
      </c>
      <c r="M2161">
        <v>312270384.48299998</v>
      </c>
      <c r="N2161">
        <v>499984928.6056</v>
      </c>
      <c r="O2161">
        <v>927235146.04250002</v>
      </c>
      <c r="P2161">
        <v>225</v>
      </c>
      <c r="Q2161" t="s">
        <v>4647</v>
      </c>
    </row>
    <row r="2162" spans="1:17" x14ac:dyDescent="0.3">
      <c r="A2162" t="s">
        <v>17</v>
      </c>
      <c r="B2162" t="str">
        <f>"900949"</f>
        <v>900949</v>
      </c>
      <c r="C2162" t="s">
        <v>4648</v>
      </c>
      <c r="N2162">
        <v>169207850.34639999</v>
      </c>
      <c r="O2162">
        <v>118832394.5641</v>
      </c>
      <c r="P2162">
        <v>2</v>
      </c>
      <c r="Q2162" t="s">
        <v>4649</v>
      </c>
    </row>
    <row r="2163" spans="1:17" x14ac:dyDescent="0.3">
      <c r="A2163" t="s">
        <v>17</v>
      </c>
      <c r="B2163" t="str">
        <f>"900950"</f>
        <v>900950</v>
      </c>
      <c r="C2163" t="s">
        <v>4650</v>
      </c>
      <c r="L2163">
        <v>138917303.07480001</v>
      </c>
      <c r="M2163">
        <v>26067431.920200001</v>
      </c>
      <c r="N2163">
        <v>91934307.528999999</v>
      </c>
      <c r="O2163">
        <v>95703339.260900006</v>
      </c>
      <c r="P2163">
        <v>7</v>
      </c>
      <c r="Q2163" t="s">
        <v>4651</v>
      </c>
    </row>
    <row r="2164" spans="1:17" x14ac:dyDescent="0.3">
      <c r="A2164" t="s">
        <v>17</v>
      </c>
      <c r="B2164" t="str">
        <f>"900951"</f>
        <v>900951</v>
      </c>
      <c r="C2164" t="s">
        <v>4652</v>
      </c>
      <c r="H2164">
        <v>-14398868.2425</v>
      </c>
      <c r="I2164">
        <v>-11385459.390000001</v>
      </c>
      <c r="J2164">
        <v>3880850.4772000001</v>
      </c>
      <c r="K2164">
        <v>-5191302.4848999996</v>
      </c>
      <c r="L2164">
        <v>-3081984.2655000002</v>
      </c>
      <c r="M2164">
        <v>-6310471.0069000004</v>
      </c>
      <c r="N2164">
        <v>-18405766.8169</v>
      </c>
      <c r="O2164">
        <v>-4348763.0939999996</v>
      </c>
      <c r="P2164">
        <v>2</v>
      </c>
      <c r="Q2164" t="s">
        <v>4653</v>
      </c>
    </row>
    <row r="2165" spans="1:17" x14ac:dyDescent="0.3">
      <c r="A2165" t="s">
        <v>17</v>
      </c>
      <c r="B2165" t="str">
        <f>"900952"</f>
        <v>900952</v>
      </c>
      <c r="C2165" t="s">
        <v>4654</v>
      </c>
      <c r="G2165">
        <v>22636885.936000001</v>
      </c>
      <c r="H2165">
        <v>20765908.206</v>
      </c>
      <c r="I2165">
        <v>16710282.441</v>
      </c>
      <c r="J2165">
        <v>12836250.460999999</v>
      </c>
      <c r="K2165">
        <v>5996956.8117000004</v>
      </c>
      <c r="L2165">
        <v>19131907.594799999</v>
      </c>
      <c r="M2165">
        <v>25500712.488299999</v>
      </c>
      <c r="N2165">
        <v>23435866.407000002</v>
      </c>
      <c r="O2165">
        <v>19344401.013</v>
      </c>
      <c r="P2165">
        <v>8</v>
      </c>
      <c r="Q2165" t="s">
        <v>4655</v>
      </c>
    </row>
    <row r="2166" spans="1:17" x14ac:dyDescent="0.3">
      <c r="A2166" t="s">
        <v>17</v>
      </c>
      <c r="B2166" t="str">
        <f>"900953"</f>
        <v>900953</v>
      </c>
      <c r="C2166" t="s">
        <v>4656</v>
      </c>
      <c r="F2166">
        <v>-11939975.024599999</v>
      </c>
      <c r="G2166">
        <v>-6283080.7927999999</v>
      </c>
      <c r="H2166">
        <v>-4162863.7004999998</v>
      </c>
      <c r="I2166">
        <v>-6027118.6679999996</v>
      </c>
      <c r="J2166">
        <v>359782.47120000003</v>
      </c>
      <c r="K2166">
        <v>-5685287.5798000004</v>
      </c>
      <c r="L2166">
        <v>475233.97350000002</v>
      </c>
      <c r="M2166">
        <v>-4688721.3779999996</v>
      </c>
      <c r="N2166">
        <v>317915.77860000002</v>
      </c>
      <c r="O2166">
        <v>653051.40599999996</v>
      </c>
      <c r="P2166">
        <v>6</v>
      </c>
      <c r="Q2166" t="s">
        <v>4657</v>
      </c>
    </row>
    <row r="2167" spans="1:17" x14ac:dyDescent="0.3">
      <c r="A2167" t="s">
        <v>17</v>
      </c>
      <c r="B2167" t="str">
        <f>"900955"</f>
        <v>900955</v>
      </c>
      <c r="C2167" t="s">
        <v>4658</v>
      </c>
      <c r="G2167">
        <v>5434810.8964999998</v>
      </c>
      <c r="H2167">
        <v>-6926443.6837999998</v>
      </c>
      <c r="I2167">
        <v>-548485.38450000004</v>
      </c>
      <c r="J2167">
        <v>-26502894.689399999</v>
      </c>
      <c r="K2167">
        <v>-3444817.423</v>
      </c>
      <c r="L2167">
        <v>2129054.8708000001</v>
      </c>
      <c r="M2167">
        <v>2002930.2711</v>
      </c>
      <c r="N2167">
        <v>-7364506.4645999996</v>
      </c>
      <c r="O2167">
        <v>455700.42489999998</v>
      </c>
      <c r="P2167">
        <v>4</v>
      </c>
      <c r="Q2167" t="s">
        <v>4659</v>
      </c>
    </row>
    <row r="2168" spans="1:17" x14ac:dyDescent="0.3">
      <c r="A2168" t="s">
        <v>17</v>
      </c>
      <c r="B2168" t="str">
        <f>"900956"</f>
        <v>900956</v>
      </c>
      <c r="C2168" t="s">
        <v>4660</v>
      </c>
      <c r="G2168">
        <v>14238030.116800001</v>
      </c>
      <c r="H2168">
        <v>12663365.2336</v>
      </c>
      <c r="I2168">
        <v>10025909.136</v>
      </c>
      <c r="J2168">
        <v>8322818.5650000004</v>
      </c>
      <c r="K2168">
        <v>8069366.9791999999</v>
      </c>
      <c r="L2168">
        <v>8297372.6288000001</v>
      </c>
      <c r="M2168">
        <v>8383704.5734000001</v>
      </c>
      <c r="N2168">
        <v>8451001.8819999993</v>
      </c>
      <c r="O2168">
        <v>6417928.3085000003</v>
      </c>
      <c r="P2168">
        <v>10</v>
      </c>
      <c r="Q2168" t="s">
        <v>4661</v>
      </c>
    </row>
    <row r="2169" spans="1:17" x14ac:dyDescent="0.3">
      <c r="A2169" t="s">
        <v>17</v>
      </c>
      <c r="B2169" t="str">
        <f>"900957"</f>
        <v>900957</v>
      </c>
      <c r="C2169" t="s">
        <v>4662</v>
      </c>
      <c r="F2169">
        <v>3243111.43</v>
      </c>
      <c r="G2169">
        <v>2462882.5614</v>
      </c>
      <c r="H2169">
        <v>2257072.7327999999</v>
      </c>
      <c r="I2169">
        <v>2804793.7514999998</v>
      </c>
      <c r="J2169">
        <v>2738451.9574000002</v>
      </c>
      <c r="K2169">
        <v>320148.02559999999</v>
      </c>
      <c r="L2169">
        <v>612283.32880000002</v>
      </c>
      <c r="M2169">
        <v>835845.43859999999</v>
      </c>
      <c r="N2169">
        <v>816925.32620000001</v>
      </c>
      <c r="O2169">
        <v>1219303.2614</v>
      </c>
      <c r="P2169">
        <v>2</v>
      </c>
      <c r="Q2169" t="s">
        <v>4663</v>
      </c>
    </row>
    <row r="2170" spans="1:17" x14ac:dyDescent="0.3">
      <c r="A2170" t="s">
        <v>4664</v>
      </c>
      <c r="B2170" t="str">
        <f>"000001"</f>
        <v>000001</v>
      </c>
      <c r="C2170" t="s">
        <v>4665</v>
      </c>
      <c r="D2170" t="s">
        <v>19</v>
      </c>
      <c r="F2170">
        <v>29135000000</v>
      </c>
      <c r="G2170">
        <v>22398000000</v>
      </c>
      <c r="H2170">
        <v>23621000000</v>
      </c>
      <c r="I2170">
        <v>20456000000</v>
      </c>
      <c r="J2170">
        <v>19153000000</v>
      </c>
      <c r="K2170">
        <v>18719000000</v>
      </c>
      <c r="L2170">
        <v>17740000000</v>
      </c>
      <c r="M2170">
        <v>15694000000</v>
      </c>
      <c r="N2170">
        <v>11696000000</v>
      </c>
      <c r="O2170">
        <v>10237894000</v>
      </c>
      <c r="P2170">
        <v>6180</v>
      </c>
      <c r="Q2170" t="s">
        <v>4666</v>
      </c>
    </row>
    <row r="2171" spans="1:17" x14ac:dyDescent="0.3">
      <c r="A2171" t="s">
        <v>4664</v>
      </c>
      <c r="B2171" t="str">
        <f>"000002"</f>
        <v>000002</v>
      </c>
      <c r="C2171" t="s">
        <v>4667</v>
      </c>
      <c r="D2171" t="s">
        <v>104</v>
      </c>
      <c r="F2171">
        <v>16688796292</v>
      </c>
      <c r="G2171">
        <v>19862827130</v>
      </c>
      <c r="H2171">
        <v>18240745065</v>
      </c>
      <c r="I2171">
        <v>13984559800</v>
      </c>
      <c r="J2171">
        <v>11091000885</v>
      </c>
      <c r="K2171">
        <v>8262381012</v>
      </c>
      <c r="L2171">
        <v>6854457908</v>
      </c>
      <c r="M2171">
        <v>6458133426</v>
      </c>
      <c r="N2171">
        <v>6160218881</v>
      </c>
      <c r="O2171">
        <v>5079887062</v>
      </c>
      <c r="P2171">
        <v>12436</v>
      </c>
      <c r="Q2171" t="s">
        <v>4668</v>
      </c>
    </row>
    <row r="2172" spans="1:17" x14ac:dyDescent="0.3">
      <c r="A2172" t="s">
        <v>4664</v>
      </c>
      <c r="B2172" t="str">
        <f>"000004"</f>
        <v>000004</v>
      </c>
      <c r="C2172" t="s">
        <v>4669</v>
      </c>
      <c r="D2172" t="s">
        <v>1189</v>
      </c>
      <c r="F2172">
        <v>33736617</v>
      </c>
      <c r="G2172">
        <v>57440874</v>
      </c>
      <c r="H2172">
        <v>-9941145</v>
      </c>
      <c r="I2172">
        <v>-2591750</v>
      </c>
      <c r="J2172">
        <v>-5434258</v>
      </c>
      <c r="K2172">
        <v>14698532</v>
      </c>
      <c r="L2172">
        <v>2376704</v>
      </c>
      <c r="M2172">
        <v>-5566810</v>
      </c>
      <c r="N2172">
        <v>888054</v>
      </c>
      <c r="O2172">
        <v>-419706</v>
      </c>
      <c r="P2172">
        <v>187</v>
      </c>
      <c r="Q2172" t="s">
        <v>4670</v>
      </c>
    </row>
    <row r="2173" spans="1:17" x14ac:dyDescent="0.3">
      <c r="A2173" t="s">
        <v>4664</v>
      </c>
      <c r="B2173" t="str">
        <f>"000005"</f>
        <v>000005</v>
      </c>
      <c r="C2173" t="s">
        <v>4671</v>
      </c>
      <c r="D2173" t="s">
        <v>3548</v>
      </c>
      <c r="F2173">
        <v>194252684</v>
      </c>
      <c r="G2173">
        <v>-27574392</v>
      </c>
      <c r="H2173">
        <v>44549969</v>
      </c>
      <c r="I2173">
        <v>6531952</v>
      </c>
      <c r="J2173">
        <v>-16213309</v>
      </c>
      <c r="K2173">
        <v>133769378</v>
      </c>
      <c r="L2173">
        <v>-29836022</v>
      </c>
      <c r="M2173">
        <v>-31948217</v>
      </c>
      <c r="N2173">
        <v>-29000089</v>
      </c>
      <c r="O2173">
        <v>-13387604</v>
      </c>
      <c r="P2173">
        <v>87</v>
      </c>
      <c r="Q2173" t="s">
        <v>4672</v>
      </c>
    </row>
    <row r="2174" spans="1:17" x14ac:dyDescent="0.3">
      <c r="A2174" t="s">
        <v>4664</v>
      </c>
      <c r="B2174" t="str">
        <f>"000006"</f>
        <v>000006</v>
      </c>
      <c r="C2174" t="s">
        <v>4673</v>
      </c>
      <c r="D2174" t="s">
        <v>104</v>
      </c>
      <c r="F2174">
        <v>562022994</v>
      </c>
      <c r="G2174">
        <v>510432355</v>
      </c>
      <c r="H2174">
        <v>451836067</v>
      </c>
      <c r="I2174">
        <v>503240093</v>
      </c>
      <c r="J2174">
        <v>339136813</v>
      </c>
      <c r="K2174">
        <v>114482863</v>
      </c>
      <c r="L2174">
        <v>276824443</v>
      </c>
      <c r="M2174">
        <v>239601134</v>
      </c>
      <c r="N2174">
        <v>359211188</v>
      </c>
      <c r="O2174">
        <v>340817145</v>
      </c>
      <c r="P2174">
        <v>424</v>
      </c>
      <c r="Q2174" t="s">
        <v>4674</v>
      </c>
    </row>
    <row r="2175" spans="1:17" x14ac:dyDescent="0.3">
      <c r="A2175" t="s">
        <v>4664</v>
      </c>
      <c r="B2175" t="str">
        <f>"000007"</f>
        <v>000007</v>
      </c>
      <c r="C2175" t="s">
        <v>4675</v>
      </c>
      <c r="D2175" t="s">
        <v>271</v>
      </c>
      <c r="F2175">
        <v>-2311959</v>
      </c>
      <c r="G2175">
        <v>-45516937</v>
      </c>
      <c r="H2175">
        <v>-9310041</v>
      </c>
      <c r="I2175">
        <v>-8660638</v>
      </c>
      <c r="J2175">
        <v>10327910</v>
      </c>
      <c r="K2175">
        <v>17387780</v>
      </c>
      <c r="L2175">
        <v>-11685449</v>
      </c>
      <c r="M2175">
        <v>-6707136</v>
      </c>
      <c r="N2175">
        <v>39241426</v>
      </c>
      <c r="O2175">
        <v>10844386</v>
      </c>
      <c r="P2175">
        <v>93</v>
      </c>
      <c r="Q2175" t="s">
        <v>4676</v>
      </c>
    </row>
    <row r="2176" spans="1:17" x14ac:dyDescent="0.3">
      <c r="A2176" t="s">
        <v>4664</v>
      </c>
      <c r="B2176" t="str">
        <f>"000008"</f>
        <v>000008</v>
      </c>
      <c r="C2176" t="s">
        <v>4677</v>
      </c>
      <c r="D2176" t="s">
        <v>1012</v>
      </c>
      <c r="F2176">
        <v>-98556630</v>
      </c>
      <c r="G2176">
        <v>-241726611</v>
      </c>
      <c r="H2176">
        <v>148428830</v>
      </c>
      <c r="I2176">
        <v>123560913</v>
      </c>
      <c r="J2176">
        <v>121924605</v>
      </c>
      <c r="K2176">
        <v>216897946</v>
      </c>
      <c r="L2176">
        <v>95814493</v>
      </c>
      <c r="M2176">
        <v>9774202</v>
      </c>
      <c r="N2176">
        <v>17024863</v>
      </c>
      <c r="O2176">
        <v>86159</v>
      </c>
      <c r="P2176">
        <v>301</v>
      </c>
      <c r="Q2176" t="s">
        <v>4678</v>
      </c>
    </row>
    <row r="2177" spans="1:17" x14ac:dyDescent="0.3">
      <c r="A2177" t="s">
        <v>4664</v>
      </c>
      <c r="B2177" t="str">
        <f>"000009"</f>
        <v>000009</v>
      </c>
      <c r="C2177" t="s">
        <v>4679</v>
      </c>
      <c r="D2177" t="s">
        <v>1786</v>
      </c>
      <c r="F2177">
        <v>892569119</v>
      </c>
      <c r="G2177">
        <v>521577261</v>
      </c>
      <c r="H2177">
        <v>200688170</v>
      </c>
      <c r="I2177">
        <v>98609086</v>
      </c>
      <c r="J2177">
        <v>180479012</v>
      </c>
      <c r="K2177">
        <v>210365463</v>
      </c>
      <c r="L2177">
        <v>679837093</v>
      </c>
      <c r="M2177">
        <v>260572338</v>
      </c>
      <c r="N2177">
        <v>310552057</v>
      </c>
      <c r="O2177">
        <v>58366861</v>
      </c>
      <c r="P2177">
        <v>468</v>
      </c>
      <c r="Q2177" t="s">
        <v>4680</v>
      </c>
    </row>
    <row r="2178" spans="1:17" x14ac:dyDescent="0.3">
      <c r="A2178" t="s">
        <v>4664</v>
      </c>
      <c r="B2178" t="str">
        <f>"000010"</f>
        <v>000010</v>
      </c>
      <c r="C2178" t="s">
        <v>4681</v>
      </c>
      <c r="D2178" t="s">
        <v>2408</v>
      </c>
      <c r="F2178">
        <v>21647194</v>
      </c>
      <c r="G2178">
        <v>26021626</v>
      </c>
      <c r="H2178">
        <v>43662971</v>
      </c>
      <c r="I2178">
        <v>-191965392</v>
      </c>
      <c r="J2178">
        <v>12686363</v>
      </c>
      <c r="K2178">
        <v>21946869</v>
      </c>
      <c r="L2178">
        <v>2765880</v>
      </c>
      <c r="M2178">
        <v>-13811596</v>
      </c>
      <c r="N2178">
        <v>8819962</v>
      </c>
      <c r="O2178">
        <v>-5583222</v>
      </c>
      <c r="P2178">
        <v>93</v>
      </c>
      <c r="Q2178" t="s">
        <v>4682</v>
      </c>
    </row>
    <row r="2179" spans="1:17" x14ac:dyDescent="0.3">
      <c r="A2179" t="s">
        <v>4664</v>
      </c>
      <c r="B2179" t="str">
        <f>"000011"</f>
        <v>000011</v>
      </c>
      <c r="C2179" t="s">
        <v>4683</v>
      </c>
      <c r="D2179" t="s">
        <v>104</v>
      </c>
      <c r="F2179">
        <v>774666320</v>
      </c>
      <c r="G2179">
        <v>192412552</v>
      </c>
      <c r="H2179">
        <v>103059588</v>
      </c>
      <c r="I2179">
        <v>144188691</v>
      </c>
      <c r="J2179">
        <v>576166647</v>
      </c>
      <c r="K2179">
        <v>-7202486</v>
      </c>
      <c r="L2179">
        <v>46455800</v>
      </c>
      <c r="M2179">
        <v>323125437</v>
      </c>
      <c r="N2179">
        <v>356260817</v>
      </c>
      <c r="O2179">
        <v>174644759</v>
      </c>
      <c r="P2179">
        <v>479</v>
      </c>
      <c r="Q2179" t="s">
        <v>4684</v>
      </c>
    </row>
    <row r="2180" spans="1:17" x14ac:dyDescent="0.3">
      <c r="A2180" t="s">
        <v>4664</v>
      </c>
      <c r="B2180" t="str">
        <f>"000012"</f>
        <v>000012</v>
      </c>
      <c r="C2180" t="s">
        <v>4685</v>
      </c>
      <c r="D2180" t="s">
        <v>666</v>
      </c>
      <c r="F2180">
        <v>1509830801</v>
      </c>
      <c r="G2180">
        <v>726820239</v>
      </c>
      <c r="H2180">
        <v>544313118</v>
      </c>
      <c r="I2180">
        <v>469116338</v>
      </c>
      <c r="J2180">
        <v>711011371</v>
      </c>
      <c r="K2180">
        <v>714899313</v>
      </c>
      <c r="L2180">
        <v>394069370</v>
      </c>
      <c r="M2180">
        <v>737288641</v>
      </c>
      <c r="N2180">
        <v>627652415</v>
      </c>
      <c r="O2180">
        <v>402770661</v>
      </c>
      <c r="P2180">
        <v>409</v>
      </c>
      <c r="Q2180" t="s">
        <v>4686</v>
      </c>
    </row>
    <row r="2181" spans="1:17" x14ac:dyDescent="0.3">
      <c r="A2181" t="s">
        <v>4664</v>
      </c>
      <c r="B2181" t="str">
        <f>"000014"</f>
        <v>000014</v>
      </c>
      <c r="C2181" t="s">
        <v>4687</v>
      </c>
      <c r="D2181" t="s">
        <v>104</v>
      </c>
      <c r="F2181">
        <v>-31155996</v>
      </c>
      <c r="G2181">
        <v>13831695</v>
      </c>
      <c r="H2181">
        <v>-11226668</v>
      </c>
      <c r="I2181">
        <v>2264617</v>
      </c>
      <c r="J2181">
        <v>4446834</v>
      </c>
      <c r="K2181">
        <v>-17536217</v>
      </c>
      <c r="L2181">
        <v>-989861</v>
      </c>
      <c r="M2181">
        <v>13315367</v>
      </c>
      <c r="N2181">
        <v>-10609124</v>
      </c>
      <c r="O2181">
        <v>-17511286</v>
      </c>
      <c r="P2181">
        <v>96</v>
      </c>
      <c r="Q2181" t="s">
        <v>4688</v>
      </c>
    </row>
    <row r="2182" spans="1:17" x14ac:dyDescent="0.3">
      <c r="A2182" t="s">
        <v>4664</v>
      </c>
      <c r="B2182" t="str">
        <f>"000015"</f>
        <v>000015</v>
      </c>
      <c r="C2182" t="s">
        <v>4689</v>
      </c>
      <c r="K2182">
        <v>18970191.210000001</v>
      </c>
      <c r="L2182">
        <v>-27024977.940000001</v>
      </c>
      <c r="M2182">
        <v>-28225621.91</v>
      </c>
      <c r="N2182">
        <v>-28267369.43</v>
      </c>
      <c r="O2182">
        <v>-28287372.73</v>
      </c>
      <c r="P2182">
        <v>13</v>
      </c>
      <c r="Q2182" t="s">
        <v>4690</v>
      </c>
    </row>
    <row r="2183" spans="1:17" x14ac:dyDescent="0.3">
      <c r="A2183" t="s">
        <v>4664</v>
      </c>
      <c r="B2183" t="str">
        <f>"000016"</f>
        <v>000016</v>
      </c>
      <c r="C2183" t="s">
        <v>4691</v>
      </c>
      <c r="D2183" t="s">
        <v>137</v>
      </c>
      <c r="F2183">
        <v>-126378340</v>
      </c>
      <c r="G2183">
        <v>615363687</v>
      </c>
      <c r="H2183">
        <v>450492688</v>
      </c>
      <c r="I2183">
        <v>429834689</v>
      </c>
      <c r="J2183">
        <v>128845749</v>
      </c>
      <c r="K2183">
        <v>-44330957</v>
      </c>
      <c r="L2183">
        <v>-852209548</v>
      </c>
      <c r="M2183">
        <v>47579255</v>
      </c>
      <c r="N2183">
        <v>41573654</v>
      </c>
      <c r="O2183">
        <v>16863080</v>
      </c>
      <c r="P2183">
        <v>266</v>
      </c>
      <c r="Q2183" t="s">
        <v>4692</v>
      </c>
    </row>
    <row r="2184" spans="1:17" x14ac:dyDescent="0.3">
      <c r="A2184" t="s">
        <v>4664</v>
      </c>
      <c r="B2184" t="str">
        <f>"000017"</f>
        <v>000017</v>
      </c>
      <c r="C2184" t="s">
        <v>4693</v>
      </c>
      <c r="D2184" t="s">
        <v>233</v>
      </c>
      <c r="F2184">
        <v>1941282</v>
      </c>
      <c r="G2184">
        <v>5263215</v>
      </c>
      <c r="H2184">
        <v>241204</v>
      </c>
      <c r="I2184">
        <v>1084676</v>
      </c>
      <c r="J2184">
        <v>-1363512</v>
      </c>
      <c r="K2184">
        <v>2080568</v>
      </c>
      <c r="L2184">
        <v>538107</v>
      </c>
      <c r="M2184">
        <v>3388112</v>
      </c>
      <c r="N2184">
        <v>-26963003</v>
      </c>
      <c r="O2184">
        <v>-48175317</v>
      </c>
      <c r="P2184">
        <v>64</v>
      </c>
      <c r="Q2184" t="s">
        <v>4694</v>
      </c>
    </row>
    <row r="2185" spans="1:17" x14ac:dyDescent="0.3">
      <c r="A2185" t="s">
        <v>4664</v>
      </c>
      <c r="B2185" t="str">
        <f>"000018"</f>
        <v>000018</v>
      </c>
      <c r="C2185" t="s">
        <v>4695</v>
      </c>
      <c r="H2185">
        <v>-1528580779</v>
      </c>
      <c r="I2185">
        <v>25482634</v>
      </c>
      <c r="J2185">
        <v>410460806</v>
      </c>
      <c r="K2185">
        <v>303165970</v>
      </c>
      <c r="L2185">
        <v>242528351</v>
      </c>
      <c r="M2185">
        <v>1173093</v>
      </c>
      <c r="N2185">
        <v>-531410</v>
      </c>
      <c r="O2185">
        <v>-6150254</v>
      </c>
      <c r="P2185">
        <v>99</v>
      </c>
      <c r="Q2185" t="s">
        <v>4696</v>
      </c>
    </row>
    <row r="2186" spans="1:17" x14ac:dyDescent="0.3">
      <c r="A2186" t="s">
        <v>4664</v>
      </c>
      <c r="B2186" t="str">
        <f>"000019"</f>
        <v>000019</v>
      </c>
      <c r="C2186" t="s">
        <v>4697</v>
      </c>
      <c r="D2186" t="s">
        <v>306</v>
      </c>
      <c r="F2186">
        <v>296948496</v>
      </c>
      <c r="G2186">
        <v>310443209</v>
      </c>
      <c r="H2186">
        <v>329387624</v>
      </c>
      <c r="I2186">
        <v>-29974223</v>
      </c>
      <c r="J2186">
        <v>-26388996</v>
      </c>
      <c r="K2186">
        <v>-27559013</v>
      </c>
      <c r="L2186">
        <v>-8230224</v>
      </c>
      <c r="M2186">
        <v>-33871126</v>
      </c>
      <c r="N2186">
        <v>54224164</v>
      </c>
      <c r="O2186">
        <v>85637225</v>
      </c>
      <c r="P2186">
        <v>176</v>
      </c>
      <c r="Q2186" t="s">
        <v>4698</v>
      </c>
    </row>
    <row r="2187" spans="1:17" x14ac:dyDescent="0.3">
      <c r="A2187" t="s">
        <v>4664</v>
      </c>
      <c r="B2187" t="str">
        <f>"000020"</f>
        <v>000020</v>
      </c>
      <c r="C2187" t="s">
        <v>4699</v>
      </c>
      <c r="D2187" t="s">
        <v>1117</v>
      </c>
      <c r="F2187">
        <v>8164210</v>
      </c>
      <c r="G2187">
        <v>4851086</v>
      </c>
      <c r="H2187">
        <v>3376694</v>
      </c>
      <c r="I2187">
        <v>497495</v>
      </c>
      <c r="J2187">
        <v>348389</v>
      </c>
      <c r="K2187">
        <v>4509369</v>
      </c>
      <c r="L2187">
        <v>19994553</v>
      </c>
      <c r="M2187">
        <v>990696</v>
      </c>
      <c r="N2187">
        <v>808083</v>
      </c>
      <c r="O2187">
        <v>6291595</v>
      </c>
      <c r="P2187">
        <v>75</v>
      </c>
      <c r="Q2187" t="s">
        <v>4700</v>
      </c>
    </row>
    <row r="2188" spans="1:17" x14ac:dyDescent="0.3">
      <c r="A2188" t="s">
        <v>4664</v>
      </c>
      <c r="B2188" t="str">
        <f>"000021"</f>
        <v>000021</v>
      </c>
      <c r="C2188" t="s">
        <v>4701</v>
      </c>
      <c r="D2188" t="s">
        <v>313</v>
      </c>
      <c r="F2188">
        <v>516874582</v>
      </c>
      <c r="G2188">
        <v>445907427</v>
      </c>
      <c r="H2188">
        <v>272421502</v>
      </c>
      <c r="I2188">
        <v>440835575</v>
      </c>
      <c r="J2188">
        <v>469006287</v>
      </c>
      <c r="K2188">
        <v>303533167</v>
      </c>
      <c r="L2188">
        <v>140333775</v>
      </c>
      <c r="M2188">
        <v>137158995</v>
      </c>
      <c r="N2188">
        <v>151671476</v>
      </c>
      <c r="O2188">
        <v>71165116</v>
      </c>
      <c r="P2188">
        <v>442</v>
      </c>
      <c r="Q2188" t="s">
        <v>4702</v>
      </c>
    </row>
    <row r="2189" spans="1:17" x14ac:dyDescent="0.3">
      <c r="A2189" t="s">
        <v>4664</v>
      </c>
      <c r="B2189" t="str">
        <f>"000022"</f>
        <v>000022</v>
      </c>
      <c r="C2189" t="s">
        <v>4703</v>
      </c>
      <c r="I2189">
        <v>453216946</v>
      </c>
      <c r="J2189">
        <v>440423392</v>
      </c>
      <c r="K2189">
        <v>427240244.39999998</v>
      </c>
      <c r="L2189">
        <v>417509806.14999998</v>
      </c>
      <c r="M2189">
        <v>366700553.87</v>
      </c>
      <c r="N2189">
        <v>446791244</v>
      </c>
      <c r="O2189">
        <v>366435050</v>
      </c>
      <c r="P2189">
        <v>83</v>
      </c>
      <c r="Q2189" t="s">
        <v>4704</v>
      </c>
    </row>
    <row r="2190" spans="1:17" x14ac:dyDescent="0.3">
      <c r="A2190" t="s">
        <v>4664</v>
      </c>
      <c r="B2190" t="str">
        <f>"000023"</f>
        <v>000023</v>
      </c>
      <c r="C2190" t="s">
        <v>4705</v>
      </c>
      <c r="D2190" t="s">
        <v>3071</v>
      </c>
      <c r="F2190">
        <v>-10686196</v>
      </c>
      <c r="G2190">
        <v>-3837953</v>
      </c>
      <c r="H2190">
        <v>54191936</v>
      </c>
      <c r="I2190">
        <v>10634823</v>
      </c>
      <c r="J2190">
        <v>33849158</v>
      </c>
      <c r="K2190">
        <v>8267796</v>
      </c>
      <c r="L2190">
        <v>27243412</v>
      </c>
      <c r="M2190">
        <v>16052107</v>
      </c>
      <c r="N2190">
        <v>13259541</v>
      </c>
      <c r="O2190">
        <v>-11209829</v>
      </c>
      <c r="P2190">
        <v>78</v>
      </c>
      <c r="Q2190" t="s">
        <v>4706</v>
      </c>
    </row>
    <row r="2191" spans="1:17" x14ac:dyDescent="0.3">
      <c r="A2191" t="s">
        <v>4664</v>
      </c>
      <c r="B2191" t="str">
        <f>"000024"</f>
        <v>000024</v>
      </c>
      <c r="C2191" t="s">
        <v>4707</v>
      </c>
      <c r="L2191">
        <v>2219006547.9400001</v>
      </c>
      <c r="M2191">
        <v>2240667651.8800001</v>
      </c>
      <c r="N2191">
        <v>3605229893.1900001</v>
      </c>
      <c r="O2191">
        <v>2418721516</v>
      </c>
      <c r="P2191">
        <v>36</v>
      </c>
      <c r="Q2191" t="s">
        <v>4708</v>
      </c>
    </row>
    <row r="2192" spans="1:17" x14ac:dyDescent="0.3">
      <c r="A2192" t="s">
        <v>4664</v>
      </c>
      <c r="B2192" t="str">
        <f>"000025"</f>
        <v>000025</v>
      </c>
      <c r="C2192" t="s">
        <v>4709</v>
      </c>
      <c r="D2192" t="s">
        <v>672</v>
      </c>
      <c r="F2192">
        <v>69985960</v>
      </c>
      <c r="G2192">
        <v>39637872</v>
      </c>
      <c r="H2192">
        <v>64041190</v>
      </c>
      <c r="I2192">
        <v>35840455</v>
      </c>
      <c r="J2192">
        <v>40604640</v>
      </c>
      <c r="K2192">
        <v>26215340</v>
      </c>
      <c r="L2192">
        <v>18695131</v>
      </c>
      <c r="M2192">
        <v>4157549</v>
      </c>
      <c r="N2192">
        <v>20275500</v>
      </c>
      <c r="O2192">
        <v>-7336869</v>
      </c>
      <c r="P2192">
        <v>140</v>
      </c>
      <c r="Q2192" t="s">
        <v>4710</v>
      </c>
    </row>
    <row r="2193" spans="1:17" x14ac:dyDescent="0.3">
      <c r="A2193" t="s">
        <v>4664</v>
      </c>
      <c r="B2193" t="str">
        <f>"000026"</f>
        <v>000026</v>
      </c>
      <c r="C2193" t="s">
        <v>4711</v>
      </c>
      <c r="D2193" t="s">
        <v>1238</v>
      </c>
      <c r="F2193">
        <v>342579406</v>
      </c>
      <c r="G2193">
        <v>214787284</v>
      </c>
      <c r="H2193">
        <v>178730765</v>
      </c>
      <c r="I2193">
        <v>162661094</v>
      </c>
      <c r="J2193">
        <v>136548053</v>
      </c>
      <c r="K2193">
        <v>108321268</v>
      </c>
      <c r="L2193">
        <v>106614866</v>
      </c>
      <c r="M2193">
        <v>127049521</v>
      </c>
      <c r="N2193">
        <v>104789208</v>
      </c>
      <c r="O2193">
        <v>94695505</v>
      </c>
      <c r="P2193">
        <v>321</v>
      </c>
      <c r="Q2193" t="s">
        <v>4712</v>
      </c>
    </row>
    <row r="2194" spans="1:17" x14ac:dyDescent="0.3">
      <c r="A2194" t="s">
        <v>4664</v>
      </c>
      <c r="B2194" t="str">
        <f>"000027"</f>
        <v>000027</v>
      </c>
      <c r="C2194" t="s">
        <v>4713</v>
      </c>
      <c r="D2194" t="s">
        <v>41</v>
      </c>
      <c r="F2194">
        <v>2532378020</v>
      </c>
      <c r="G2194">
        <v>3895286655</v>
      </c>
      <c r="H2194">
        <v>1712824833</v>
      </c>
      <c r="I2194">
        <v>603862955</v>
      </c>
      <c r="J2194">
        <v>803693897</v>
      </c>
      <c r="K2194">
        <v>1337934728</v>
      </c>
      <c r="L2194">
        <v>1588732751</v>
      </c>
      <c r="M2194">
        <v>1541040394</v>
      </c>
      <c r="N2194">
        <v>1086670315</v>
      </c>
      <c r="O2194">
        <v>842068264</v>
      </c>
      <c r="P2194">
        <v>509</v>
      </c>
      <c r="Q2194" t="s">
        <v>4714</v>
      </c>
    </row>
    <row r="2195" spans="1:17" x14ac:dyDescent="0.3">
      <c r="A2195" t="s">
        <v>4664</v>
      </c>
      <c r="B2195" t="str">
        <f>"000028"</f>
        <v>000028</v>
      </c>
      <c r="C2195" t="s">
        <v>4715</v>
      </c>
      <c r="D2195" t="s">
        <v>125</v>
      </c>
      <c r="F2195">
        <v>1074155275</v>
      </c>
      <c r="G2195">
        <v>997585746</v>
      </c>
      <c r="H2195">
        <v>962144067</v>
      </c>
      <c r="I2195">
        <v>926971570</v>
      </c>
      <c r="J2195">
        <v>803103309</v>
      </c>
      <c r="K2195">
        <v>722812309</v>
      </c>
      <c r="L2195">
        <v>574072331</v>
      </c>
      <c r="M2195">
        <v>505688779</v>
      </c>
      <c r="N2195">
        <v>396685116</v>
      </c>
      <c r="O2195">
        <v>357075630</v>
      </c>
      <c r="P2195">
        <v>1098</v>
      </c>
      <c r="Q2195" t="s">
        <v>4716</v>
      </c>
    </row>
    <row r="2196" spans="1:17" x14ac:dyDescent="0.3">
      <c r="A2196" t="s">
        <v>4664</v>
      </c>
      <c r="B2196" t="str">
        <f>"000029"</f>
        <v>000029</v>
      </c>
      <c r="C2196" t="s">
        <v>4717</v>
      </c>
      <c r="D2196" t="s">
        <v>104</v>
      </c>
      <c r="F2196">
        <v>163539813</v>
      </c>
      <c r="G2196">
        <v>198840279</v>
      </c>
      <c r="H2196">
        <v>439517499</v>
      </c>
      <c r="I2196">
        <v>374000366</v>
      </c>
      <c r="J2196">
        <v>149582935</v>
      </c>
      <c r="K2196">
        <v>236875126</v>
      </c>
      <c r="L2196">
        <v>233992273</v>
      </c>
      <c r="M2196">
        <v>57004778</v>
      </c>
      <c r="N2196">
        <v>16578665</v>
      </c>
      <c r="O2196">
        <v>63412595</v>
      </c>
      <c r="P2196">
        <v>137</v>
      </c>
      <c r="Q2196" t="s">
        <v>4718</v>
      </c>
    </row>
    <row r="2197" spans="1:17" x14ac:dyDescent="0.3">
      <c r="A2197" t="s">
        <v>4664</v>
      </c>
      <c r="B2197" t="str">
        <f>"000030"</f>
        <v>000030</v>
      </c>
      <c r="C2197" t="s">
        <v>4719</v>
      </c>
      <c r="D2197" t="s">
        <v>348</v>
      </c>
      <c r="F2197">
        <v>644332749</v>
      </c>
      <c r="G2197">
        <v>694233249</v>
      </c>
      <c r="H2197">
        <v>617131641</v>
      </c>
      <c r="I2197">
        <v>661116424</v>
      </c>
      <c r="J2197">
        <v>644557836</v>
      </c>
      <c r="K2197">
        <v>519125517</v>
      </c>
      <c r="L2197">
        <v>362846695</v>
      </c>
      <c r="M2197">
        <v>476333659</v>
      </c>
      <c r="N2197">
        <v>406785454</v>
      </c>
      <c r="O2197">
        <v>-2065886</v>
      </c>
      <c r="P2197">
        <v>330</v>
      </c>
      <c r="Q2197" t="s">
        <v>4720</v>
      </c>
    </row>
    <row r="2198" spans="1:17" x14ac:dyDescent="0.3">
      <c r="A2198" t="s">
        <v>4664</v>
      </c>
      <c r="B2198" t="str">
        <f>"000031"</f>
        <v>000031</v>
      </c>
      <c r="C2198" t="s">
        <v>4721</v>
      </c>
      <c r="D2198" t="s">
        <v>30</v>
      </c>
      <c r="F2198">
        <v>1116643951</v>
      </c>
      <c r="G2198">
        <v>760369854</v>
      </c>
      <c r="H2198">
        <v>2435375894</v>
      </c>
      <c r="I2198">
        <v>908104463</v>
      </c>
      <c r="J2198">
        <v>525926765</v>
      </c>
      <c r="K2198">
        <v>76724517</v>
      </c>
      <c r="L2198">
        <v>536705478</v>
      </c>
      <c r="M2198">
        <v>157089190</v>
      </c>
      <c r="N2198">
        <v>113147974</v>
      </c>
      <c r="O2198">
        <v>36361641</v>
      </c>
      <c r="P2198">
        <v>327</v>
      </c>
      <c r="Q2198" t="s">
        <v>4722</v>
      </c>
    </row>
    <row r="2199" spans="1:17" x14ac:dyDescent="0.3">
      <c r="A2199" t="s">
        <v>4664</v>
      </c>
      <c r="B2199" t="str">
        <f>"000032"</f>
        <v>000032</v>
      </c>
      <c r="C2199" t="s">
        <v>4723</v>
      </c>
      <c r="D2199" t="s">
        <v>786</v>
      </c>
      <c r="F2199">
        <v>10188208</v>
      </c>
      <c r="G2199">
        <v>79954380</v>
      </c>
      <c r="H2199">
        <v>87430988</v>
      </c>
      <c r="I2199">
        <v>83498665</v>
      </c>
      <c r="J2199">
        <v>45023395</v>
      </c>
      <c r="K2199">
        <v>57077303</v>
      </c>
      <c r="L2199">
        <v>-3240667</v>
      </c>
      <c r="M2199">
        <v>-12053645</v>
      </c>
      <c r="N2199">
        <v>20292558</v>
      </c>
      <c r="O2199">
        <v>-10956563</v>
      </c>
      <c r="P2199">
        <v>121</v>
      </c>
      <c r="Q2199" t="s">
        <v>4724</v>
      </c>
    </row>
    <row r="2200" spans="1:17" x14ac:dyDescent="0.3">
      <c r="A2200" t="s">
        <v>4664</v>
      </c>
      <c r="B2200" t="str">
        <f>"000033"</f>
        <v>000033</v>
      </c>
      <c r="C2200" t="s">
        <v>4725</v>
      </c>
      <c r="K2200">
        <v>5136825.0199999996</v>
      </c>
      <c r="L2200">
        <v>-15271544.380000001</v>
      </c>
      <c r="M2200">
        <v>-18285976.920000002</v>
      </c>
      <c r="N2200">
        <v>-7341652.0499999998</v>
      </c>
      <c r="O2200">
        <v>-8847310.9600000009</v>
      </c>
      <c r="P2200">
        <v>7</v>
      </c>
      <c r="Q2200" t="s">
        <v>4726</v>
      </c>
    </row>
    <row r="2201" spans="1:17" x14ac:dyDescent="0.3">
      <c r="A2201" t="s">
        <v>4664</v>
      </c>
      <c r="B2201" t="str">
        <f>"000034"</f>
        <v>000034</v>
      </c>
      <c r="C2201" t="s">
        <v>4727</v>
      </c>
      <c r="D2201" t="s">
        <v>316</v>
      </c>
      <c r="F2201">
        <v>45742931</v>
      </c>
      <c r="G2201">
        <v>393608967</v>
      </c>
      <c r="H2201">
        <v>510178848</v>
      </c>
      <c r="I2201">
        <v>344396533</v>
      </c>
      <c r="J2201">
        <v>312711354</v>
      </c>
      <c r="K2201">
        <v>333824897</v>
      </c>
      <c r="L2201">
        <v>26515414</v>
      </c>
      <c r="M2201">
        <v>54717008</v>
      </c>
      <c r="N2201">
        <v>5867108</v>
      </c>
      <c r="O2201">
        <v>-2202909</v>
      </c>
      <c r="P2201">
        <v>412</v>
      </c>
      <c r="Q2201" t="s">
        <v>4728</v>
      </c>
    </row>
    <row r="2202" spans="1:17" x14ac:dyDescent="0.3">
      <c r="A2202" t="s">
        <v>4664</v>
      </c>
      <c r="B2202" t="str">
        <f>"000035"</f>
        <v>000035</v>
      </c>
      <c r="C2202" t="s">
        <v>4729</v>
      </c>
      <c r="D2202" t="s">
        <v>499</v>
      </c>
      <c r="F2202">
        <v>539395617</v>
      </c>
      <c r="G2202">
        <v>496494697</v>
      </c>
      <c r="H2202">
        <v>390673767</v>
      </c>
      <c r="I2202">
        <v>166646585</v>
      </c>
      <c r="J2202">
        <v>140327120</v>
      </c>
      <c r="K2202">
        <v>135146543</v>
      </c>
      <c r="L2202">
        <v>120932242</v>
      </c>
      <c r="M2202">
        <v>99309858</v>
      </c>
      <c r="N2202">
        <v>1133386638</v>
      </c>
      <c r="O2202">
        <v>-106607637</v>
      </c>
      <c r="P2202">
        <v>198</v>
      </c>
      <c r="Q2202" t="s">
        <v>4730</v>
      </c>
    </row>
    <row r="2203" spans="1:17" x14ac:dyDescent="0.3">
      <c r="A2203" t="s">
        <v>4664</v>
      </c>
      <c r="B2203" t="str">
        <f>"000036"</f>
        <v>000036</v>
      </c>
      <c r="C2203" t="s">
        <v>4731</v>
      </c>
      <c r="D2203" t="s">
        <v>104</v>
      </c>
      <c r="F2203">
        <v>159381209</v>
      </c>
      <c r="G2203">
        <v>532091047</v>
      </c>
      <c r="H2203">
        <v>608520142</v>
      </c>
      <c r="I2203">
        <v>738235884</v>
      </c>
      <c r="J2203">
        <v>1080982506</v>
      </c>
      <c r="K2203">
        <v>475951742</v>
      </c>
      <c r="L2203">
        <v>-2042877</v>
      </c>
      <c r="M2203">
        <v>900525</v>
      </c>
      <c r="N2203">
        <v>63252026</v>
      </c>
      <c r="O2203">
        <v>43374645</v>
      </c>
      <c r="P2203">
        <v>880</v>
      </c>
      <c r="Q2203" t="s">
        <v>4732</v>
      </c>
    </row>
    <row r="2204" spans="1:17" x14ac:dyDescent="0.3">
      <c r="A2204" t="s">
        <v>4664</v>
      </c>
      <c r="B2204" t="str">
        <f>"000037"</f>
        <v>000037</v>
      </c>
      <c r="C2204" t="s">
        <v>4733</v>
      </c>
      <c r="D2204" t="s">
        <v>351</v>
      </c>
      <c r="F2204">
        <v>-44065582</v>
      </c>
      <c r="G2204">
        <v>128130402</v>
      </c>
      <c r="H2204">
        <v>8523482</v>
      </c>
      <c r="I2204">
        <v>37175398</v>
      </c>
      <c r="J2204">
        <v>-2154260</v>
      </c>
      <c r="K2204">
        <v>-64159556</v>
      </c>
      <c r="L2204">
        <v>-72773483</v>
      </c>
      <c r="M2204">
        <v>-89197844</v>
      </c>
      <c r="N2204">
        <v>-196789365</v>
      </c>
      <c r="O2204">
        <v>-199587052</v>
      </c>
      <c r="P2204">
        <v>112</v>
      </c>
      <c r="Q2204" t="s">
        <v>4734</v>
      </c>
    </row>
    <row r="2205" spans="1:17" x14ac:dyDescent="0.3">
      <c r="A2205" t="s">
        <v>4664</v>
      </c>
      <c r="B2205" t="str">
        <f>"000038"</f>
        <v>000038</v>
      </c>
      <c r="C2205" t="s">
        <v>4735</v>
      </c>
      <c r="D2205" t="s">
        <v>110</v>
      </c>
      <c r="F2205">
        <v>-334727866</v>
      </c>
      <c r="G2205">
        <v>95147674</v>
      </c>
      <c r="H2205">
        <v>2907081</v>
      </c>
      <c r="I2205">
        <v>220063857</v>
      </c>
      <c r="J2205">
        <v>266476400</v>
      </c>
      <c r="K2205">
        <v>108726400</v>
      </c>
      <c r="L2205">
        <v>1109619</v>
      </c>
      <c r="M2205">
        <v>-14760117</v>
      </c>
      <c r="N2205">
        <v>-2274043</v>
      </c>
      <c r="O2205">
        <v>1864889</v>
      </c>
      <c r="P2205">
        <v>113</v>
      </c>
      <c r="Q2205" t="s">
        <v>4736</v>
      </c>
    </row>
    <row r="2206" spans="1:17" x14ac:dyDescent="0.3">
      <c r="A2206" t="s">
        <v>4664</v>
      </c>
      <c r="B2206" t="str">
        <f>"000039"</f>
        <v>000039</v>
      </c>
      <c r="C2206" t="s">
        <v>4737</v>
      </c>
      <c r="D2206" t="s">
        <v>274</v>
      </c>
      <c r="F2206">
        <v>8799189000</v>
      </c>
      <c r="G2206">
        <v>697561000</v>
      </c>
      <c r="H2206">
        <v>636327000</v>
      </c>
      <c r="I2206">
        <v>2317046000</v>
      </c>
      <c r="J2206">
        <v>1309380000</v>
      </c>
      <c r="K2206">
        <v>-189631000</v>
      </c>
      <c r="L2206">
        <v>1724598000</v>
      </c>
      <c r="M2206">
        <v>1621674000</v>
      </c>
      <c r="N2206">
        <v>976845000</v>
      </c>
      <c r="O2206">
        <v>1584334000</v>
      </c>
      <c r="P2206">
        <v>679</v>
      </c>
      <c r="Q2206" t="s">
        <v>4738</v>
      </c>
    </row>
    <row r="2207" spans="1:17" x14ac:dyDescent="0.3">
      <c r="A2207" t="s">
        <v>4664</v>
      </c>
      <c r="B2207" t="str">
        <f>"000040"</f>
        <v>000040</v>
      </c>
      <c r="C2207" t="s">
        <v>4739</v>
      </c>
      <c r="D2207" t="s">
        <v>86</v>
      </c>
      <c r="F2207">
        <v>-179273177</v>
      </c>
      <c r="G2207">
        <v>-199197904</v>
      </c>
      <c r="H2207">
        <v>73669351</v>
      </c>
      <c r="I2207">
        <v>1404604198</v>
      </c>
      <c r="J2207">
        <v>323345271</v>
      </c>
      <c r="K2207">
        <v>131197832</v>
      </c>
      <c r="L2207">
        <v>31500792</v>
      </c>
      <c r="M2207">
        <v>14310137</v>
      </c>
      <c r="N2207">
        <v>88504936</v>
      </c>
      <c r="O2207">
        <v>130557323</v>
      </c>
      <c r="P2207">
        <v>219</v>
      </c>
      <c r="Q2207" t="s">
        <v>4740</v>
      </c>
    </row>
    <row r="2208" spans="1:17" x14ac:dyDescent="0.3">
      <c r="A2208" t="s">
        <v>4664</v>
      </c>
      <c r="B2208" t="str">
        <f>"000042"</f>
        <v>000042</v>
      </c>
      <c r="C2208" t="s">
        <v>4741</v>
      </c>
      <c r="D2208" t="s">
        <v>104</v>
      </c>
      <c r="F2208">
        <v>332498437</v>
      </c>
      <c r="G2208">
        <v>98117946</v>
      </c>
      <c r="H2208">
        <v>926133793</v>
      </c>
      <c r="I2208">
        <v>757553978</v>
      </c>
      <c r="J2208">
        <v>244583432</v>
      </c>
      <c r="K2208">
        <v>81987392</v>
      </c>
      <c r="L2208">
        <v>413267236</v>
      </c>
      <c r="M2208">
        <v>305265121</v>
      </c>
      <c r="N2208">
        <v>241686328</v>
      </c>
      <c r="O2208">
        <v>369679675</v>
      </c>
      <c r="P2208">
        <v>121</v>
      </c>
      <c r="Q2208" t="s">
        <v>4742</v>
      </c>
    </row>
    <row r="2209" spans="1:17" x14ac:dyDescent="0.3">
      <c r="A2209" t="s">
        <v>4664</v>
      </c>
      <c r="B2209" t="str">
        <f>"000043"</f>
        <v>000043</v>
      </c>
      <c r="C2209" t="s">
        <v>4743</v>
      </c>
      <c r="H2209">
        <v>138337369</v>
      </c>
      <c r="I2209">
        <v>830673199</v>
      </c>
      <c r="J2209">
        <v>-71740954</v>
      </c>
      <c r="K2209">
        <v>-26198511</v>
      </c>
      <c r="L2209">
        <v>-169215025</v>
      </c>
      <c r="M2209">
        <v>-68691852</v>
      </c>
      <c r="N2209">
        <v>25100434</v>
      </c>
      <c r="O2209">
        <v>194627519</v>
      </c>
      <c r="P2209">
        <v>73</v>
      </c>
      <c r="Q2209" t="s">
        <v>4744</v>
      </c>
    </row>
    <row r="2210" spans="1:17" x14ac:dyDescent="0.3">
      <c r="A2210" t="s">
        <v>4664</v>
      </c>
      <c r="B2210" t="str">
        <f>"000045"</f>
        <v>000045</v>
      </c>
      <c r="C2210" t="s">
        <v>4745</v>
      </c>
      <c r="D2210" t="s">
        <v>1117</v>
      </c>
      <c r="F2210">
        <v>81524666</v>
      </c>
      <c r="G2210">
        <v>25446149</v>
      </c>
      <c r="H2210">
        <v>16893356</v>
      </c>
      <c r="I2210">
        <v>12268759</v>
      </c>
      <c r="J2210">
        <v>33699554</v>
      </c>
      <c r="K2210">
        <v>-52428913</v>
      </c>
      <c r="L2210">
        <v>6182633</v>
      </c>
      <c r="M2210">
        <v>-38202525</v>
      </c>
      <c r="N2210">
        <v>7417008</v>
      </c>
      <c r="O2210">
        <v>-60759872</v>
      </c>
      <c r="P2210">
        <v>86</v>
      </c>
      <c r="Q2210" t="s">
        <v>4746</v>
      </c>
    </row>
    <row r="2211" spans="1:17" x14ac:dyDescent="0.3">
      <c r="A2211" t="s">
        <v>4664</v>
      </c>
      <c r="B2211" t="str">
        <f>"000046"</f>
        <v>000046</v>
      </c>
      <c r="C2211" t="s">
        <v>4747</v>
      </c>
      <c r="D2211" t="s">
        <v>104</v>
      </c>
      <c r="F2211">
        <v>-1791598607</v>
      </c>
      <c r="G2211">
        <v>-612033419</v>
      </c>
      <c r="H2211">
        <v>2493734981</v>
      </c>
      <c r="I2211">
        <v>1817167891</v>
      </c>
      <c r="J2211">
        <v>1222042013</v>
      </c>
      <c r="K2211">
        <v>1841235566</v>
      </c>
      <c r="L2211">
        <v>1182202359</v>
      </c>
      <c r="M2211">
        <v>358714279</v>
      </c>
      <c r="N2211">
        <v>379809507</v>
      </c>
      <c r="O2211">
        <v>236254016</v>
      </c>
      <c r="P2211">
        <v>210</v>
      </c>
      <c r="Q2211" t="s">
        <v>4748</v>
      </c>
    </row>
    <row r="2212" spans="1:17" x14ac:dyDescent="0.3">
      <c r="A2212" t="s">
        <v>4664</v>
      </c>
      <c r="B2212" t="str">
        <f>"000047"</f>
        <v>000047</v>
      </c>
      <c r="C2212" t="s">
        <v>4749</v>
      </c>
      <c r="K2212">
        <v>-3942908.16</v>
      </c>
      <c r="L2212">
        <v>-27740279.039999999</v>
      </c>
      <c r="M2212">
        <v>-28679672.84</v>
      </c>
      <c r="N2212">
        <v>-28832587.050000001</v>
      </c>
      <c r="O2212">
        <v>-28807536.550000001</v>
      </c>
      <c r="P2212">
        <v>6</v>
      </c>
      <c r="Q2212" t="s">
        <v>4750</v>
      </c>
    </row>
    <row r="2213" spans="1:17" x14ac:dyDescent="0.3">
      <c r="A2213" t="s">
        <v>4664</v>
      </c>
      <c r="B2213" t="str">
        <f>"000048"</f>
        <v>000048</v>
      </c>
      <c r="C2213" t="s">
        <v>4751</v>
      </c>
      <c r="D2213" t="s">
        <v>104</v>
      </c>
      <c r="F2213">
        <v>376405000</v>
      </c>
      <c r="G2213">
        <v>165879176</v>
      </c>
      <c r="H2213">
        <v>299744880</v>
      </c>
      <c r="I2213">
        <v>89298282</v>
      </c>
      <c r="J2213">
        <v>-46775021</v>
      </c>
      <c r="K2213">
        <v>30109298</v>
      </c>
      <c r="L2213">
        <v>168343168</v>
      </c>
      <c r="M2213">
        <v>11874544</v>
      </c>
      <c r="N2213">
        <v>38012276</v>
      </c>
      <c r="O2213">
        <v>31617941</v>
      </c>
      <c r="P2213">
        <v>588</v>
      </c>
      <c r="Q2213" t="s">
        <v>4752</v>
      </c>
    </row>
    <row r="2214" spans="1:17" x14ac:dyDescent="0.3">
      <c r="A2214" t="s">
        <v>4664</v>
      </c>
      <c r="B2214" t="str">
        <f>"000049"</f>
        <v>000049</v>
      </c>
      <c r="C2214" t="s">
        <v>4753</v>
      </c>
      <c r="D2214" t="s">
        <v>359</v>
      </c>
      <c r="F2214">
        <v>491482196</v>
      </c>
      <c r="G2214">
        <v>368407443</v>
      </c>
      <c r="H2214">
        <v>338999194</v>
      </c>
      <c r="I2214">
        <v>274526350</v>
      </c>
      <c r="J2214">
        <v>186266962</v>
      </c>
      <c r="K2214">
        <v>133362704</v>
      </c>
      <c r="L2214">
        <v>173029566</v>
      </c>
      <c r="M2214">
        <v>144135731</v>
      </c>
      <c r="N2214">
        <v>114761031</v>
      </c>
      <c r="O2214">
        <v>80801547</v>
      </c>
      <c r="P2214">
        <v>41581</v>
      </c>
      <c r="Q2214" t="s">
        <v>4754</v>
      </c>
    </row>
    <row r="2215" spans="1:17" x14ac:dyDescent="0.3">
      <c r="A2215" t="s">
        <v>4664</v>
      </c>
      <c r="B2215" t="str">
        <f>"000050"</f>
        <v>000050</v>
      </c>
      <c r="C2215" t="s">
        <v>4755</v>
      </c>
      <c r="D2215" t="s">
        <v>1117</v>
      </c>
      <c r="F2215">
        <v>1410086727</v>
      </c>
      <c r="G2215">
        <v>1230678990</v>
      </c>
      <c r="H2215">
        <v>1033812917</v>
      </c>
      <c r="I2215">
        <v>1275076763</v>
      </c>
      <c r="J2215">
        <v>753390446</v>
      </c>
      <c r="K2215">
        <v>377678017</v>
      </c>
      <c r="L2215">
        <v>338553688</v>
      </c>
      <c r="M2215">
        <v>311655237</v>
      </c>
      <c r="N2215">
        <v>119232697</v>
      </c>
      <c r="O2215">
        <v>59776707</v>
      </c>
      <c r="P2215">
        <v>621</v>
      </c>
      <c r="Q2215" t="s">
        <v>4756</v>
      </c>
    </row>
    <row r="2216" spans="1:17" x14ac:dyDescent="0.3">
      <c r="A2216" t="s">
        <v>4664</v>
      </c>
      <c r="B2216" t="str">
        <f>"000055"</f>
        <v>000055</v>
      </c>
      <c r="C2216" t="s">
        <v>4757</v>
      </c>
      <c r="D2216" t="s">
        <v>722</v>
      </c>
      <c r="F2216">
        <v>177028283</v>
      </c>
      <c r="G2216">
        <v>215633776</v>
      </c>
      <c r="H2216">
        <v>156050013</v>
      </c>
      <c r="I2216">
        <v>321470008</v>
      </c>
      <c r="J2216">
        <v>361219771</v>
      </c>
      <c r="K2216">
        <v>114256489</v>
      </c>
      <c r="L2216">
        <v>71555590</v>
      </c>
      <c r="M2216">
        <v>59300396</v>
      </c>
      <c r="N2216">
        <v>56714053</v>
      </c>
      <c r="O2216">
        <v>18378273</v>
      </c>
      <c r="P2216">
        <v>318</v>
      </c>
      <c r="Q2216" t="s">
        <v>4758</v>
      </c>
    </row>
    <row r="2217" spans="1:17" x14ac:dyDescent="0.3">
      <c r="A2217" t="s">
        <v>4664</v>
      </c>
      <c r="B2217" t="str">
        <f>"000056"</f>
        <v>000056</v>
      </c>
      <c r="C2217" t="s">
        <v>4759</v>
      </c>
      <c r="D2217" t="s">
        <v>2948</v>
      </c>
      <c r="F2217">
        <v>-26040206</v>
      </c>
      <c r="G2217">
        <v>29742242</v>
      </c>
      <c r="H2217">
        <v>118928095</v>
      </c>
      <c r="I2217">
        <v>151892274</v>
      </c>
      <c r="J2217">
        <v>161731235</v>
      </c>
      <c r="K2217">
        <v>74698541</v>
      </c>
      <c r="L2217">
        <v>30035053</v>
      </c>
      <c r="M2217">
        <v>-158799384</v>
      </c>
      <c r="N2217">
        <v>2423746298</v>
      </c>
      <c r="O2217">
        <v>48469188</v>
      </c>
      <c r="P2217">
        <v>100</v>
      </c>
      <c r="Q2217" t="s">
        <v>4760</v>
      </c>
    </row>
    <row r="2218" spans="1:17" x14ac:dyDescent="0.3">
      <c r="A2218" t="s">
        <v>4664</v>
      </c>
      <c r="B2218" t="str">
        <f>"000058"</f>
        <v>000058</v>
      </c>
      <c r="C2218" t="s">
        <v>4761</v>
      </c>
      <c r="D2218" t="s">
        <v>271</v>
      </c>
      <c r="F2218">
        <v>53466082</v>
      </c>
      <c r="G2218">
        <v>93318719</v>
      </c>
      <c r="H2218">
        <v>110257648</v>
      </c>
      <c r="I2218">
        <v>138066662</v>
      </c>
      <c r="J2218">
        <v>69193065</v>
      </c>
      <c r="K2218">
        <v>42278462</v>
      </c>
      <c r="L2218">
        <v>42186643</v>
      </c>
      <c r="M2218">
        <v>46590135</v>
      </c>
      <c r="N2218">
        <v>56205803</v>
      </c>
      <c r="O2218">
        <v>45235958</v>
      </c>
      <c r="P2218">
        <v>142</v>
      </c>
      <c r="Q2218" t="s">
        <v>4762</v>
      </c>
    </row>
    <row r="2219" spans="1:17" x14ac:dyDescent="0.3">
      <c r="A2219" t="s">
        <v>4664</v>
      </c>
      <c r="B2219" t="str">
        <f>"000059"</f>
        <v>000059</v>
      </c>
      <c r="C2219" t="s">
        <v>4763</v>
      </c>
      <c r="D2219" t="s">
        <v>74</v>
      </c>
      <c r="F2219">
        <v>521512193</v>
      </c>
      <c r="G2219">
        <v>-166941631</v>
      </c>
      <c r="H2219">
        <v>923239075</v>
      </c>
      <c r="I2219">
        <v>1059116882</v>
      </c>
      <c r="J2219">
        <v>1229759850</v>
      </c>
      <c r="K2219">
        <v>1173588565</v>
      </c>
      <c r="L2219">
        <v>68090780</v>
      </c>
      <c r="M2219">
        <v>-988414480</v>
      </c>
      <c r="N2219">
        <v>-528064142</v>
      </c>
      <c r="O2219">
        <v>-560837600</v>
      </c>
      <c r="P2219">
        <v>387</v>
      </c>
      <c r="Q2219" t="s">
        <v>4764</v>
      </c>
    </row>
    <row r="2220" spans="1:17" x14ac:dyDescent="0.3">
      <c r="A2220" t="s">
        <v>4664</v>
      </c>
      <c r="B2220" t="str">
        <f>"000060"</f>
        <v>000060</v>
      </c>
      <c r="C2220" t="s">
        <v>4765</v>
      </c>
      <c r="D2220" t="s">
        <v>744</v>
      </c>
      <c r="F2220">
        <v>990119245</v>
      </c>
      <c r="G2220">
        <v>625719087</v>
      </c>
      <c r="H2220">
        <v>636031222</v>
      </c>
      <c r="I2220">
        <v>769742816</v>
      </c>
      <c r="J2220">
        <v>862983572</v>
      </c>
      <c r="K2220">
        <v>163868147</v>
      </c>
      <c r="L2220">
        <v>101088179</v>
      </c>
      <c r="M2220">
        <v>410058183</v>
      </c>
      <c r="N2220">
        <v>170045721</v>
      </c>
      <c r="O2220">
        <v>304526261</v>
      </c>
      <c r="P2220">
        <v>373</v>
      </c>
      <c r="Q2220" t="s">
        <v>4766</v>
      </c>
    </row>
    <row r="2221" spans="1:17" x14ac:dyDescent="0.3">
      <c r="A2221" t="s">
        <v>4664</v>
      </c>
      <c r="B2221" t="str">
        <f>"000061"</f>
        <v>000061</v>
      </c>
      <c r="C2221" t="s">
        <v>4767</v>
      </c>
      <c r="D2221" t="s">
        <v>271</v>
      </c>
      <c r="F2221">
        <v>292240088</v>
      </c>
      <c r="G2221">
        <v>274630928</v>
      </c>
      <c r="H2221">
        <v>164167081</v>
      </c>
      <c r="I2221">
        <v>47234127</v>
      </c>
      <c r="J2221">
        <v>2691090</v>
      </c>
      <c r="K2221">
        <v>213974624</v>
      </c>
      <c r="L2221">
        <v>46343079</v>
      </c>
      <c r="M2221">
        <v>59863215</v>
      </c>
      <c r="N2221">
        <v>59583274</v>
      </c>
      <c r="O2221">
        <v>111466899</v>
      </c>
      <c r="P2221">
        <v>209</v>
      </c>
      <c r="Q2221" t="s">
        <v>4768</v>
      </c>
    </row>
    <row r="2222" spans="1:17" x14ac:dyDescent="0.3">
      <c r="A2222" t="s">
        <v>4664</v>
      </c>
      <c r="B2222" t="str">
        <f>"000062"</f>
        <v>000062</v>
      </c>
      <c r="C2222" t="s">
        <v>4769</v>
      </c>
      <c r="D2222" t="s">
        <v>651</v>
      </c>
      <c r="F2222">
        <v>709143576</v>
      </c>
      <c r="G2222">
        <v>461752669</v>
      </c>
      <c r="H2222">
        <v>488364891</v>
      </c>
      <c r="I2222">
        <v>518968327</v>
      </c>
      <c r="J2222">
        <v>320803556</v>
      </c>
      <c r="K2222">
        <v>269079781</v>
      </c>
      <c r="L2222">
        <v>222407194</v>
      </c>
      <c r="M2222">
        <v>429318671</v>
      </c>
      <c r="N2222">
        <v>114593665</v>
      </c>
      <c r="O2222">
        <v>80538666</v>
      </c>
      <c r="P2222">
        <v>300</v>
      </c>
      <c r="Q2222" t="s">
        <v>4770</v>
      </c>
    </row>
    <row r="2223" spans="1:17" x14ac:dyDescent="0.3">
      <c r="A2223" t="s">
        <v>4664</v>
      </c>
      <c r="B2223" t="str">
        <f>"000063"</f>
        <v>000063</v>
      </c>
      <c r="C2223" t="s">
        <v>4771</v>
      </c>
      <c r="D2223" t="s">
        <v>1019</v>
      </c>
      <c r="F2223">
        <v>5852907000</v>
      </c>
      <c r="G2223">
        <v>2712049000</v>
      </c>
      <c r="H2223">
        <v>4127850000</v>
      </c>
      <c r="I2223">
        <v>-7259723000</v>
      </c>
      <c r="J2223">
        <v>3904652000</v>
      </c>
      <c r="K2223">
        <v>2858887000</v>
      </c>
      <c r="L2223">
        <v>2604180000</v>
      </c>
      <c r="M2223">
        <v>1831526000</v>
      </c>
      <c r="N2223">
        <v>551599000</v>
      </c>
      <c r="O2223">
        <v>-1700465000</v>
      </c>
      <c r="P2223">
        <v>3203</v>
      </c>
      <c r="Q2223" t="s">
        <v>4772</v>
      </c>
    </row>
    <row r="2224" spans="1:17" x14ac:dyDescent="0.3">
      <c r="A2224" t="s">
        <v>4664</v>
      </c>
      <c r="B2224" t="str">
        <f>"000065"</f>
        <v>000065</v>
      </c>
      <c r="C2224" t="s">
        <v>4773</v>
      </c>
      <c r="D2224" t="s">
        <v>1887</v>
      </c>
      <c r="F2224">
        <v>492189916</v>
      </c>
      <c r="G2224">
        <v>513977922</v>
      </c>
      <c r="H2224">
        <v>495470942</v>
      </c>
      <c r="I2224">
        <v>441380184</v>
      </c>
      <c r="J2224">
        <v>348135612</v>
      </c>
      <c r="K2224">
        <v>159382293</v>
      </c>
      <c r="L2224">
        <v>102573525</v>
      </c>
      <c r="M2224">
        <v>139005770</v>
      </c>
      <c r="N2224">
        <v>44788395</v>
      </c>
      <c r="O2224">
        <v>28567703</v>
      </c>
      <c r="P2224">
        <v>394</v>
      </c>
      <c r="Q2224" t="s">
        <v>4774</v>
      </c>
    </row>
    <row r="2225" spans="1:17" x14ac:dyDescent="0.3">
      <c r="A2225" t="s">
        <v>4664</v>
      </c>
      <c r="B2225" t="str">
        <f>"000066"</f>
        <v>000066</v>
      </c>
      <c r="C2225" t="s">
        <v>4775</v>
      </c>
      <c r="D2225" t="s">
        <v>236</v>
      </c>
      <c r="F2225">
        <v>102855310</v>
      </c>
      <c r="G2225">
        <v>-162679989</v>
      </c>
      <c r="H2225">
        <v>176667347</v>
      </c>
      <c r="I2225">
        <v>207996081</v>
      </c>
      <c r="J2225">
        <v>299165404</v>
      </c>
      <c r="K2225">
        <v>26879302</v>
      </c>
      <c r="L2225">
        <v>-136390703</v>
      </c>
      <c r="M2225">
        <v>-20140503</v>
      </c>
      <c r="N2225">
        <v>-13331510</v>
      </c>
      <c r="O2225">
        <v>11363314</v>
      </c>
      <c r="P2225">
        <v>712</v>
      </c>
      <c r="Q2225" t="s">
        <v>4776</v>
      </c>
    </row>
    <row r="2226" spans="1:17" x14ac:dyDescent="0.3">
      <c r="A2226" t="s">
        <v>4664</v>
      </c>
      <c r="B2226" t="str">
        <f>"000068"</f>
        <v>000068</v>
      </c>
      <c r="C2226" t="s">
        <v>4777</v>
      </c>
      <c r="D2226" t="s">
        <v>3548</v>
      </c>
      <c r="F2226">
        <v>-44715493</v>
      </c>
      <c r="G2226">
        <v>-77142443</v>
      </c>
      <c r="H2226">
        <v>-71871883</v>
      </c>
      <c r="I2226">
        <v>-48470422</v>
      </c>
      <c r="J2226">
        <v>-8218421</v>
      </c>
      <c r="K2226">
        <v>-31210348</v>
      </c>
      <c r="L2226">
        <v>-21577956</v>
      </c>
      <c r="M2226">
        <v>-43554046</v>
      </c>
      <c r="N2226">
        <v>-27398870</v>
      </c>
      <c r="O2226">
        <v>-11168743</v>
      </c>
      <c r="P2226">
        <v>144</v>
      </c>
      <c r="Q2226" t="s">
        <v>4778</v>
      </c>
    </row>
    <row r="2227" spans="1:17" x14ac:dyDescent="0.3">
      <c r="A2227" t="s">
        <v>4664</v>
      </c>
      <c r="B2227" t="str">
        <f>"000069"</f>
        <v>000069</v>
      </c>
      <c r="C2227" t="s">
        <v>4779</v>
      </c>
      <c r="D2227" t="s">
        <v>30</v>
      </c>
      <c r="F2227">
        <v>3419280409</v>
      </c>
      <c r="G2227">
        <v>5247713022</v>
      </c>
      <c r="H2227">
        <v>5997413788</v>
      </c>
      <c r="I2227">
        <v>5090205308</v>
      </c>
      <c r="J2227">
        <v>4730663256</v>
      </c>
      <c r="K2227">
        <v>2916995030</v>
      </c>
      <c r="L2227">
        <v>2491275865</v>
      </c>
      <c r="M2227">
        <v>2813701170</v>
      </c>
      <c r="N2227">
        <v>2904146441</v>
      </c>
      <c r="O2227">
        <v>1612409729</v>
      </c>
      <c r="P2227">
        <v>3953</v>
      </c>
      <c r="Q2227" t="s">
        <v>4780</v>
      </c>
    </row>
    <row r="2228" spans="1:17" x14ac:dyDescent="0.3">
      <c r="A2228" t="s">
        <v>4664</v>
      </c>
      <c r="B2228" t="str">
        <f>"000070"</f>
        <v>000070</v>
      </c>
      <c r="C2228" t="s">
        <v>4781</v>
      </c>
      <c r="D2228" t="s">
        <v>250</v>
      </c>
      <c r="F2228">
        <v>-23074319</v>
      </c>
      <c r="G2228">
        <v>-15872365</v>
      </c>
      <c r="H2228">
        <v>95101509</v>
      </c>
      <c r="I2228">
        <v>164276764</v>
      </c>
      <c r="J2228">
        <v>171839907</v>
      </c>
      <c r="K2228">
        <v>124473660</v>
      </c>
      <c r="L2228">
        <v>52949251</v>
      </c>
      <c r="M2228">
        <v>45518223</v>
      </c>
      <c r="N2228">
        <v>53730882</v>
      </c>
      <c r="O2228">
        <v>39447532</v>
      </c>
      <c r="P2228">
        <v>334</v>
      </c>
      <c r="Q2228" t="s">
        <v>4782</v>
      </c>
    </row>
    <row r="2229" spans="1:17" x14ac:dyDescent="0.3">
      <c r="A2229" t="s">
        <v>4664</v>
      </c>
      <c r="B2229" t="str">
        <f>"000078"</f>
        <v>000078</v>
      </c>
      <c r="C2229" t="s">
        <v>4783</v>
      </c>
      <c r="D2229" t="s">
        <v>125</v>
      </c>
      <c r="F2229">
        <v>213690647</v>
      </c>
      <c r="G2229">
        <v>200337613</v>
      </c>
      <c r="H2229">
        <v>365546215</v>
      </c>
      <c r="I2229">
        <v>431887784</v>
      </c>
      <c r="J2229">
        <v>411018349</v>
      </c>
      <c r="K2229">
        <v>227751006</v>
      </c>
      <c r="L2229">
        <v>350719193</v>
      </c>
      <c r="M2229">
        <v>54121269</v>
      </c>
      <c r="N2229">
        <v>58448580</v>
      </c>
      <c r="O2229">
        <v>60159826</v>
      </c>
      <c r="P2229">
        <v>291</v>
      </c>
      <c r="Q2229" t="s">
        <v>4784</v>
      </c>
    </row>
    <row r="2230" spans="1:17" x14ac:dyDescent="0.3">
      <c r="A2230" t="s">
        <v>4664</v>
      </c>
      <c r="B2230" t="str">
        <f>"000088"</f>
        <v>000088</v>
      </c>
      <c r="C2230" t="s">
        <v>4785</v>
      </c>
      <c r="D2230" t="s">
        <v>51</v>
      </c>
      <c r="F2230">
        <v>343340258</v>
      </c>
      <c r="G2230">
        <v>313201743</v>
      </c>
      <c r="H2230">
        <v>265761088</v>
      </c>
      <c r="I2230">
        <v>298201979</v>
      </c>
      <c r="J2230">
        <v>283649876</v>
      </c>
      <c r="K2230">
        <v>269649103</v>
      </c>
      <c r="L2230">
        <v>371212688</v>
      </c>
      <c r="M2230">
        <v>345046599</v>
      </c>
      <c r="N2230">
        <v>289889047</v>
      </c>
      <c r="O2230">
        <v>274281923</v>
      </c>
      <c r="P2230">
        <v>170</v>
      </c>
      <c r="Q2230" t="s">
        <v>4786</v>
      </c>
    </row>
    <row r="2231" spans="1:17" x14ac:dyDescent="0.3">
      <c r="A2231" t="s">
        <v>4664</v>
      </c>
      <c r="B2231" t="str">
        <f>"000089"</f>
        <v>000089</v>
      </c>
      <c r="C2231" t="s">
        <v>4787</v>
      </c>
      <c r="D2231" t="s">
        <v>22</v>
      </c>
      <c r="F2231">
        <v>12046818</v>
      </c>
      <c r="G2231">
        <v>-61566703</v>
      </c>
      <c r="H2231">
        <v>480021831</v>
      </c>
      <c r="I2231">
        <v>576089264</v>
      </c>
      <c r="J2231">
        <v>502863139</v>
      </c>
      <c r="K2231">
        <v>409349427</v>
      </c>
      <c r="L2231">
        <v>336885013</v>
      </c>
      <c r="M2231">
        <v>191858145</v>
      </c>
      <c r="N2231">
        <v>473359952</v>
      </c>
      <c r="O2231">
        <v>446792372</v>
      </c>
      <c r="P2231">
        <v>665</v>
      </c>
      <c r="Q2231" t="s">
        <v>4788</v>
      </c>
    </row>
    <row r="2232" spans="1:17" x14ac:dyDescent="0.3">
      <c r="A2232" t="s">
        <v>4664</v>
      </c>
      <c r="B2232" t="str">
        <f>"000090"</f>
        <v>000090</v>
      </c>
      <c r="C2232" t="s">
        <v>4789</v>
      </c>
      <c r="D2232" t="s">
        <v>104</v>
      </c>
      <c r="F2232">
        <v>1401793366</v>
      </c>
      <c r="G2232">
        <v>1374560619</v>
      </c>
      <c r="H2232">
        <v>249274741</v>
      </c>
      <c r="I2232">
        <v>174529601</v>
      </c>
      <c r="J2232">
        <v>543918179</v>
      </c>
      <c r="K2232">
        <v>221420024</v>
      </c>
      <c r="L2232">
        <v>257989654</v>
      </c>
      <c r="M2232">
        <v>135595619</v>
      </c>
      <c r="N2232">
        <v>140990542</v>
      </c>
      <c r="O2232">
        <v>206151238</v>
      </c>
      <c r="P2232">
        <v>424</v>
      </c>
      <c r="Q2232" t="s">
        <v>4790</v>
      </c>
    </row>
    <row r="2233" spans="1:17" x14ac:dyDescent="0.3">
      <c r="A2233" t="s">
        <v>4664</v>
      </c>
      <c r="B2233" t="str">
        <f>"000096"</f>
        <v>000096</v>
      </c>
      <c r="C2233" t="s">
        <v>4791</v>
      </c>
      <c r="D2233" t="s">
        <v>584</v>
      </c>
      <c r="F2233">
        <v>97619901</v>
      </c>
      <c r="G2233">
        <v>121134372</v>
      </c>
      <c r="H2233">
        <v>105803423</v>
      </c>
      <c r="I2233">
        <v>96107603</v>
      </c>
      <c r="J2233">
        <v>120052410</v>
      </c>
      <c r="K2233">
        <v>104736068</v>
      </c>
      <c r="L2233">
        <v>210625387</v>
      </c>
      <c r="M2233">
        <v>75447644</v>
      </c>
      <c r="N2233">
        <v>18013989</v>
      </c>
      <c r="O2233">
        <v>21511324</v>
      </c>
      <c r="P2233">
        <v>86</v>
      </c>
      <c r="Q2233" t="s">
        <v>4792</v>
      </c>
    </row>
    <row r="2234" spans="1:17" x14ac:dyDescent="0.3">
      <c r="A2234" t="s">
        <v>4664</v>
      </c>
      <c r="B2234" t="str">
        <f>"000099"</f>
        <v>000099</v>
      </c>
      <c r="C2234" t="s">
        <v>4793</v>
      </c>
      <c r="D2234" t="s">
        <v>77</v>
      </c>
      <c r="F2234">
        <v>207628606</v>
      </c>
      <c r="G2234">
        <v>140001042</v>
      </c>
      <c r="H2234">
        <v>156864504</v>
      </c>
      <c r="I2234">
        <v>88007001</v>
      </c>
      <c r="J2234">
        <v>83983297</v>
      </c>
      <c r="K2234">
        <v>75846071</v>
      </c>
      <c r="L2234">
        <v>144216655</v>
      </c>
      <c r="M2234">
        <v>168523605</v>
      </c>
      <c r="N2234">
        <v>136081102</v>
      </c>
      <c r="O2234">
        <v>115347965</v>
      </c>
      <c r="P2234">
        <v>166</v>
      </c>
      <c r="Q2234" t="s">
        <v>4794</v>
      </c>
    </row>
    <row r="2235" spans="1:17" x14ac:dyDescent="0.3">
      <c r="A2235" t="s">
        <v>4664</v>
      </c>
      <c r="B2235" t="str">
        <f>"000100"</f>
        <v>000100</v>
      </c>
      <c r="C2235" t="s">
        <v>4795</v>
      </c>
      <c r="D2235" t="s">
        <v>1117</v>
      </c>
      <c r="F2235">
        <v>9101970170</v>
      </c>
      <c r="G2235">
        <v>2025175746</v>
      </c>
      <c r="H2235">
        <v>2577329981</v>
      </c>
      <c r="I2235">
        <v>2489661515</v>
      </c>
      <c r="J2235">
        <v>1906104349</v>
      </c>
      <c r="K2235">
        <v>1538106527</v>
      </c>
      <c r="L2235">
        <v>2064573500</v>
      </c>
      <c r="M2235">
        <v>2219272858</v>
      </c>
      <c r="N2235">
        <v>1264984171</v>
      </c>
      <c r="O2235">
        <v>487438896</v>
      </c>
      <c r="P2235">
        <v>2194</v>
      </c>
      <c r="Q2235" t="s">
        <v>4796</v>
      </c>
    </row>
    <row r="2236" spans="1:17" x14ac:dyDescent="0.3">
      <c r="A2236" t="s">
        <v>4664</v>
      </c>
      <c r="B2236" t="str">
        <f>"000150"</f>
        <v>000150</v>
      </c>
      <c r="C2236" t="s">
        <v>4797</v>
      </c>
      <c r="D2236" t="s">
        <v>1147</v>
      </c>
      <c r="F2236">
        <v>-225395096</v>
      </c>
      <c r="G2236">
        <v>-207603405</v>
      </c>
      <c r="H2236">
        <v>2598888</v>
      </c>
      <c r="I2236">
        <v>205717460</v>
      </c>
      <c r="J2236">
        <v>152167808</v>
      </c>
      <c r="K2236">
        <v>966804776</v>
      </c>
      <c r="L2236">
        <v>916964</v>
      </c>
      <c r="M2236">
        <v>798247</v>
      </c>
      <c r="N2236">
        <v>12660200</v>
      </c>
      <c r="O2236">
        <v>2474744</v>
      </c>
      <c r="P2236">
        <v>184</v>
      </c>
      <c r="Q2236" t="s">
        <v>4798</v>
      </c>
    </row>
    <row r="2237" spans="1:17" x14ac:dyDescent="0.3">
      <c r="A2237" t="s">
        <v>4664</v>
      </c>
      <c r="B2237" t="str">
        <f>"000151"</f>
        <v>000151</v>
      </c>
      <c r="C2237" t="s">
        <v>4799</v>
      </c>
      <c r="D2237" t="s">
        <v>131</v>
      </c>
      <c r="F2237">
        <v>-34139130</v>
      </c>
      <c r="G2237">
        <v>8867494</v>
      </c>
      <c r="H2237">
        <v>2436165</v>
      </c>
      <c r="I2237">
        <v>66001009</v>
      </c>
      <c r="J2237">
        <v>65716153</v>
      </c>
      <c r="K2237">
        <v>75541377</v>
      </c>
      <c r="L2237">
        <v>85602927</v>
      </c>
      <c r="M2237">
        <v>130485828</v>
      </c>
      <c r="N2237">
        <v>63055496</v>
      </c>
      <c r="O2237">
        <v>17686423</v>
      </c>
      <c r="P2237">
        <v>95</v>
      </c>
      <c r="Q2237" t="s">
        <v>4800</v>
      </c>
    </row>
    <row r="2238" spans="1:17" x14ac:dyDescent="0.3">
      <c r="A2238" t="s">
        <v>4664</v>
      </c>
      <c r="B2238" t="str">
        <f>"000153"</f>
        <v>000153</v>
      </c>
      <c r="C2238" t="s">
        <v>4801</v>
      </c>
      <c r="D2238" t="s">
        <v>143</v>
      </c>
      <c r="F2238">
        <v>90212580</v>
      </c>
      <c r="G2238">
        <v>70645881</v>
      </c>
      <c r="H2238">
        <v>75142381</v>
      </c>
      <c r="I2238">
        <v>56435128</v>
      </c>
      <c r="J2238">
        <v>60342285</v>
      </c>
      <c r="K2238">
        <v>43068149</v>
      </c>
      <c r="L2238">
        <v>32324595</v>
      </c>
      <c r="M2238">
        <v>35811718</v>
      </c>
      <c r="N2238">
        <v>22552754</v>
      </c>
      <c r="O2238">
        <v>16186891</v>
      </c>
      <c r="P2238">
        <v>118</v>
      </c>
      <c r="Q2238" t="s">
        <v>4802</v>
      </c>
    </row>
    <row r="2239" spans="1:17" x14ac:dyDescent="0.3">
      <c r="A2239" t="s">
        <v>4664</v>
      </c>
      <c r="B2239" t="str">
        <f>"000155"</f>
        <v>000155</v>
      </c>
      <c r="C2239" t="s">
        <v>4803</v>
      </c>
      <c r="D2239" t="s">
        <v>383</v>
      </c>
      <c r="F2239">
        <v>225087470</v>
      </c>
      <c r="G2239">
        <v>189680489</v>
      </c>
      <c r="H2239">
        <v>223582883</v>
      </c>
      <c r="I2239">
        <v>-15492144</v>
      </c>
      <c r="J2239">
        <v>171966277</v>
      </c>
      <c r="K2239">
        <v>330439817</v>
      </c>
      <c r="L2239">
        <v>-167624837</v>
      </c>
      <c r="M2239">
        <v>-362086485</v>
      </c>
      <c r="N2239">
        <v>-239579132</v>
      </c>
      <c r="O2239">
        <v>-125834835</v>
      </c>
      <c r="P2239">
        <v>309</v>
      </c>
      <c r="Q2239" t="s">
        <v>4804</v>
      </c>
    </row>
    <row r="2240" spans="1:17" x14ac:dyDescent="0.3">
      <c r="A2240" t="s">
        <v>4664</v>
      </c>
      <c r="B2240" t="str">
        <f>"000156"</f>
        <v>000156</v>
      </c>
      <c r="C2240" t="s">
        <v>4805</v>
      </c>
      <c r="D2240" t="s">
        <v>95</v>
      </c>
      <c r="F2240">
        <v>640115819</v>
      </c>
      <c r="G2240">
        <v>469701450</v>
      </c>
      <c r="H2240">
        <v>506047207</v>
      </c>
      <c r="I2240">
        <v>482688241</v>
      </c>
      <c r="J2240">
        <v>472412988</v>
      </c>
      <c r="K2240">
        <v>458442769</v>
      </c>
      <c r="L2240">
        <v>403611001</v>
      </c>
      <c r="M2240">
        <v>241354332</v>
      </c>
      <c r="N2240">
        <v>187121136</v>
      </c>
      <c r="O2240">
        <v>117086558</v>
      </c>
      <c r="P2240">
        <v>309</v>
      </c>
      <c r="Q2240" t="s">
        <v>4806</v>
      </c>
    </row>
    <row r="2241" spans="1:17" x14ac:dyDescent="0.3">
      <c r="A2241" t="s">
        <v>4664</v>
      </c>
      <c r="B2241" t="str">
        <f>"000157"</f>
        <v>000157</v>
      </c>
      <c r="C2241" t="s">
        <v>4807</v>
      </c>
      <c r="D2241" t="s">
        <v>83</v>
      </c>
      <c r="F2241">
        <v>5750636124</v>
      </c>
      <c r="G2241">
        <v>5686319128</v>
      </c>
      <c r="H2241">
        <v>3479822343</v>
      </c>
      <c r="I2241">
        <v>1302889785</v>
      </c>
      <c r="J2241">
        <v>1282332719</v>
      </c>
      <c r="K2241">
        <v>-802284368</v>
      </c>
      <c r="L2241">
        <v>-518198060</v>
      </c>
      <c r="M2241">
        <v>1000259967</v>
      </c>
      <c r="N2241">
        <v>3794915835</v>
      </c>
      <c r="O2241">
        <v>6959982097</v>
      </c>
      <c r="P2241">
        <v>1683</v>
      </c>
      <c r="Q2241" t="s">
        <v>4808</v>
      </c>
    </row>
    <row r="2242" spans="1:17" x14ac:dyDescent="0.3">
      <c r="A2242" t="s">
        <v>4664</v>
      </c>
      <c r="B2242" t="str">
        <f>"000158"</f>
        <v>000158</v>
      </c>
      <c r="C2242" t="s">
        <v>4809</v>
      </c>
      <c r="D2242" t="s">
        <v>316</v>
      </c>
      <c r="F2242">
        <v>-33531670</v>
      </c>
      <c r="G2242">
        <v>-49201379</v>
      </c>
      <c r="H2242">
        <v>41318720</v>
      </c>
      <c r="I2242">
        <v>39720355</v>
      </c>
      <c r="J2242">
        <v>65411918</v>
      </c>
      <c r="K2242">
        <v>-58450542</v>
      </c>
      <c r="L2242">
        <v>-72125900</v>
      </c>
      <c r="M2242">
        <v>-61873430</v>
      </c>
      <c r="N2242">
        <v>-47417679</v>
      </c>
      <c r="O2242">
        <v>-49692208</v>
      </c>
      <c r="P2242">
        <v>295</v>
      </c>
      <c r="Q2242" t="s">
        <v>4810</v>
      </c>
    </row>
    <row r="2243" spans="1:17" x14ac:dyDescent="0.3">
      <c r="A2243" t="s">
        <v>4664</v>
      </c>
      <c r="B2243" t="str">
        <f>"000159"</f>
        <v>000159</v>
      </c>
      <c r="C2243" t="s">
        <v>4811</v>
      </c>
      <c r="D2243" t="s">
        <v>584</v>
      </c>
      <c r="F2243">
        <v>59743228</v>
      </c>
      <c r="G2243">
        <v>64415423</v>
      </c>
      <c r="H2243">
        <v>-11272653</v>
      </c>
      <c r="I2243">
        <v>26833913</v>
      </c>
      <c r="J2243">
        <v>-53220695</v>
      </c>
      <c r="K2243">
        <v>11621106</v>
      </c>
      <c r="L2243">
        <v>-41591973</v>
      </c>
      <c r="M2243">
        <v>64870829</v>
      </c>
      <c r="N2243">
        <v>61495862</v>
      </c>
      <c r="O2243">
        <v>19846918</v>
      </c>
      <c r="P2243">
        <v>100</v>
      </c>
      <c r="Q2243" t="s">
        <v>4812</v>
      </c>
    </row>
    <row r="2244" spans="1:17" x14ac:dyDescent="0.3">
      <c r="A2244" t="s">
        <v>4664</v>
      </c>
      <c r="B2244" t="str">
        <f>"000166"</f>
        <v>000166</v>
      </c>
      <c r="C2244" t="s">
        <v>4813</v>
      </c>
      <c r="D2244" t="s">
        <v>80</v>
      </c>
      <c r="F2244">
        <v>7409477707</v>
      </c>
      <c r="G2244">
        <v>6529091469</v>
      </c>
      <c r="H2244">
        <v>4756648130</v>
      </c>
      <c r="I2244">
        <v>3311480442</v>
      </c>
      <c r="J2244">
        <v>3583691008</v>
      </c>
      <c r="K2244">
        <v>3849049954.1799998</v>
      </c>
      <c r="L2244">
        <v>8394784057.9099998</v>
      </c>
      <c r="M2244">
        <v>3259530970.0100002</v>
      </c>
      <c r="N2244">
        <v>1405288701.6099999</v>
      </c>
      <c r="O2244">
        <v>1031790105.01</v>
      </c>
      <c r="P2244">
        <v>2819</v>
      </c>
      <c r="Q2244" t="s">
        <v>4814</v>
      </c>
    </row>
    <row r="2245" spans="1:17" x14ac:dyDescent="0.3">
      <c r="A2245" t="s">
        <v>4664</v>
      </c>
      <c r="B2245" t="str">
        <f>"000301"</f>
        <v>000301</v>
      </c>
      <c r="C2245" t="s">
        <v>4815</v>
      </c>
      <c r="D2245" t="s">
        <v>74</v>
      </c>
      <c r="F2245">
        <v>1430751056</v>
      </c>
      <c r="G2245">
        <v>235843971</v>
      </c>
      <c r="H2245">
        <v>1188513528</v>
      </c>
      <c r="I2245">
        <v>650277412</v>
      </c>
      <c r="J2245">
        <v>200255722</v>
      </c>
      <c r="K2245">
        <v>146802761</v>
      </c>
      <c r="L2245">
        <v>136416794</v>
      </c>
      <c r="M2245">
        <v>156048667</v>
      </c>
      <c r="N2245">
        <v>284945068</v>
      </c>
      <c r="O2245">
        <v>141202307</v>
      </c>
      <c r="P2245">
        <v>397</v>
      </c>
      <c r="Q2245" t="s">
        <v>4816</v>
      </c>
    </row>
    <row r="2246" spans="1:17" x14ac:dyDescent="0.3">
      <c r="A2246" t="s">
        <v>4664</v>
      </c>
      <c r="B2246" t="str">
        <f>"000333"</f>
        <v>000333</v>
      </c>
      <c r="C2246" t="s">
        <v>4817</v>
      </c>
      <c r="D2246" t="s">
        <v>1723</v>
      </c>
      <c r="F2246">
        <v>23455250000</v>
      </c>
      <c r="G2246">
        <v>22018301000</v>
      </c>
      <c r="H2246">
        <v>21315967000</v>
      </c>
      <c r="I2246">
        <v>17900239000</v>
      </c>
      <c r="J2246">
        <v>14998175000</v>
      </c>
      <c r="K2246">
        <v>12807993000</v>
      </c>
      <c r="L2246">
        <v>11012102690</v>
      </c>
      <c r="M2246">
        <v>8952956270</v>
      </c>
      <c r="N2246">
        <v>4018034390</v>
      </c>
      <c r="O2246">
        <v>2557822680</v>
      </c>
      <c r="P2246">
        <v>25065</v>
      </c>
      <c r="Q2246" t="s">
        <v>4818</v>
      </c>
    </row>
    <row r="2247" spans="1:17" x14ac:dyDescent="0.3">
      <c r="A2247" t="s">
        <v>4664</v>
      </c>
      <c r="B2247" t="str">
        <f>"000338"</f>
        <v>000338</v>
      </c>
      <c r="C2247" t="s">
        <v>4819</v>
      </c>
      <c r="D2247" t="s">
        <v>348</v>
      </c>
      <c r="F2247">
        <v>7900344391</v>
      </c>
      <c r="G2247">
        <v>7105815775</v>
      </c>
      <c r="H2247">
        <v>7058241498</v>
      </c>
      <c r="I2247">
        <v>6001291383</v>
      </c>
      <c r="J2247">
        <v>4603153427</v>
      </c>
      <c r="K2247">
        <v>1504130464</v>
      </c>
      <c r="L2247">
        <v>1042218784</v>
      </c>
      <c r="M2247">
        <v>4445430279</v>
      </c>
      <c r="N2247">
        <v>2704875729</v>
      </c>
      <c r="O2247">
        <v>2408768901</v>
      </c>
      <c r="P2247">
        <v>3423</v>
      </c>
      <c r="Q2247" t="s">
        <v>4820</v>
      </c>
    </row>
    <row r="2248" spans="1:17" x14ac:dyDescent="0.3">
      <c r="A2248" t="s">
        <v>4664</v>
      </c>
      <c r="B2248" t="str">
        <f>"000400"</f>
        <v>000400</v>
      </c>
      <c r="C2248" t="s">
        <v>4821</v>
      </c>
      <c r="D2248" t="s">
        <v>610</v>
      </c>
      <c r="F2248">
        <v>579021880</v>
      </c>
      <c r="G2248">
        <v>511781743</v>
      </c>
      <c r="H2248">
        <v>266429642</v>
      </c>
      <c r="I2248">
        <v>155402305</v>
      </c>
      <c r="J2248">
        <v>301298781</v>
      </c>
      <c r="K2248">
        <v>244657784</v>
      </c>
      <c r="L2248">
        <v>165064012</v>
      </c>
      <c r="M2248">
        <v>592765891</v>
      </c>
      <c r="N2248">
        <v>286532582</v>
      </c>
      <c r="O2248">
        <v>138941540</v>
      </c>
      <c r="P2248">
        <v>688</v>
      </c>
      <c r="Q2248" t="s">
        <v>4822</v>
      </c>
    </row>
    <row r="2249" spans="1:17" x14ac:dyDescent="0.3">
      <c r="A2249" t="s">
        <v>4664</v>
      </c>
      <c r="B2249" t="str">
        <f>"000401"</f>
        <v>000401</v>
      </c>
      <c r="C2249" t="s">
        <v>4823</v>
      </c>
      <c r="D2249" t="s">
        <v>731</v>
      </c>
      <c r="F2249">
        <v>1820805060</v>
      </c>
      <c r="G2249">
        <v>2094326386</v>
      </c>
      <c r="H2249">
        <v>2469970247</v>
      </c>
      <c r="I2249">
        <v>1414595105</v>
      </c>
      <c r="J2249">
        <v>319200149</v>
      </c>
      <c r="K2249">
        <v>-452329132</v>
      </c>
      <c r="L2249">
        <v>-603863478</v>
      </c>
      <c r="M2249">
        <v>20740987</v>
      </c>
      <c r="N2249">
        <v>175691067</v>
      </c>
      <c r="O2249">
        <v>240657546</v>
      </c>
      <c r="P2249">
        <v>826</v>
      </c>
      <c r="Q2249" t="s">
        <v>4824</v>
      </c>
    </row>
    <row r="2250" spans="1:17" x14ac:dyDescent="0.3">
      <c r="A2250" t="s">
        <v>4664</v>
      </c>
      <c r="B2250" t="str">
        <f>"000402"</f>
        <v>000402</v>
      </c>
      <c r="C2250" t="s">
        <v>4825</v>
      </c>
      <c r="D2250" t="s">
        <v>30</v>
      </c>
      <c r="F2250">
        <v>1114294183</v>
      </c>
      <c r="G2250">
        <v>909526619</v>
      </c>
      <c r="H2250">
        <v>1375331777</v>
      </c>
      <c r="I2250">
        <v>1040908276</v>
      </c>
      <c r="J2250">
        <v>1443926531</v>
      </c>
      <c r="K2250">
        <v>803834519</v>
      </c>
      <c r="L2250">
        <v>1013394415</v>
      </c>
      <c r="M2250">
        <v>580558607</v>
      </c>
      <c r="N2250">
        <v>1343585901</v>
      </c>
      <c r="O2250">
        <v>1378503302</v>
      </c>
      <c r="P2250">
        <v>974</v>
      </c>
      <c r="Q2250" t="s">
        <v>4826</v>
      </c>
    </row>
    <row r="2251" spans="1:17" x14ac:dyDescent="0.3">
      <c r="A2251" t="s">
        <v>4664</v>
      </c>
      <c r="B2251" t="str">
        <f>"000403"</f>
        <v>000403</v>
      </c>
      <c r="C2251" t="s">
        <v>4827</v>
      </c>
      <c r="D2251" t="s">
        <v>378</v>
      </c>
      <c r="F2251">
        <v>303907781</v>
      </c>
      <c r="G2251">
        <v>103764640</v>
      </c>
      <c r="H2251">
        <v>127323349</v>
      </c>
      <c r="I2251">
        <v>80388111</v>
      </c>
      <c r="J2251">
        <v>58675589</v>
      </c>
      <c r="K2251">
        <v>58536361</v>
      </c>
      <c r="L2251">
        <v>67716426</v>
      </c>
      <c r="M2251">
        <v>119947233</v>
      </c>
      <c r="N2251">
        <v>85162651</v>
      </c>
      <c r="O2251">
        <v>47407390</v>
      </c>
      <c r="P2251">
        <v>294</v>
      </c>
      <c r="Q2251" t="s">
        <v>4828</v>
      </c>
    </row>
    <row r="2252" spans="1:17" x14ac:dyDescent="0.3">
      <c r="A2252" t="s">
        <v>4664</v>
      </c>
      <c r="B2252" t="str">
        <f>"000404"</f>
        <v>000404</v>
      </c>
      <c r="C2252" t="s">
        <v>4829</v>
      </c>
      <c r="D2252" t="s">
        <v>1253</v>
      </c>
      <c r="F2252">
        <v>96688702</v>
      </c>
      <c r="G2252">
        <v>76244898</v>
      </c>
      <c r="H2252">
        <v>61194841</v>
      </c>
      <c r="I2252">
        <v>62681827</v>
      </c>
      <c r="J2252">
        <v>119972753</v>
      </c>
      <c r="K2252">
        <v>181151364</v>
      </c>
      <c r="L2252">
        <v>181762017</v>
      </c>
      <c r="M2252">
        <v>160974231</v>
      </c>
      <c r="N2252">
        <v>136809701</v>
      </c>
      <c r="O2252">
        <v>79878588</v>
      </c>
      <c r="P2252">
        <v>113</v>
      </c>
      <c r="Q2252" t="s">
        <v>4830</v>
      </c>
    </row>
    <row r="2253" spans="1:17" x14ac:dyDescent="0.3">
      <c r="A2253" t="s">
        <v>4664</v>
      </c>
      <c r="B2253" t="str">
        <f>"000407"</f>
        <v>000407</v>
      </c>
      <c r="C2253" t="s">
        <v>4831</v>
      </c>
      <c r="D2253" t="s">
        <v>749</v>
      </c>
      <c r="F2253">
        <v>188766464</v>
      </c>
      <c r="G2253">
        <v>126853923</v>
      </c>
      <c r="H2253">
        <v>115745828</v>
      </c>
      <c r="I2253">
        <v>90355878</v>
      </c>
      <c r="J2253">
        <v>80454672</v>
      </c>
      <c r="K2253">
        <v>19500794</v>
      </c>
      <c r="L2253">
        <v>21028598</v>
      </c>
      <c r="M2253">
        <v>37329897</v>
      </c>
      <c r="N2253">
        <v>99252166</v>
      </c>
      <c r="O2253">
        <v>-25252858</v>
      </c>
      <c r="P2253">
        <v>113</v>
      </c>
      <c r="Q2253" t="s">
        <v>4832</v>
      </c>
    </row>
    <row r="2254" spans="1:17" x14ac:dyDescent="0.3">
      <c r="A2254" t="s">
        <v>4664</v>
      </c>
      <c r="B2254" t="str">
        <f>"000408"</f>
        <v>000408</v>
      </c>
      <c r="C2254" t="s">
        <v>4833</v>
      </c>
      <c r="D2254" t="s">
        <v>3431</v>
      </c>
      <c r="F2254">
        <v>825090228</v>
      </c>
      <c r="G2254">
        <v>45097460</v>
      </c>
      <c r="H2254">
        <v>352127119</v>
      </c>
      <c r="I2254">
        <v>753340570</v>
      </c>
      <c r="J2254">
        <v>675233002</v>
      </c>
      <c r="K2254">
        <v>467798822</v>
      </c>
      <c r="L2254">
        <v>-6519049</v>
      </c>
      <c r="M2254">
        <v>-39437872</v>
      </c>
      <c r="N2254">
        <v>4025339</v>
      </c>
      <c r="O2254">
        <v>7710726</v>
      </c>
      <c r="P2254">
        <v>188</v>
      </c>
      <c r="Q2254" t="s">
        <v>4834</v>
      </c>
    </row>
    <row r="2255" spans="1:17" x14ac:dyDescent="0.3">
      <c r="A2255" t="s">
        <v>4664</v>
      </c>
      <c r="B2255" t="str">
        <f>"000409"</f>
        <v>000409</v>
      </c>
      <c r="C2255" t="s">
        <v>4835</v>
      </c>
      <c r="D2255" t="s">
        <v>110</v>
      </c>
      <c r="F2255">
        <v>14433848</v>
      </c>
      <c r="G2255">
        <v>30500467</v>
      </c>
      <c r="H2255">
        <v>-255624631</v>
      </c>
      <c r="I2255">
        <v>51457948</v>
      </c>
      <c r="J2255">
        <v>-127370460</v>
      </c>
      <c r="K2255">
        <v>2051601</v>
      </c>
      <c r="L2255">
        <v>16116616</v>
      </c>
      <c r="M2255">
        <v>15307989</v>
      </c>
      <c r="N2255">
        <v>77979140</v>
      </c>
      <c r="O2255">
        <v>33744</v>
      </c>
      <c r="P2255">
        <v>75</v>
      </c>
      <c r="Q2255" t="s">
        <v>4836</v>
      </c>
    </row>
    <row r="2256" spans="1:17" x14ac:dyDescent="0.3">
      <c r="A2256" t="s">
        <v>4664</v>
      </c>
      <c r="B2256" t="str">
        <f>"000410"</f>
        <v>000410</v>
      </c>
      <c r="C2256" t="s">
        <v>4837</v>
      </c>
      <c r="D2256" t="s">
        <v>2312</v>
      </c>
      <c r="F2256">
        <v>-289079863</v>
      </c>
      <c r="G2256">
        <v>-538258449</v>
      </c>
      <c r="H2256">
        <v>-2555162226</v>
      </c>
      <c r="I2256">
        <v>-175341773</v>
      </c>
      <c r="J2256">
        <v>-782234341</v>
      </c>
      <c r="K2256">
        <v>-798325829</v>
      </c>
      <c r="L2256">
        <v>-470363819</v>
      </c>
      <c r="M2256">
        <v>16851698</v>
      </c>
      <c r="N2256">
        <v>11892372</v>
      </c>
      <c r="O2256">
        <v>20886350</v>
      </c>
      <c r="P2256">
        <v>101</v>
      </c>
      <c r="Q2256" t="s">
        <v>4838</v>
      </c>
    </row>
    <row r="2257" spans="1:17" x14ac:dyDescent="0.3">
      <c r="A2257" t="s">
        <v>4664</v>
      </c>
      <c r="B2257" t="str">
        <f>"000411"</f>
        <v>000411</v>
      </c>
      <c r="C2257" t="s">
        <v>4839</v>
      </c>
      <c r="D2257" t="s">
        <v>125</v>
      </c>
      <c r="F2257">
        <v>135673172</v>
      </c>
      <c r="G2257">
        <v>115069639</v>
      </c>
      <c r="H2257">
        <v>123282650</v>
      </c>
      <c r="I2257">
        <v>74853301</v>
      </c>
      <c r="J2257">
        <v>60380909</v>
      </c>
      <c r="K2257">
        <v>59652737</v>
      </c>
      <c r="L2257">
        <v>55240559</v>
      </c>
      <c r="M2257">
        <v>52287987</v>
      </c>
      <c r="N2257">
        <v>62104152</v>
      </c>
      <c r="O2257">
        <v>48983789</v>
      </c>
      <c r="P2257">
        <v>236</v>
      </c>
      <c r="Q2257" t="s">
        <v>4840</v>
      </c>
    </row>
    <row r="2258" spans="1:17" x14ac:dyDescent="0.3">
      <c r="A2258" t="s">
        <v>4664</v>
      </c>
      <c r="B2258" t="str">
        <f>"000413"</f>
        <v>000413</v>
      </c>
      <c r="C2258" t="s">
        <v>4841</v>
      </c>
      <c r="D2258" t="s">
        <v>1117</v>
      </c>
      <c r="F2258">
        <v>-1471111969</v>
      </c>
      <c r="G2258">
        <v>-1214449706</v>
      </c>
      <c r="H2258">
        <v>1134880387</v>
      </c>
      <c r="I2258">
        <v>1315157554</v>
      </c>
      <c r="J2258">
        <v>1026113886</v>
      </c>
      <c r="K2258">
        <v>801836909</v>
      </c>
      <c r="L2258">
        <v>789574486</v>
      </c>
      <c r="M2258">
        <v>604318819</v>
      </c>
      <c r="N2258">
        <v>214844146</v>
      </c>
      <c r="O2258">
        <v>102284947</v>
      </c>
      <c r="P2258">
        <v>525</v>
      </c>
      <c r="Q2258" t="s">
        <v>4842</v>
      </c>
    </row>
    <row r="2259" spans="1:17" x14ac:dyDescent="0.3">
      <c r="A2259" t="s">
        <v>4664</v>
      </c>
      <c r="B2259" t="str">
        <f>"000415"</f>
        <v>000415</v>
      </c>
      <c r="C2259" t="s">
        <v>4843</v>
      </c>
      <c r="D2259" t="s">
        <v>336</v>
      </c>
      <c r="F2259">
        <v>-344038000</v>
      </c>
      <c r="G2259">
        <v>-3149607000</v>
      </c>
      <c r="H2259">
        <v>2081078000</v>
      </c>
      <c r="I2259">
        <v>2435575000</v>
      </c>
      <c r="J2259">
        <v>1872817000</v>
      </c>
      <c r="K2259">
        <v>1439660000</v>
      </c>
      <c r="L2259">
        <v>970299000</v>
      </c>
      <c r="M2259">
        <v>699183000</v>
      </c>
      <c r="N2259">
        <v>401318595</v>
      </c>
      <c r="O2259">
        <v>409898177</v>
      </c>
      <c r="P2259">
        <v>256</v>
      </c>
      <c r="Q2259" t="s">
        <v>4844</v>
      </c>
    </row>
    <row r="2260" spans="1:17" x14ac:dyDescent="0.3">
      <c r="A2260" t="s">
        <v>4664</v>
      </c>
      <c r="B2260" t="str">
        <f>"000416"</f>
        <v>000416</v>
      </c>
      <c r="C2260" t="s">
        <v>4845</v>
      </c>
      <c r="D2260" t="s">
        <v>140</v>
      </c>
      <c r="F2260">
        <v>6970912</v>
      </c>
      <c r="G2260">
        <v>25919415</v>
      </c>
      <c r="H2260">
        <v>29657787</v>
      </c>
      <c r="I2260">
        <v>15733440</v>
      </c>
      <c r="J2260">
        <v>26859139</v>
      </c>
      <c r="K2260">
        <v>9833748</v>
      </c>
      <c r="L2260">
        <v>-18254734</v>
      </c>
      <c r="M2260">
        <v>24911196</v>
      </c>
      <c r="N2260">
        <v>29361888</v>
      </c>
      <c r="O2260">
        <v>-14609805</v>
      </c>
      <c r="P2260">
        <v>119</v>
      </c>
      <c r="Q2260" t="s">
        <v>4846</v>
      </c>
    </row>
    <row r="2261" spans="1:17" x14ac:dyDescent="0.3">
      <c r="A2261" t="s">
        <v>4664</v>
      </c>
      <c r="B2261" t="str">
        <f>"000417"</f>
        <v>000417</v>
      </c>
      <c r="C2261" t="s">
        <v>4847</v>
      </c>
      <c r="D2261" t="s">
        <v>633</v>
      </c>
      <c r="F2261">
        <v>158225984</v>
      </c>
      <c r="G2261">
        <v>126562605</v>
      </c>
      <c r="H2261">
        <v>160505955</v>
      </c>
      <c r="I2261">
        <v>171585557</v>
      </c>
      <c r="J2261">
        <v>252849702</v>
      </c>
      <c r="K2261">
        <v>230712639</v>
      </c>
      <c r="L2261">
        <v>217623783</v>
      </c>
      <c r="M2261">
        <v>288877197</v>
      </c>
      <c r="N2261">
        <v>355286715</v>
      </c>
      <c r="O2261">
        <v>336529370</v>
      </c>
      <c r="P2261">
        <v>145</v>
      </c>
      <c r="Q2261" t="s">
        <v>4848</v>
      </c>
    </row>
    <row r="2262" spans="1:17" x14ac:dyDescent="0.3">
      <c r="A2262" t="s">
        <v>4664</v>
      </c>
      <c r="B2262" t="str">
        <f>"000418"</f>
        <v>000418</v>
      </c>
      <c r="C2262" t="s">
        <v>4849</v>
      </c>
      <c r="I2262">
        <v>1347066973</v>
      </c>
      <c r="J2262">
        <v>1143019809</v>
      </c>
      <c r="K2262">
        <v>913122562.45000005</v>
      </c>
      <c r="L2262">
        <v>685752354.90999997</v>
      </c>
      <c r="M2262">
        <v>514201515.06</v>
      </c>
      <c r="N2262">
        <v>323805853.35000002</v>
      </c>
      <c r="O2262">
        <v>311563419.10000002</v>
      </c>
      <c r="P2262">
        <v>653</v>
      </c>
      <c r="Q2262" t="s">
        <v>4850</v>
      </c>
    </row>
    <row r="2263" spans="1:17" x14ac:dyDescent="0.3">
      <c r="A2263" t="s">
        <v>4664</v>
      </c>
      <c r="B2263" t="str">
        <f>"000419"</f>
        <v>000419</v>
      </c>
      <c r="C2263" t="s">
        <v>4851</v>
      </c>
      <c r="D2263" t="s">
        <v>1404</v>
      </c>
      <c r="F2263">
        <v>123980673</v>
      </c>
      <c r="G2263">
        <v>165878032</v>
      </c>
      <c r="H2263">
        <v>138417884</v>
      </c>
      <c r="I2263">
        <v>110199345</v>
      </c>
      <c r="J2263">
        <v>94485932</v>
      </c>
      <c r="K2263">
        <v>83090042</v>
      </c>
      <c r="L2263">
        <v>95252353</v>
      </c>
      <c r="M2263">
        <v>88018215</v>
      </c>
      <c r="N2263">
        <v>116603866</v>
      </c>
      <c r="O2263">
        <v>112698125</v>
      </c>
      <c r="P2263">
        <v>115</v>
      </c>
      <c r="Q2263" t="s">
        <v>4852</v>
      </c>
    </row>
    <row r="2264" spans="1:17" x14ac:dyDescent="0.3">
      <c r="A2264" t="s">
        <v>4664</v>
      </c>
      <c r="B2264" t="str">
        <f>"000420"</f>
        <v>000420</v>
      </c>
      <c r="C2264" t="s">
        <v>4853</v>
      </c>
      <c r="D2264" t="s">
        <v>888</v>
      </c>
      <c r="F2264">
        <v>1331948</v>
      </c>
      <c r="G2264">
        <v>-210107329</v>
      </c>
      <c r="H2264">
        <v>81751705</v>
      </c>
      <c r="I2264">
        <v>128002246</v>
      </c>
      <c r="J2264">
        <v>82882139</v>
      </c>
      <c r="K2264">
        <v>22336370</v>
      </c>
      <c r="L2264">
        <v>8439674</v>
      </c>
      <c r="M2264">
        <v>95461383</v>
      </c>
      <c r="N2264">
        <v>-176681236</v>
      </c>
      <c r="O2264">
        <v>-55181766</v>
      </c>
      <c r="P2264">
        <v>101</v>
      </c>
      <c r="Q2264" t="s">
        <v>4854</v>
      </c>
    </row>
    <row r="2265" spans="1:17" x14ac:dyDescent="0.3">
      <c r="A2265" t="s">
        <v>4664</v>
      </c>
      <c r="B2265" t="str">
        <f>"000421"</f>
        <v>000421</v>
      </c>
      <c r="C2265" t="s">
        <v>4855</v>
      </c>
      <c r="D2265" t="s">
        <v>749</v>
      </c>
      <c r="F2265">
        <v>1114522</v>
      </c>
      <c r="G2265">
        <v>403290816</v>
      </c>
      <c r="H2265">
        <v>87110788</v>
      </c>
      <c r="I2265">
        <v>119027859</v>
      </c>
      <c r="J2265">
        <v>90413696</v>
      </c>
      <c r="K2265">
        <v>129002774</v>
      </c>
      <c r="L2265">
        <v>124560842</v>
      </c>
      <c r="M2265">
        <v>118368979</v>
      </c>
      <c r="N2265">
        <v>49594373</v>
      </c>
      <c r="O2265">
        <v>82568070</v>
      </c>
      <c r="P2265">
        <v>159</v>
      </c>
      <c r="Q2265" t="s">
        <v>4856</v>
      </c>
    </row>
    <row r="2266" spans="1:17" x14ac:dyDescent="0.3">
      <c r="A2266" t="s">
        <v>4664</v>
      </c>
      <c r="B2266" t="str">
        <f>"000422"</f>
        <v>000422</v>
      </c>
      <c r="C2266" t="s">
        <v>4857</v>
      </c>
      <c r="D2266" t="s">
        <v>175</v>
      </c>
      <c r="F2266">
        <v>1487025616</v>
      </c>
      <c r="G2266">
        <v>-2524786</v>
      </c>
      <c r="H2266">
        <v>112650871</v>
      </c>
      <c r="I2266">
        <v>334631334</v>
      </c>
      <c r="J2266">
        <v>-1230799526</v>
      </c>
      <c r="K2266">
        <v>18371975</v>
      </c>
      <c r="L2266">
        <v>33849791</v>
      </c>
      <c r="M2266">
        <v>18177543</v>
      </c>
      <c r="N2266">
        <v>234627906</v>
      </c>
      <c r="O2266">
        <v>633528462</v>
      </c>
      <c r="P2266">
        <v>257</v>
      </c>
      <c r="Q2266" t="s">
        <v>4858</v>
      </c>
    </row>
    <row r="2267" spans="1:17" x14ac:dyDescent="0.3">
      <c r="A2267" t="s">
        <v>4664</v>
      </c>
      <c r="B2267" t="str">
        <f>"000423"</f>
        <v>000423</v>
      </c>
      <c r="C2267" t="s">
        <v>4859</v>
      </c>
      <c r="D2267" t="s">
        <v>188</v>
      </c>
      <c r="F2267">
        <v>301271890</v>
      </c>
      <c r="G2267">
        <v>-20983310</v>
      </c>
      <c r="H2267">
        <v>208898990</v>
      </c>
      <c r="I2267">
        <v>1225076882</v>
      </c>
      <c r="J2267">
        <v>1246595999</v>
      </c>
      <c r="K2267">
        <v>1225932054</v>
      </c>
      <c r="L2267">
        <v>1129805851</v>
      </c>
      <c r="M2267">
        <v>923129671</v>
      </c>
      <c r="N2267">
        <v>860530175</v>
      </c>
      <c r="O2267">
        <v>738828180</v>
      </c>
      <c r="P2267">
        <v>24620</v>
      </c>
      <c r="Q2267" t="s">
        <v>4860</v>
      </c>
    </row>
    <row r="2268" spans="1:17" x14ac:dyDescent="0.3">
      <c r="A2268" t="s">
        <v>4664</v>
      </c>
      <c r="B2268" t="str">
        <f>"000425"</f>
        <v>000425</v>
      </c>
      <c r="C2268" t="s">
        <v>4861</v>
      </c>
      <c r="D2268" t="s">
        <v>83</v>
      </c>
      <c r="F2268">
        <v>4609263206</v>
      </c>
      <c r="G2268">
        <v>2434197269</v>
      </c>
      <c r="H2268">
        <v>3020012958</v>
      </c>
      <c r="I2268">
        <v>1507901403</v>
      </c>
      <c r="J2268">
        <v>777851965</v>
      </c>
      <c r="K2268">
        <v>165364860</v>
      </c>
      <c r="L2268">
        <v>12350928</v>
      </c>
      <c r="M2268">
        <v>837724071</v>
      </c>
      <c r="N2268">
        <v>1056503041</v>
      </c>
      <c r="O2268">
        <v>1967491004</v>
      </c>
      <c r="P2268">
        <v>961</v>
      </c>
      <c r="Q2268" t="s">
        <v>4862</v>
      </c>
    </row>
    <row r="2269" spans="1:17" x14ac:dyDescent="0.3">
      <c r="A2269" t="s">
        <v>4664</v>
      </c>
      <c r="B2269" t="str">
        <f>"000426"</f>
        <v>000426</v>
      </c>
      <c r="C2269" t="s">
        <v>4863</v>
      </c>
      <c r="D2269" t="s">
        <v>744</v>
      </c>
      <c r="F2269">
        <v>265869824</v>
      </c>
      <c r="G2269">
        <v>-121003392</v>
      </c>
      <c r="H2269">
        <v>-102859000</v>
      </c>
      <c r="I2269">
        <v>567151833</v>
      </c>
      <c r="J2269">
        <v>401140167</v>
      </c>
      <c r="K2269">
        <v>96781872</v>
      </c>
      <c r="L2269">
        <v>21986696</v>
      </c>
      <c r="M2269">
        <v>172554860</v>
      </c>
      <c r="N2269">
        <v>72813832</v>
      </c>
      <c r="O2269">
        <v>126758405</v>
      </c>
      <c r="P2269">
        <v>202</v>
      </c>
      <c r="Q2269" t="s">
        <v>4864</v>
      </c>
    </row>
    <row r="2270" spans="1:17" x14ac:dyDescent="0.3">
      <c r="A2270" t="s">
        <v>4664</v>
      </c>
      <c r="B2270" t="str">
        <f>"000428"</f>
        <v>000428</v>
      </c>
      <c r="C2270" t="s">
        <v>4865</v>
      </c>
      <c r="D2270" t="s">
        <v>590</v>
      </c>
      <c r="F2270">
        <v>-225980231</v>
      </c>
      <c r="G2270">
        <v>-381045145</v>
      </c>
      <c r="H2270">
        <v>-182253196</v>
      </c>
      <c r="I2270">
        <v>-205517678</v>
      </c>
      <c r="J2270">
        <v>-148242180</v>
      </c>
      <c r="K2270">
        <v>-123331300</v>
      </c>
      <c r="L2270">
        <v>21273540</v>
      </c>
      <c r="M2270">
        <v>-8605721</v>
      </c>
      <c r="N2270">
        <v>154564905</v>
      </c>
      <c r="O2270">
        <v>87651272</v>
      </c>
      <c r="P2270">
        <v>104</v>
      </c>
      <c r="Q2270" t="s">
        <v>4866</v>
      </c>
    </row>
    <row r="2271" spans="1:17" x14ac:dyDescent="0.3">
      <c r="A2271" t="s">
        <v>4664</v>
      </c>
      <c r="B2271" t="str">
        <f>"000429"</f>
        <v>000429</v>
      </c>
      <c r="C2271" t="s">
        <v>4867</v>
      </c>
      <c r="D2271" t="s">
        <v>44</v>
      </c>
      <c r="F2271">
        <v>1394250004</v>
      </c>
      <c r="G2271">
        <v>345202032</v>
      </c>
      <c r="H2271">
        <v>1107730568</v>
      </c>
      <c r="I2271">
        <v>1220305250</v>
      </c>
      <c r="J2271">
        <v>1277628791</v>
      </c>
      <c r="K2271">
        <v>797375219</v>
      </c>
      <c r="L2271">
        <v>393290604</v>
      </c>
      <c r="M2271">
        <v>301008458</v>
      </c>
      <c r="N2271">
        <v>96925851</v>
      </c>
      <c r="O2271">
        <v>225489378</v>
      </c>
      <c r="P2271">
        <v>1026</v>
      </c>
      <c r="Q2271" t="s">
        <v>4868</v>
      </c>
    </row>
    <row r="2272" spans="1:17" x14ac:dyDescent="0.3">
      <c r="A2272" t="s">
        <v>4664</v>
      </c>
      <c r="B2272" t="str">
        <f>"000430"</f>
        <v>000430</v>
      </c>
      <c r="C2272" t="s">
        <v>4869</v>
      </c>
      <c r="D2272" t="s">
        <v>119</v>
      </c>
      <c r="F2272">
        <v>-58415831</v>
      </c>
      <c r="G2272">
        <v>-59821275</v>
      </c>
      <c r="H2272">
        <v>39822875</v>
      </c>
      <c r="I2272">
        <v>54769568</v>
      </c>
      <c r="J2272">
        <v>70634007</v>
      </c>
      <c r="K2272">
        <v>96462451</v>
      </c>
      <c r="L2272">
        <v>130871893</v>
      </c>
      <c r="M2272">
        <v>64900496</v>
      </c>
      <c r="N2272">
        <v>46455656</v>
      </c>
      <c r="O2272">
        <v>84319958</v>
      </c>
      <c r="P2272">
        <v>109</v>
      </c>
      <c r="Q2272" t="s">
        <v>4870</v>
      </c>
    </row>
    <row r="2273" spans="1:17" x14ac:dyDescent="0.3">
      <c r="A2273" t="s">
        <v>4664</v>
      </c>
      <c r="B2273" t="str">
        <f>"000488"</f>
        <v>000488</v>
      </c>
      <c r="C2273" t="s">
        <v>4871</v>
      </c>
      <c r="D2273" t="s">
        <v>694</v>
      </c>
      <c r="F2273">
        <v>2182329265</v>
      </c>
      <c r="G2273">
        <v>1076554279</v>
      </c>
      <c r="H2273">
        <v>1067755826</v>
      </c>
      <c r="I2273">
        <v>2481157773</v>
      </c>
      <c r="J2273">
        <v>2711515079</v>
      </c>
      <c r="K2273">
        <v>1554163520</v>
      </c>
      <c r="L2273">
        <v>561325639</v>
      </c>
      <c r="M2273">
        <v>341197491</v>
      </c>
      <c r="N2273">
        <v>529995045</v>
      </c>
      <c r="O2273">
        <v>133154191</v>
      </c>
      <c r="P2273">
        <v>1270</v>
      </c>
      <c r="Q2273" t="s">
        <v>4872</v>
      </c>
    </row>
    <row r="2274" spans="1:17" x14ac:dyDescent="0.3">
      <c r="A2274" t="s">
        <v>4664</v>
      </c>
      <c r="B2274" t="str">
        <f>"000498"</f>
        <v>000498</v>
      </c>
      <c r="C2274" t="s">
        <v>4873</v>
      </c>
      <c r="D2274" t="s">
        <v>101</v>
      </c>
      <c r="F2274">
        <v>1298383591</v>
      </c>
      <c r="G2274">
        <v>631553618</v>
      </c>
      <c r="H2274">
        <v>376042181</v>
      </c>
      <c r="I2274">
        <v>351282239</v>
      </c>
      <c r="J2274">
        <v>411480876</v>
      </c>
      <c r="K2274">
        <v>248077132</v>
      </c>
      <c r="L2274">
        <v>205246570</v>
      </c>
      <c r="M2274">
        <v>140891315</v>
      </c>
      <c r="N2274">
        <v>195647524</v>
      </c>
      <c r="O2274">
        <v>-8762732</v>
      </c>
      <c r="P2274">
        <v>276</v>
      </c>
      <c r="Q2274" t="s">
        <v>4874</v>
      </c>
    </row>
    <row r="2275" spans="1:17" x14ac:dyDescent="0.3">
      <c r="A2275" t="s">
        <v>4664</v>
      </c>
      <c r="B2275" t="str">
        <f>"000501"</f>
        <v>000501</v>
      </c>
      <c r="C2275" t="s">
        <v>4875</v>
      </c>
      <c r="D2275" t="s">
        <v>633</v>
      </c>
      <c r="F2275">
        <v>548052333</v>
      </c>
      <c r="G2275">
        <v>202020566</v>
      </c>
      <c r="H2275">
        <v>818018474</v>
      </c>
      <c r="I2275">
        <v>782667641</v>
      </c>
      <c r="J2275">
        <v>875274112</v>
      </c>
      <c r="K2275">
        <v>705966598</v>
      </c>
      <c r="L2275">
        <v>553282005</v>
      </c>
      <c r="M2275">
        <v>484734601</v>
      </c>
      <c r="N2275">
        <v>341455296</v>
      </c>
      <c r="O2275">
        <v>301951619</v>
      </c>
      <c r="P2275">
        <v>6225</v>
      </c>
      <c r="Q2275" t="s">
        <v>4876</v>
      </c>
    </row>
    <row r="2276" spans="1:17" x14ac:dyDescent="0.3">
      <c r="A2276" t="s">
        <v>4664</v>
      </c>
      <c r="B2276" t="str">
        <f>"000502"</f>
        <v>000502</v>
      </c>
      <c r="C2276" t="s">
        <v>4877</v>
      </c>
      <c r="D2276" t="s">
        <v>2948</v>
      </c>
      <c r="F2276">
        <v>-9168201</v>
      </c>
      <c r="G2276">
        <v>-7132413</v>
      </c>
      <c r="H2276">
        <v>-1804446</v>
      </c>
      <c r="I2276">
        <v>41986565</v>
      </c>
      <c r="J2276">
        <v>-58087733</v>
      </c>
      <c r="K2276">
        <v>-34637956</v>
      </c>
      <c r="L2276">
        <v>-9020657</v>
      </c>
      <c r="M2276">
        <v>-3453855</v>
      </c>
      <c r="N2276">
        <v>6805216</v>
      </c>
      <c r="O2276">
        <v>-9683868</v>
      </c>
      <c r="P2276">
        <v>85</v>
      </c>
      <c r="Q2276" t="s">
        <v>4878</v>
      </c>
    </row>
    <row r="2277" spans="1:17" x14ac:dyDescent="0.3">
      <c r="A2277" t="s">
        <v>4664</v>
      </c>
      <c r="B2277" t="str">
        <f>"000503"</f>
        <v>000503</v>
      </c>
      <c r="C2277" t="s">
        <v>4879</v>
      </c>
      <c r="D2277" t="s">
        <v>945</v>
      </c>
      <c r="F2277">
        <v>-127324268</v>
      </c>
      <c r="G2277">
        <v>-162047679</v>
      </c>
      <c r="H2277">
        <v>-146243736</v>
      </c>
      <c r="I2277">
        <v>-113272857</v>
      </c>
      <c r="J2277">
        <v>-154451023</v>
      </c>
      <c r="K2277">
        <v>-85144982</v>
      </c>
      <c r="L2277">
        <v>-97029875</v>
      </c>
      <c r="M2277">
        <v>2423502</v>
      </c>
      <c r="N2277">
        <v>2062485</v>
      </c>
      <c r="O2277">
        <v>3533738</v>
      </c>
      <c r="P2277">
        <v>174</v>
      </c>
      <c r="Q2277" t="s">
        <v>4880</v>
      </c>
    </row>
    <row r="2278" spans="1:17" x14ac:dyDescent="0.3">
      <c r="A2278" t="s">
        <v>4664</v>
      </c>
      <c r="B2278" t="str">
        <f>"000504"</f>
        <v>000504</v>
      </c>
      <c r="C2278" t="s">
        <v>4881</v>
      </c>
      <c r="D2278" t="s">
        <v>4182</v>
      </c>
      <c r="F2278">
        <v>-8401492</v>
      </c>
      <c r="G2278">
        <v>-3495870</v>
      </c>
      <c r="H2278">
        <v>-20088395</v>
      </c>
      <c r="I2278">
        <v>-23010118</v>
      </c>
      <c r="J2278">
        <v>-20490821</v>
      </c>
      <c r="K2278">
        <v>-15809606</v>
      </c>
      <c r="L2278">
        <v>-10450529</v>
      </c>
      <c r="M2278">
        <v>-13276198</v>
      </c>
      <c r="N2278">
        <v>-15450033</v>
      </c>
      <c r="O2278">
        <v>-3808561</v>
      </c>
      <c r="P2278">
        <v>85</v>
      </c>
      <c r="Q2278" t="s">
        <v>4882</v>
      </c>
    </row>
    <row r="2279" spans="1:17" x14ac:dyDescent="0.3">
      <c r="A2279" t="s">
        <v>4664</v>
      </c>
      <c r="B2279" t="str">
        <f>"000505"</f>
        <v>000505</v>
      </c>
      <c r="C2279" t="s">
        <v>4883</v>
      </c>
      <c r="D2279" t="s">
        <v>306</v>
      </c>
      <c r="F2279">
        <v>128107050</v>
      </c>
      <c r="G2279">
        <v>114657826</v>
      </c>
      <c r="H2279">
        <v>85351872</v>
      </c>
      <c r="I2279">
        <v>102264391</v>
      </c>
      <c r="J2279">
        <v>113833212</v>
      </c>
      <c r="K2279">
        <v>-90791370</v>
      </c>
      <c r="L2279">
        <v>-34186775</v>
      </c>
      <c r="M2279">
        <v>-118846569</v>
      </c>
      <c r="N2279">
        <v>-98456114</v>
      </c>
      <c r="O2279">
        <v>-78783414</v>
      </c>
      <c r="P2279">
        <v>193</v>
      </c>
      <c r="Q2279" t="s">
        <v>4884</v>
      </c>
    </row>
    <row r="2280" spans="1:17" x14ac:dyDescent="0.3">
      <c r="A2280" t="s">
        <v>4664</v>
      </c>
      <c r="B2280" t="str">
        <f>"000506"</f>
        <v>000506</v>
      </c>
      <c r="C2280" t="s">
        <v>4885</v>
      </c>
      <c r="D2280" t="s">
        <v>104</v>
      </c>
      <c r="F2280">
        <v>-34615863</v>
      </c>
      <c r="G2280">
        <v>-73501390</v>
      </c>
      <c r="H2280">
        <v>-16439759</v>
      </c>
      <c r="I2280">
        <v>8891299</v>
      </c>
      <c r="J2280">
        <v>-139664888</v>
      </c>
      <c r="K2280">
        <v>6534420</v>
      </c>
      <c r="L2280">
        <v>-30366630</v>
      </c>
      <c r="M2280">
        <v>-147604974</v>
      </c>
      <c r="N2280">
        <v>226652130</v>
      </c>
      <c r="O2280">
        <v>120103014</v>
      </c>
      <c r="P2280">
        <v>85</v>
      </c>
      <c r="Q2280" t="s">
        <v>4886</v>
      </c>
    </row>
    <row r="2281" spans="1:17" x14ac:dyDescent="0.3">
      <c r="A2281" t="s">
        <v>4664</v>
      </c>
      <c r="B2281" t="str">
        <f>"000507"</f>
        <v>000507</v>
      </c>
      <c r="C2281" t="s">
        <v>4887</v>
      </c>
      <c r="D2281" t="s">
        <v>51</v>
      </c>
      <c r="F2281">
        <v>284679138</v>
      </c>
      <c r="G2281">
        <v>152406771</v>
      </c>
      <c r="H2281">
        <v>146141542</v>
      </c>
      <c r="I2281">
        <v>143231135</v>
      </c>
      <c r="J2281">
        <v>111990135</v>
      </c>
      <c r="K2281">
        <v>84002286</v>
      </c>
      <c r="L2281">
        <v>51798054</v>
      </c>
      <c r="M2281">
        <v>-27742638</v>
      </c>
      <c r="N2281">
        <v>13712460</v>
      </c>
      <c r="O2281">
        <v>160144774</v>
      </c>
      <c r="P2281">
        <v>185</v>
      </c>
      <c r="Q2281" t="s">
        <v>4888</v>
      </c>
    </row>
    <row r="2282" spans="1:17" x14ac:dyDescent="0.3">
      <c r="A2282" t="s">
        <v>4664</v>
      </c>
      <c r="B2282" t="str">
        <f>"000509"</f>
        <v>000509</v>
      </c>
      <c r="C2282" t="s">
        <v>4889</v>
      </c>
      <c r="D2282" t="s">
        <v>1147</v>
      </c>
      <c r="F2282">
        <v>2056708</v>
      </c>
      <c r="G2282">
        <v>-18088560</v>
      </c>
      <c r="H2282">
        <v>8324801</v>
      </c>
      <c r="I2282">
        <v>-8309169</v>
      </c>
      <c r="J2282">
        <v>-15451584</v>
      </c>
      <c r="K2282">
        <v>-33481392</v>
      </c>
      <c r="L2282">
        <v>-27865262</v>
      </c>
      <c r="M2282">
        <v>12221431</v>
      </c>
      <c r="N2282">
        <v>-27482306</v>
      </c>
      <c r="O2282">
        <v>1628927</v>
      </c>
      <c r="P2282">
        <v>84</v>
      </c>
      <c r="Q2282" t="s">
        <v>4890</v>
      </c>
    </row>
    <row r="2283" spans="1:17" x14ac:dyDescent="0.3">
      <c r="A2283" t="s">
        <v>4664</v>
      </c>
      <c r="B2283" t="str">
        <f>"000510"</f>
        <v>000510</v>
      </c>
      <c r="C2283" t="s">
        <v>4891</v>
      </c>
      <c r="D2283" t="s">
        <v>175</v>
      </c>
      <c r="F2283">
        <v>210456467</v>
      </c>
      <c r="G2283">
        <v>33098769</v>
      </c>
      <c r="H2283">
        <v>46611243</v>
      </c>
      <c r="I2283">
        <v>84444715</v>
      </c>
      <c r="J2283">
        <v>39472361</v>
      </c>
      <c r="K2283">
        <v>18060960</v>
      </c>
      <c r="L2283">
        <v>-87850626</v>
      </c>
      <c r="M2283">
        <v>-82503893</v>
      </c>
      <c r="N2283">
        <v>-104159072</v>
      </c>
      <c r="O2283">
        <v>-88868910</v>
      </c>
      <c r="P2283">
        <v>128</v>
      </c>
      <c r="Q2283" t="s">
        <v>4892</v>
      </c>
    </row>
    <row r="2284" spans="1:17" x14ac:dyDescent="0.3">
      <c r="A2284" t="s">
        <v>4664</v>
      </c>
      <c r="B2284" t="str">
        <f>"000511"</f>
        <v>000511</v>
      </c>
      <c r="C2284" t="s">
        <v>4893</v>
      </c>
      <c r="J2284">
        <v>-125887644</v>
      </c>
      <c r="K2284">
        <v>-80977035.829999998</v>
      </c>
      <c r="L2284">
        <v>22378282.989999998</v>
      </c>
      <c r="M2284">
        <v>27659471.280000001</v>
      </c>
      <c r="N2284">
        <v>25525974.25</v>
      </c>
      <c r="O2284">
        <v>24285536.809999999</v>
      </c>
      <c r="P2284">
        <v>14</v>
      </c>
      <c r="Q2284" t="s">
        <v>4894</v>
      </c>
    </row>
    <row r="2285" spans="1:17" x14ac:dyDescent="0.3">
      <c r="A2285" t="s">
        <v>4664</v>
      </c>
      <c r="B2285" t="str">
        <f>"000513"</f>
        <v>000513</v>
      </c>
      <c r="C2285" t="s">
        <v>4895</v>
      </c>
      <c r="D2285" t="s">
        <v>143</v>
      </c>
      <c r="F2285">
        <v>1452730416</v>
      </c>
      <c r="G2285">
        <v>1421547484</v>
      </c>
      <c r="H2285">
        <v>1039837557</v>
      </c>
      <c r="I2285">
        <v>940104690</v>
      </c>
      <c r="J2285">
        <v>4246241917</v>
      </c>
      <c r="K2285">
        <v>614774020</v>
      </c>
      <c r="L2285">
        <v>495452020</v>
      </c>
      <c r="M2285">
        <v>423309230</v>
      </c>
      <c r="N2285">
        <v>378734988</v>
      </c>
      <c r="O2285">
        <v>343630862</v>
      </c>
      <c r="P2285">
        <v>1622</v>
      </c>
      <c r="Q2285" t="s">
        <v>4896</v>
      </c>
    </row>
    <row r="2286" spans="1:17" x14ac:dyDescent="0.3">
      <c r="A2286" t="s">
        <v>4664</v>
      </c>
      <c r="B2286" t="str">
        <f>"000514"</f>
        <v>000514</v>
      </c>
      <c r="C2286" t="s">
        <v>4897</v>
      </c>
      <c r="D2286" t="s">
        <v>104</v>
      </c>
      <c r="F2286">
        <v>-22434345</v>
      </c>
      <c r="G2286">
        <v>25987279</v>
      </c>
      <c r="H2286">
        <v>11211276</v>
      </c>
      <c r="I2286">
        <v>11759201</v>
      </c>
      <c r="J2286">
        <v>67244436</v>
      </c>
      <c r="K2286">
        <v>10886037</v>
      </c>
      <c r="L2286">
        <v>24449810</v>
      </c>
      <c r="M2286">
        <v>121157331</v>
      </c>
      <c r="N2286">
        <v>59728491</v>
      </c>
      <c r="O2286">
        <v>59985548</v>
      </c>
      <c r="P2286">
        <v>113</v>
      </c>
      <c r="Q2286" t="s">
        <v>4898</v>
      </c>
    </row>
    <row r="2287" spans="1:17" x14ac:dyDescent="0.3">
      <c r="A2287" t="s">
        <v>4664</v>
      </c>
      <c r="B2287" t="str">
        <f>"000516"</f>
        <v>000516</v>
      </c>
      <c r="C2287" t="s">
        <v>4899</v>
      </c>
      <c r="D2287" t="s">
        <v>1147</v>
      </c>
      <c r="F2287">
        <v>-584918660</v>
      </c>
      <c r="G2287">
        <v>-498414000</v>
      </c>
      <c r="H2287">
        <v>-20280833</v>
      </c>
      <c r="I2287">
        <v>2231837091</v>
      </c>
      <c r="J2287">
        <v>182300987</v>
      </c>
      <c r="K2287">
        <v>194392474</v>
      </c>
      <c r="L2287">
        <v>175477742</v>
      </c>
      <c r="M2287">
        <v>197347253</v>
      </c>
      <c r="N2287">
        <v>105631456</v>
      </c>
      <c r="O2287">
        <v>103011798</v>
      </c>
      <c r="P2287">
        <v>405</v>
      </c>
      <c r="Q2287" t="s">
        <v>4900</v>
      </c>
    </row>
    <row r="2288" spans="1:17" x14ac:dyDescent="0.3">
      <c r="A2288" t="s">
        <v>4664</v>
      </c>
      <c r="B2288" t="str">
        <f>"000517"</f>
        <v>000517</v>
      </c>
      <c r="C2288" t="s">
        <v>4901</v>
      </c>
      <c r="D2288" t="s">
        <v>104</v>
      </c>
      <c r="F2288">
        <v>740743702</v>
      </c>
      <c r="G2288">
        <v>728474871</v>
      </c>
      <c r="H2288">
        <v>650363921</v>
      </c>
      <c r="I2288">
        <v>407334586</v>
      </c>
      <c r="J2288">
        <v>479292100</v>
      </c>
      <c r="K2288">
        <v>20439442</v>
      </c>
      <c r="L2288">
        <v>23967794</v>
      </c>
      <c r="M2288">
        <v>270988395</v>
      </c>
      <c r="N2288">
        <v>300597968</v>
      </c>
      <c r="O2288">
        <v>120865750</v>
      </c>
      <c r="P2288">
        <v>312</v>
      </c>
      <c r="Q2288" t="s">
        <v>4902</v>
      </c>
    </row>
    <row r="2289" spans="1:17" x14ac:dyDescent="0.3">
      <c r="A2289" t="s">
        <v>4664</v>
      </c>
      <c r="B2289" t="str">
        <f>"000518"</f>
        <v>000518</v>
      </c>
      <c r="C2289" t="s">
        <v>4903</v>
      </c>
      <c r="D2289" t="s">
        <v>1379</v>
      </c>
      <c r="F2289">
        <v>-22781213</v>
      </c>
      <c r="G2289">
        <v>21751604</v>
      </c>
      <c r="H2289">
        <v>9478093</v>
      </c>
      <c r="I2289">
        <v>-9392069</v>
      </c>
      <c r="J2289">
        <v>33619824</v>
      </c>
      <c r="K2289">
        <v>10367777</v>
      </c>
      <c r="L2289">
        <v>-4624922</v>
      </c>
      <c r="M2289">
        <v>28685024</v>
      </c>
      <c r="N2289">
        <v>1980822</v>
      </c>
      <c r="O2289">
        <v>3183040</v>
      </c>
      <c r="P2289">
        <v>171</v>
      </c>
      <c r="Q2289" t="s">
        <v>4904</v>
      </c>
    </row>
    <row r="2290" spans="1:17" x14ac:dyDescent="0.3">
      <c r="A2290" t="s">
        <v>4664</v>
      </c>
      <c r="B2290" t="str">
        <f>"000519"</f>
        <v>000519</v>
      </c>
      <c r="C2290" t="s">
        <v>4905</v>
      </c>
      <c r="D2290" t="s">
        <v>428</v>
      </c>
      <c r="F2290">
        <v>606720315</v>
      </c>
      <c r="G2290">
        <v>329417282</v>
      </c>
      <c r="H2290">
        <v>283976993</v>
      </c>
      <c r="I2290">
        <v>261676912</v>
      </c>
      <c r="J2290">
        <v>26564119</v>
      </c>
      <c r="K2290">
        <v>46502750</v>
      </c>
      <c r="L2290">
        <v>211661819</v>
      </c>
      <c r="M2290">
        <v>267459428</v>
      </c>
      <c r="N2290">
        <v>250118568</v>
      </c>
      <c r="O2290">
        <v>4412869</v>
      </c>
      <c r="P2290">
        <v>336</v>
      </c>
      <c r="Q2290" t="s">
        <v>4906</v>
      </c>
    </row>
    <row r="2291" spans="1:17" x14ac:dyDescent="0.3">
      <c r="A2291" t="s">
        <v>4664</v>
      </c>
      <c r="B2291" t="str">
        <f>"000520"</f>
        <v>000520</v>
      </c>
      <c r="C2291" t="s">
        <v>4907</v>
      </c>
      <c r="D2291" t="s">
        <v>69</v>
      </c>
      <c r="F2291">
        <v>59750171</v>
      </c>
      <c r="G2291">
        <v>10853062</v>
      </c>
      <c r="H2291">
        <v>29539997</v>
      </c>
      <c r="I2291">
        <v>59860372</v>
      </c>
      <c r="J2291">
        <v>34239832</v>
      </c>
      <c r="K2291">
        <v>-3194240</v>
      </c>
      <c r="L2291">
        <v>108825873</v>
      </c>
      <c r="M2291">
        <v>4360589742</v>
      </c>
      <c r="N2291">
        <v>-497681803</v>
      </c>
      <c r="O2291">
        <v>-628731632</v>
      </c>
      <c r="P2291">
        <v>110</v>
      </c>
      <c r="Q2291" t="s">
        <v>4908</v>
      </c>
    </row>
    <row r="2292" spans="1:17" x14ac:dyDescent="0.3">
      <c r="A2292" t="s">
        <v>4664</v>
      </c>
      <c r="B2292" t="str">
        <f>"000521"</f>
        <v>000521</v>
      </c>
      <c r="C2292" t="s">
        <v>4909</v>
      </c>
      <c r="D2292" t="s">
        <v>754</v>
      </c>
      <c r="F2292">
        <v>62259854</v>
      </c>
      <c r="G2292">
        <v>-123555526</v>
      </c>
      <c r="H2292">
        <v>80752019</v>
      </c>
      <c r="I2292">
        <v>65638506</v>
      </c>
      <c r="J2292">
        <v>120222316</v>
      </c>
      <c r="K2292">
        <v>165288665</v>
      </c>
      <c r="L2292">
        <v>161902413</v>
      </c>
      <c r="M2292">
        <v>239217809</v>
      </c>
      <c r="N2292">
        <v>205133197</v>
      </c>
      <c r="O2292">
        <v>151052572</v>
      </c>
      <c r="P2292">
        <v>181</v>
      </c>
      <c r="Q2292" t="s">
        <v>4910</v>
      </c>
    </row>
    <row r="2293" spans="1:17" x14ac:dyDescent="0.3">
      <c r="A2293" t="s">
        <v>4664</v>
      </c>
      <c r="B2293" t="str">
        <f>"000522"</f>
        <v>000522</v>
      </c>
      <c r="C2293" t="s">
        <v>4911</v>
      </c>
      <c r="N2293">
        <v>728258336.92999995</v>
      </c>
      <c r="O2293">
        <v>279508268.97000003</v>
      </c>
      <c r="P2293">
        <v>63</v>
      </c>
      <c r="Q2293" t="s">
        <v>4912</v>
      </c>
    </row>
    <row r="2294" spans="1:17" x14ac:dyDescent="0.3">
      <c r="A2294" t="s">
        <v>4664</v>
      </c>
      <c r="B2294" t="str">
        <f>"000523"</f>
        <v>000523</v>
      </c>
      <c r="C2294" t="s">
        <v>4913</v>
      </c>
      <c r="D2294" t="s">
        <v>569</v>
      </c>
      <c r="F2294">
        <v>-114371021</v>
      </c>
      <c r="G2294">
        <v>-1169969778</v>
      </c>
      <c r="H2294">
        <v>22076850</v>
      </c>
      <c r="I2294">
        <v>21023329</v>
      </c>
      <c r="J2294">
        <v>22507526</v>
      </c>
      <c r="K2294">
        <v>20252159</v>
      </c>
      <c r="L2294">
        <v>28602725</v>
      </c>
      <c r="M2294">
        <v>25178462</v>
      </c>
      <c r="N2294">
        <v>18213568</v>
      </c>
      <c r="O2294">
        <v>17277075</v>
      </c>
      <c r="P2294">
        <v>97</v>
      </c>
      <c r="Q2294" t="s">
        <v>4914</v>
      </c>
    </row>
    <row r="2295" spans="1:17" x14ac:dyDescent="0.3">
      <c r="A2295" t="s">
        <v>4664</v>
      </c>
      <c r="B2295" t="str">
        <f>"000524"</f>
        <v>000524</v>
      </c>
      <c r="C2295" t="s">
        <v>4915</v>
      </c>
      <c r="D2295" t="s">
        <v>1120</v>
      </c>
      <c r="F2295">
        <v>-98608744</v>
      </c>
      <c r="G2295">
        <v>-149461063</v>
      </c>
      <c r="H2295">
        <v>237988987</v>
      </c>
      <c r="I2295">
        <v>161989461</v>
      </c>
      <c r="J2295">
        <v>141184137</v>
      </c>
      <c r="K2295">
        <v>29110706</v>
      </c>
      <c r="L2295">
        <v>29545237</v>
      </c>
      <c r="M2295">
        <v>23485291</v>
      </c>
      <c r="N2295">
        <v>25165269</v>
      </c>
      <c r="O2295">
        <v>24773418</v>
      </c>
      <c r="P2295">
        <v>156</v>
      </c>
      <c r="Q2295" t="s">
        <v>4916</v>
      </c>
    </row>
    <row r="2296" spans="1:17" x14ac:dyDescent="0.3">
      <c r="A2296" t="s">
        <v>4664</v>
      </c>
      <c r="B2296" t="str">
        <f>"000525"</f>
        <v>000525</v>
      </c>
      <c r="C2296" t="s">
        <v>4917</v>
      </c>
      <c r="D2296" t="s">
        <v>853</v>
      </c>
      <c r="F2296">
        <v>36314285</v>
      </c>
      <c r="G2296">
        <v>95814160</v>
      </c>
      <c r="H2296">
        <v>291236838</v>
      </c>
      <c r="I2296">
        <v>540875091</v>
      </c>
      <c r="J2296">
        <v>521059186</v>
      </c>
      <c r="K2296">
        <v>38870139</v>
      </c>
      <c r="L2296">
        <v>219409309</v>
      </c>
      <c r="M2296">
        <v>397988334</v>
      </c>
      <c r="N2296">
        <v>263875136</v>
      </c>
      <c r="O2296">
        <v>216891889</v>
      </c>
      <c r="P2296">
        <v>150</v>
      </c>
      <c r="Q2296" t="s">
        <v>4918</v>
      </c>
    </row>
    <row r="2297" spans="1:17" x14ac:dyDescent="0.3">
      <c r="A2297" t="s">
        <v>4664</v>
      </c>
      <c r="B2297" t="str">
        <f>"000526"</f>
        <v>000526</v>
      </c>
      <c r="C2297" t="s">
        <v>4919</v>
      </c>
      <c r="D2297" t="s">
        <v>1336</v>
      </c>
      <c r="F2297">
        <v>44776719</v>
      </c>
      <c r="G2297">
        <v>30420053</v>
      </c>
      <c r="H2297">
        <v>63987501</v>
      </c>
      <c r="I2297">
        <v>68302717</v>
      </c>
      <c r="J2297">
        <v>63647666</v>
      </c>
      <c r="K2297">
        <v>-35578077</v>
      </c>
      <c r="L2297">
        <v>2800839</v>
      </c>
      <c r="M2297">
        <v>664669</v>
      </c>
      <c r="N2297">
        <v>-1600907</v>
      </c>
      <c r="O2297">
        <v>5493000</v>
      </c>
      <c r="P2297">
        <v>201</v>
      </c>
      <c r="Q2297" t="s">
        <v>4920</v>
      </c>
    </row>
    <row r="2298" spans="1:17" x14ac:dyDescent="0.3">
      <c r="A2298" t="s">
        <v>4664</v>
      </c>
      <c r="B2298" t="str">
        <f>"000527"</f>
        <v>000527</v>
      </c>
      <c r="C2298" t="s">
        <v>4921</v>
      </c>
      <c r="O2298">
        <v>3000423660</v>
      </c>
      <c r="P2298">
        <v>296</v>
      </c>
      <c r="Q2298" t="s">
        <v>4922</v>
      </c>
    </row>
    <row r="2299" spans="1:17" x14ac:dyDescent="0.3">
      <c r="A2299" t="s">
        <v>4664</v>
      </c>
      <c r="B2299" t="str">
        <f>"000528"</f>
        <v>000528</v>
      </c>
      <c r="C2299" t="s">
        <v>4923</v>
      </c>
      <c r="D2299" t="s">
        <v>83</v>
      </c>
      <c r="F2299">
        <v>889125285</v>
      </c>
      <c r="G2299">
        <v>995648387</v>
      </c>
      <c r="H2299">
        <v>881820411</v>
      </c>
      <c r="I2299">
        <v>715136772</v>
      </c>
      <c r="J2299">
        <v>279642011</v>
      </c>
      <c r="K2299">
        <v>6289166</v>
      </c>
      <c r="L2299">
        <v>22506342</v>
      </c>
      <c r="M2299">
        <v>179431072</v>
      </c>
      <c r="N2299">
        <v>282604216</v>
      </c>
      <c r="O2299">
        <v>330959255</v>
      </c>
      <c r="P2299">
        <v>481</v>
      </c>
      <c r="Q2299" t="s">
        <v>4924</v>
      </c>
    </row>
    <row r="2300" spans="1:17" x14ac:dyDescent="0.3">
      <c r="A2300" t="s">
        <v>4664</v>
      </c>
      <c r="B2300" t="str">
        <f>"000529"</f>
        <v>000529</v>
      </c>
      <c r="C2300" t="s">
        <v>4925</v>
      </c>
      <c r="D2300" t="s">
        <v>1536</v>
      </c>
      <c r="F2300">
        <v>245567744</v>
      </c>
      <c r="G2300">
        <v>244957024</v>
      </c>
      <c r="H2300">
        <v>143750122</v>
      </c>
      <c r="I2300">
        <v>104121553</v>
      </c>
      <c r="J2300">
        <v>98471293</v>
      </c>
      <c r="K2300">
        <v>78749841</v>
      </c>
      <c r="L2300">
        <v>67368607</v>
      </c>
      <c r="M2300">
        <v>63545813</v>
      </c>
      <c r="N2300">
        <v>59783683</v>
      </c>
      <c r="O2300">
        <v>51079008</v>
      </c>
      <c r="P2300">
        <v>298</v>
      </c>
      <c r="Q2300" t="s">
        <v>4926</v>
      </c>
    </row>
    <row r="2301" spans="1:17" x14ac:dyDescent="0.3">
      <c r="A2301" t="s">
        <v>4664</v>
      </c>
      <c r="B2301" t="str">
        <f>"000530"</f>
        <v>000530</v>
      </c>
      <c r="C2301" t="s">
        <v>4927</v>
      </c>
      <c r="D2301" t="s">
        <v>988</v>
      </c>
      <c r="F2301">
        <v>-41549634</v>
      </c>
      <c r="G2301">
        <v>4342914</v>
      </c>
      <c r="H2301">
        <v>104346558</v>
      </c>
      <c r="I2301">
        <v>73435112</v>
      </c>
      <c r="J2301">
        <v>145333512</v>
      </c>
      <c r="K2301">
        <v>131751622</v>
      </c>
      <c r="L2301">
        <v>99427795</v>
      </c>
      <c r="M2301">
        <v>96229953</v>
      </c>
      <c r="N2301">
        <v>95035129</v>
      </c>
      <c r="O2301">
        <v>91738840</v>
      </c>
      <c r="P2301">
        <v>129</v>
      </c>
      <c r="Q2301" t="s">
        <v>4928</v>
      </c>
    </row>
    <row r="2302" spans="1:17" x14ac:dyDescent="0.3">
      <c r="A2302" t="s">
        <v>4664</v>
      </c>
      <c r="B2302" t="str">
        <f>"000531"</f>
        <v>000531</v>
      </c>
      <c r="C2302" t="s">
        <v>4929</v>
      </c>
      <c r="D2302" t="s">
        <v>41</v>
      </c>
      <c r="F2302">
        <v>221424699</v>
      </c>
      <c r="G2302">
        <v>766724030</v>
      </c>
      <c r="H2302">
        <v>345720152</v>
      </c>
      <c r="I2302">
        <v>72878183</v>
      </c>
      <c r="J2302">
        <v>148642566</v>
      </c>
      <c r="K2302">
        <v>432096936</v>
      </c>
      <c r="L2302">
        <v>365611089</v>
      </c>
      <c r="M2302">
        <v>523661875</v>
      </c>
      <c r="N2302">
        <v>256008358</v>
      </c>
      <c r="O2302">
        <v>214866055</v>
      </c>
      <c r="P2302">
        <v>277</v>
      </c>
      <c r="Q2302" t="s">
        <v>4930</v>
      </c>
    </row>
    <row r="2303" spans="1:17" x14ac:dyDescent="0.3">
      <c r="A2303" t="s">
        <v>4664</v>
      </c>
      <c r="B2303" t="str">
        <f>"000532"</f>
        <v>000532</v>
      </c>
      <c r="C2303" t="s">
        <v>4931</v>
      </c>
      <c r="D2303" t="s">
        <v>116</v>
      </c>
      <c r="F2303">
        <v>92252262</v>
      </c>
      <c r="G2303">
        <v>138354684</v>
      </c>
      <c r="H2303">
        <v>25006187</v>
      </c>
      <c r="I2303">
        <v>20592393</v>
      </c>
      <c r="J2303">
        <v>27359521</v>
      </c>
      <c r="K2303">
        <v>29875819</v>
      </c>
      <c r="L2303">
        <v>25070675</v>
      </c>
      <c r="M2303">
        <v>20631476</v>
      </c>
      <c r="N2303">
        <v>38683819</v>
      </c>
      <c r="O2303">
        <v>21937290</v>
      </c>
      <c r="P2303">
        <v>140</v>
      </c>
      <c r="Q2303" t="s">
        <v>4932</v>
      </c>
    </row>
    <row r="2304" spans="1:17" x14ac:dyDescent="0.3">
      <c r="A2304" t="s">
        <v>4664</v>
      </c>
      <c r="B2304" t="str">
        <f>"000533"</f>
        <v>000533</v>
      </c>
      <c r="C2304" t="s">
        <v>4933</v>
      </c>
      <c r="D2304" t="s">
        <v>210</v>
      </c>
      <c r="F2304">
        <v>-5585151</v>
      </c>
      <c r="G2304">
        <v>16844261</v>
      </c>
      <c r="H2304">
        <v>1288226</v>
      </c>
      <c r="I2304">
        <v>-21909301</v>
      </c>
      <c r="J2304">
        <v>23980884</v>
      </c>
      <c r="K2304">
        <v>16020269</v>
      </c>
      <c r="L2304">
        <v>111592345</v>
      </c>
      <c r="M2304">
        <v>87745535</v>
      </c>
      <c r="N2304">
        <v>79378659</v>
      </c>
      <c r="O2304">
        <v>46434007</v>
      </c>
      <c r="P2304">
        <v>101</v>
      </c>
      <c r="Q2304" t="s">
        <v>4934</v>
      </c>
    </row>
    <row r="2305" spans="1:17" x14ac:dyDescent="0.3">
      <c r="A2305" t="s">
        <v>4664</v>
      </c>
      <c r="B2305" t="str">
        <f>"000534"</f>
        <v>000534</v>
      </c>
      <c r="C2305" t="s">
        <v>4935</v>
      </c>
      <c r="D2305" t="s">
        <v>1379</v>
      </c>
      <c r="F2305">
        <v>85149614</v>
      </c>
      <c r="G2305">
        <v>69599466</v>
      </c>
      <c r="H2305">
        <v>81355423</v>
      </c>
      <c r="I2305">
        <v>16065487</v>
      </c>
      <c r="J2305">
        <v>13097348</v>
      </c>
      <c r="K2305">
        <v>68699294</v>
      </c>
      <c r="L2305">
        <v>47935554</v>
      </c>
      <c r="M2305">
        <v>49843473</v>
      </c>
      <c r="N2305">
        <v>33414039</v>
      </c>
      <c r="O2305">
        <v>47611273</v>
      </c>
      <c r="P2305">
        <v>120</v>
      </c>
      <c r="Q2305" t="s">
        <v>4936</v>
      </c>
    </row>
    <row r="2306" spans="1:17" x14ac:dyDescent="0.3">
      <c r="A2306" t="s">
        <v>4664</v>
      </c>
      <c r="B2306" t="str">
        <f>"000536"</f>
        <v>000536</v>
      </c>
      <c r="C2306" t="s">
        <v>4937</v>
      </c>
      <c r="D2306" t="s">
        <v>1117</v>
      </c>
      <c r="F2306">
        <v>-11830519</v>
      </c>
      <c r="G2306">
        <v>586442145</v>
      </c>
      <c r="H2306">
        <v>-1493113474</v>
      </c>
      <c r="I2306">
        <v>-460504162</v>
      </c>
      <c r="J2306">
        <v>180106673</v>
      </c>
      <c r="K2306">
        <v>409170778</v>
      </c>
      <c r="L2306">
        <v>68563403</v>
      </c>
      <c r="M2306">
        <v>208625714</v>
      </c>
      <c r="N2306">
        <v>329746338</v>
      </c>
      <c r="O2306">
        <v>232367363</v>
      </c>
      <c r="P2306">
        <v>142</v>
      </c>
      <c r="Q2306" t="s">
        <v>4938</v>
      </c>
    </row>
    <row r="2307" spans="1:17" x14ac:dyDescent="0.3">
      <c r="A2307" t="s">
        <v>4664</v>
      </c>
      <c r="B2307" t="str">
        <f>"000537"</f>
        <v>000537</v>
      </c>
      <c r="C2307" t="s">
        <v>4939</v>
      </c>
      <c r="D2307" t="s">
        <v>104</v>
      </c>
      <c r="F2307">
        <v>-933287441</v>
      </c>
      <c r="G2307">
        <v>1910302787</v>
      </c>
      <c r="H2307">
        <v>2460053403</v>
      </c>
      <c r="I2307">
        <v>2306894125</v>
      </c>
      <c r="J2307">
        <v>131320135</v>
      </c>
      <c r="K2307">
        <v>250676783</v>
      </c>
      <c r="L2307">
        <v>127464784</v>
      </c>
      <c r="M2307">
        <v>245931734</v>
      </c>
      <c r="N2307">
        <v>311816310</v>
      </c>
      <c r="O2307">
        <v>203251608</v>
      </c>
      <c r="P2307">
        <v>604</v>
      </c>
      <c r="Q2307" t="s">
        <v>4940</v>
      </c>
    </row>
    <row r="2308" spans="1:17" x14ac:dyDescent="0.3">
      <c r="A2308" t="s">
        <v>4664</v>
      </c>
      <c r="B2308" t="str">
        <f>"000538"</f>
        <v>000538</v>
      </c>
      <c r="C2308" t="s">
        <v>4941</v>
      </c>
      <c r="D2308" t="s">
        <v>188</v>
      </c>
      <c r="F2308">
        <v>2450534048</v>
      </c>
      <c r="G2308">
        <v>4252918292</v>
      </c>
      <c r="H2308">
        <v>3541872761</v>
      </c>
      <c r="I2308">
        <v>2732153730</v>
      </c>
      <c r="J2308">
        <v>2605028868</v>
      </c>
      <c r="K2308">
        <v>2359847913</v>
      </c>
      <c r="L2308">
        <v>2142151283</v>
      </c>
      <c r="M2308">
        <v>1944702176</v>
      </c>
      <c r="N2308">
        <v>1758938059</v>
      </c>
      <c r="O2308">
        <v>1122972292</v>
      </c>
      <c r="P2308">
        <v>30717</v>
      </c>
      <c r="Q2308" t="s">
        <v>4942</v>
      </c>
    </row>
    <row r="2309" spans="1:17" x14ac:dyDescent="0.3">
      <c r="A2309" t="s">
        <v>4664</v>
      </c>
      <c r="B2309" t="str">
        <f>"000539"</f>
        <v>000539</v>
      </c>
      <c r="C2309" t="s">
        <v>4943</v>
      </c>
      <c r="D2309" t="s">
        <v>41</v>
      </c>
      <c r="F2309">
        <v>-221130681</v>
      </c>
      <c r="G2309">
        <v>1569388405</v>
      </c>
      <c r="H2309">
        <v>1338879300</v>
      </c>
      <c r="I2309">
        <v>938821588</v>
      </c>
      <c r="J2309">
        <v>782062082</v>
      </c>
      <c r="K2309">
        <v>1476562767</v>
      </c>
      <c r="L2309">
        <v>2640130361</v>
      </c>
      <c r="M2309">
        <v>2523879364</v>
      </c>
      <c r="N2309">
        <v>2527943648</v>
      </c>
      <c r="O2309">
        <v>628924901</v>
      </c>
      <c r="P2309">
        <v>203</v>
      </c>
      <c r="Q2309" t="s">
        <v>4944</v>
      </c>
    </row>
    <row r="2310" spans="1:17" x14ac:dyDescent="0.3">
      <c r="A2310" t="s">
        <v>4664</v>
      </c>
      <c r="B2310" t="str">
        <f>"000540"</f>
        <v>000540</v>
      </c>
      <c r="C2310" t="s">
        <v>4945</v>
      </c>
      <c r="D2310" t="s">
        <v>104</v>
      </c>
      <c r="F2310">
        <v>-869723278</v>
      </c>
      <c r="G2310">
        <v>800314863</v>
      </c>
      <c r="H2310">
        <v>1501107995</v>
      </c>
      <c r="I2310">
        <v>4730860768</v>
      </c>
      <c r="J2310">
        <v>1655450032</v>
      </c>
      <c r="K2310">
        <v>2051812789</v>
      </c>
      <c r="L2310">
        <v>1916250108</v>
      </c>
      <c r="M2310">
        <v>1299035773</v>
      </c>
      <c r="N2310">
        <v>723582144</v>
      </c>
      <c r="O2310">
        <v>384510804</v>
      </c>
      <c r="P2310">
        <v>5239</v>
      </c>
      <c r="Q2310" t="s">
        <v>4946</v>
      </c>
    </row>
    <row r="2311" spans="1:17" x14ac:dyDescent="0.3">
      <c r="A2311" t="s">
        <v>4664</v>
      </c>
      <c r="B2311" t="str">
        <f>"000541"</f>
        <v>000541</v>
      </c>
      <c r="C2311" t="s">
        <v>4947</v>
      </c>
      <c r="D2311" t="s">
        <v>598</v>
      </c>
      <c r="F2311">
        <v>192013279</v>
      </c>
      <c r="G2311">
        <v>232775009</v>
      </c>
      <c r="H2311">
        <v>230715986</v>
      </c>
      <c r="I2311">
        <v>323666844</v>
      </c>
      <c r="J2311">
        <v>678531026</v>
      </c>
      <c r="K2311">
        <v>280104921</v>
      </c>
      <c r="L2311">
        <v>73434914</v>
      </c>
      <c r="M2311">
        <v>300757246</v>
      </c>
      <c r="N2311">
        <v>241051488</v>
      </c>
      <c r="O2311">
        <v>217077552</v>
      </c>
      <c r="P2311">
        <v>437</v>
      </c>
      <c r="Q2311" t="s">
        <v>4948</v>
      </c>
    </row>
    <row r="2312" spans="1:17" x14ac:dyDescent="0.3">
      <c r="A2312" t="s">
        <v>4664</v>
      </c>
      <c r="B2312" t="str">
        <f>"000543"</f>
        <v>000543</v>
      </c>
      <c r="C2312" t="s">
        <v>4949</v>
      </c>
      <c r="D2312" t="s">
        <v>41</v>
      </c>
      <c r="F2312">
        <v>-510188797</v>
      </c>
      <c r="G2312">
        <v>809335221</v>
      </c>
      <c r="H2312">
        <v>692841239</v>
      </c>
      <c r="I2312">
        <v>300585610</v>
      </c>
      <c r="J2312">
        <v>100550907</v>
      </c>
      <c r="K2312">
        <v>772663137</v>
      </c>
      <c r="L2312">
        <v>947127884</v>
      </c>
      <c r="M2312">
        <v>709708270</v>
      </c>
      <c r="N2312">
        <v>812171439</v>
      </c>
      <c r="O2312">
        <v>230802192</v>
      </c>
      <c r="P2312">
        <v>322</v>
      </c>
      <c r="Q2312" t="s">
        <v>4950</v>
      </c>
    </row>
    <row r="2313" spans="1:17" x14ac:dyDescent="0.3">
      <c r="A2313" t="s">
        <v>4664</v>
      </c>
      <c r="B2313" t="str">
        <f>"000544"</f>
        <v>000544</v>
      </c>
      <c r="C2313" t="s">
        <v>4951</v>
      </c>
      <c r="D2313" t="s">
        <v>33</v>
      </c>
      <c r="F2313">
        <v>466023375</v>
      </c>
      <c r="G2313">
        <v>446165413</v>
      </c>
      <c r="H2313">
        <v>256720986</v>
      </c>
      <c r="I2313">
        <v>270517327</v>
      </c>
      <c r="J2313">
        <v>268900689</v>
      </c>
      <c r="K2313">
        <v>248847680</v>
      </c>
      <c r="L2313">
        <v>83397070</v>
      </c>
      <c r="M2313">
        <v>46655607</v>
      </c>
      <c r="N2313">
        <v>49117114</v>
      </c>
      <c r="O2313">
        <v>83333710</v>
      </c>
      <c r="P2313">
        <v>247</v>
      </c>
      <c r="Q2313" t="s">
        <v>4952</v>
      </c>
    </row>
    <row r="2314" spans="1:17" x14ac:dyDescent="0.3">
      <c r="A2314" t="s">
        <v>4664</v>
      </c>
      <c r="B2314" t="str">
        <f>"000545"</f>
        <v>000545</v>
      </c>
      <c r="C2314" t="s">
        <v>4953</v>
      </c>
      <c r="D2314" t="s">
        <v>1474</v>
      </c>
      <c r="F2314">
        <v>157151812</v>
      </c>
      <c r="G2314">
        <v>-53484429</v>
      </c>
      <c r="H2314">
        <v>52473539</v>
      </c>
      <c r="I2314">
        <v>81071967</v>
      </c>
      <c r="J2314">
        <v>131336305</v>
      </c>
      <c r="K2314">
        <v>48387981</v>
      </c>
      <c r="L2314">
        <v>94588994</v>
      </c>
      <c r="M2314">
        <v>34236959</v>
      </c>
      <c r="N2314">
        <v>65607195</v>
      </c>
      <c r="O2314">
        <v>2977424</v>
      </c>
      <c r="P2314">
        <v>106</v>
      </c>
      <c r="Q2314" t="s">
        <v>4954</v>
      </c>
    </row>
    <row r="2315" spans="1:17" x14ac:dyDescent="0.3">
      <c r="A2315" t="s">
        <v>4664</v>
      </c>
      <c r="B2315" t="str">
        <f>"000546"</f>
        <v>000546</v>
      </c>
      <c r="C2315" t="s">
        <v>4955</v>
      </c>
      <c r="D2315" t="s">
        <v>731</v>
      </c>
      <c r="F2315">
        <v>347363846</v>
      </c>
      <c r="G2315">
        <v>408089868</v>
      </c>
      <c r="H2315">
        <v>402590940</v>
      </c>
      <c r="I2315">
        <v>369553710</v>
      </c>
      <c r="J2315">
        <v>256035185</v>
      </c>
      <c r="K2315">
        <v>223214840</v>
      </c>
      <c r="L2315">
        <v>165689344</v>
      </c>
      <c r="M2315">
        <v>263821</v>
      </c>
      <c r="N2315">
        <v>21576408</v>
      </c>
      <c r="O2315">
        <v>10942209</v>
      </c>
      <c r="P2315">
        <v>181</v>
      </c>
      <c r="Q2315" t="s">
        <v>4956</v>
      </c>
    </row>
    <row r="2316" spans="1:17" x14ac:dyDescent="0.3">
      <c r="A2316" t="s">
        <v>4664</v>
      </c>
      <c r="B2316" t="str">
        <f>"000547"</f>
        <v>000547</v>
      </c>
      <c r="C2316" t="s">
        <v>4957</v>
      </c>
      <c r="D2316" t="s">
        <v>1136</v>
      </c>
      <c r="F2316">
        <v>450739930</v>
      </c>
      <c r="G2316">
        <v>418151583</v>
      </c>
      <c r="H2316">
        <v>307945097</v>
      </c>
      <c r="I2316">
        <v>236832196</v>
      </c>
      <c r="J2316">
        <v>178408543</v>
      </c>
      <c r="K2316">
        <v>148483326</v>
      </c>
      <c r="L2316">
        <v>127948640</v>
      </c>
      <c r="M2316">
        <v>101175105</v>
      </c>
      <c r="N2316">
        <v>108888486</v>
      </c>
      <c r="O2316">
        <v>92275821</v>
      </c>
      <c r="P2316">
        <v>612</v>
      </c>
      <c r="Q2316" t="s">
        <v>4958</v>
      </c>
    </row>
    <row r="2317" spans="1:17" x14ac:dyDescent="0.3">
      <c r="A2317" t="s">
        <v>4664</v>
      </c>
      <c r="B2317" t="str">
        <f>"000548"</f>
        <v>000548</v>
      </c>
      <c r="C2317" t="s">
        <v>4959</v>
      </c>
      <c r="D2317" t="s">
        <v>44</v>
      </c>
      <c r="F2317">
        <v>37946141</v>
      </c>
      <c r="G2317">
        <v>71629871</v>
      </c>
      <c r="H2317">
        <v>40578172</v>
      </c>
      <c r="I2317">
        <v>26174393</v>
      </c>
      <c r="J2317">
        <v>138116155</v>
      </c>
      <c r="K2317">
        <v>59662715</v>
      </c>
      <c r="L2317">
        <v>7026573</v>
      </c>
      <c r="M2317">
        <v>18741370</v>
      </c>
      <c r="N2317">
        <v>13588503</v>
      </c>
      <c r="O2317">
        <v>30291168</v>
      </c>
      <c r="P2317">
        <v>90</v>
      </c>
      <c r="Q2317" t="s">
        <v>4960</v>
      </c>
    </row>
    <row r="2318" spans="1:17" x14ac:dyDescent="0.3">
      <c r="A2318" t="s">
        <v>4664</v>
      </c>
      <c r="B2318" t="str">
        <f>"000550"</f>
        <v>000550</v>
      </c>
      <c r="C2318" t="s">
        <v>4961</v>
      </c>
      <c r="D2318" t="s">
        <v>27</v>
      </c>
      <c r="F2318">
        <v>477449908</v>
      </c>
      <c r="G2318">
        <v>358583046</v>
      </c>
      <c r="H2318">
        <v>157673249</v>
      </c>
      <c r="I2318">
        <v>218787112</v>
      </c>
      <c r="J2318">
        <v>643530926</v>
      </c>
      <c r="K2318">
        <v>1093553383</v>
      </c>
      <c r="L2318">
        <v>1540398485</v>
      </c>
      <c r="M2318">
        <v>1530940621</v>
      </c>
      <c r="N2318">
        <v>1259069008</v>
      </c>
      <c r="O2318">
        <v>1176748396</v>
      </c>
      <c r="P2318">
        <v>595</v>
      </c>
      <c r="Q2318" t="s">
        <v>4962</v>
      </c>
    </row>
    <row r="2319" spans="1:17" x14ac:dyDescent="0.3">
      <c r="A2319" t="s">
        <v>4664</v>
      </c>
      <c r="B2319" t="str">
        <f>"000551"</f>
        <v>000551</v>
      </c>
      <c r="C2319" t="s">
        <v>4963</v>
      </c>
      <c r="D2319" t="s">
        <v>1070</v>
      </c>
      <c r="F2319">
        <v>92183381</v>
      </c>
      <c r="G2319">
        <v>88358785</v>
      </c>
      <c r="H2319">
        <v>83974700</v>
      </c>
      <c r="I2319">
        <v>80179367</v>
      </c>
      <c r="J2319">
        <v>75309396</v>
      </c>
      <c r="K2319">
        <v>58969461</v>
      </c>
      <c r="L2319">
        <v>31871866</v>
      </c>
      <c r="M2319">
        <v>35182945</v>
      </c>
      <c r="N2319">
        <v>32081118</v>
      </c>
      <c r="O2319">
        <v>19883745</v>
      </c>
      <c r="P2319">
        <v>122</v>
      </c>
      <c r="Q2319" t="s">
        <v>4964</v>
      </c>
    </row>
    <row r="2320" spans="1:17" x14ac:dyDescent="0.3">
      <c r="A2320" t="s">
        <v>4664</v>
      </c>
      <c r="B2320" t="str">
        <f>"000552"</f>
        <v>000552</v>
      </c>
      <c r="C2320" t="s">
        <v>4965</v>
      </c>
      <c r="D2320" t="s">
        <v>292</v>
      </c>
      <c r="F2320">
        <v>464219346</v>
      </c>
      <c r="G2320">
        <v>381715973</v>
      </c>
      <c r="H2320">
        <v>383314802</v>
      </c>
      <c r="I2320">
        <v>492670789</v>
      </c>
      <c r="J2320">
        <v>371340876</v>
      </c>
      <c r="K2320">
        <v>119949598</v>
      </c>
      <c r="L2320">
        <v>165186904</v>
      </c>
      <c r="M2320">
        <v>272222883</v>
      </c>
      <c r="N2320">
        <v>321165028</v>
      </c>
      <c r="O2320">
        <v>295982687</v>
      </c>
      <c r="P2320">
        <v>263</v>
      </c>
      <c r="Q2320" t="s">
        <v>4966</v>
      </c>
    </row>
    <row r="2321" spans="1:17" x14ac:dyDescent="0.3">
      <c r="A2321" t="s">
        <v>4664</v>
      </c>
      <c r="B2321" t="str">
        <f>"000553"</f>
        <v>000553</v>
      </c>
      <c r="C2321" t="s">
        <v>4967</v>
      </c>
      <c r="D2321" t="s">
        <v>853</v>
      </c>
      <c r="F2321">
        <v>-3916000</v>
      </c>
      <c r="G2321">
        <v>225058000</v>
      </c>
      <c r="H2321">
        <v>794733000</v>
      </c>
      <c r="I2321">
        <v>2542442000</v>
      </c>
      <c r="J2321">
        <v>1599514000</v>
      </c>
      <c r="K2321">
        <v>20500260</v>
      </c>
      <c r="L2321">
        <v>147125819</v>
      </c>
      <c r="M2321">
        <v>428828254</v>
      </c>
      <c r="N2321">
        <v>191887146</v>
      </c>
      <c r="O2321">
        <v>49361997</v>
      </c>
      <c r="P2321">
        <v>227</v>
      </c>
      <c r="Q2321" t="s">
        <v>4968</v>
      </c>
    </row>
    <row r="2322" spans="1:17" x14ac:dyDescent="0.3">
      <c r="A2322" t="s">
        <v>4664</v>
      </c>
      <c r="B2322" t="str">
        <f>"000554"</f>
        <v>000554</v>
      </c>
      <c r="C2322" t="s">
        <v>4969</v>
      </c>
      <c r="D2322" t="s">
        <v>584</v>
      </c>
      <c r="F2322">
        <v>3990598</v>
      </c>
      <c r="G2322">
        <v>912637</v>
      </c>
      <c r="H2322">
        <v>1621492</v>
      </c>
      <c r="I2322">
        <v>1187528</v>
      </c>
      <c r="J2322">
        <v>1659713</v>
      </c>
      <c r="K2322">
        <v>3024131</v>
      </c>
      <c r="L2322">
        <v>5275197</v>
      </c>
      <c r="M2322">
        <v>10443271</v>
      </c>
      <c r="N2322">
        <v>10621921</v>
      </c>
      <c r="O2322">
        <v>19306974</v>
      </c>
      <c r="P2322">
        <v>112</v>
      </c>
      <c r="Q2322" t="s">
        <v>4970</v>
      </c>
    </row>
    <row r="2323" spans="1:17" x14ac:dyDescent="0.3">
      <c r="A2323" t="s">
        <v>4664</v>
      </c>
      <c r="B2323" t="str">
        <f>"000555"</f>
        <v>000555</v>
      </c>
      <c r="C2323" t="s">
        <v>4971</v>
      </c>
      <c r="D2323" t="s">
        <v>316</v>
      </c>
      <c r="F2323">
        <v>197655595</v>
      </c>
      <c r="G2323">
        <v>218661167</v>
      </c>
      <c r="H2323">
        <v>190314176</v>
      </c>
      <c r="I2323">
        <v>296355978</v>
      </c>
      <c r="J2323">
        <v>129644401</v>
      </c>
      <c r="K2323">
        <v>123333702</v>
      </c>
      <c r="L2323">
        <v>180359360</v>
      </c>
      <c r="M2323">
        <v>128141087</v>
      </c>
      <c r="N2323">
        <v>-6852251</v>
      </c>
      <c r="O2323">
        <v>-6209791</v>
      </c>
      <c r="P2323">
        <v>374</v>
      </c>
      <c r="Q2323" t="s">
        <v>4972</v>
      </c>
    </row>
    <row r="2324" spans="1:17" x14ac:dyDescent="0.3">
      <c r="A2324" t="s">
        <v>4664</v>
      </c>
      <c r="B2324" t="str">
        <f>"000556"</f>
        <v>000556</v>
      </c>
      <c r="C2324" t="s">
        <v>4973</v>
      </c>
      <c r="K2324">
        <v>7477688.2800000003</v>
      </c>
      <c r="L2324">
        <v>-170708</v>
      </c>
      <c r="M2324">
        <v>-1733280.5</v>
      </c>
      <c r="N2324">
        <v>-3437602.15</v>
      </c>
      <c r="O2324">
        <v>1021013.22</v>
      </c>
      <c r="P2324">
        <v>4</v>
      </c>
      <c r="Q2324" t="s">
        <v>4974</v>
      </c>
    </row>
    <row r="2325" spans="1:17" x14ac:dyDescent="0.3">
      <c r="A2325" t="s">
        <v>4664</v>
      </c>
      <c r="B2325" t="str">
        <f>"000557"</f>
        <v>000557</v>
      </c>
      <c r="C2325" t="s">
        <v>4975</v>
      </c>
      <c r="D2325" t="s">
        <v>301</v>
      </c>
      <c r="F2325">
        <v>195781259</v>
      </c>
      <c r="G2325">
        <v>139345469</v>
      </c>
      <c r="H2325">
        <v>11013676</v>
      </c>
      <c r="I2325">
        <v>82556202</v>
      </c>
      <c r="J2325">
        <v>36495513</v>
      </c>
      <c r="K2325">
        <v>-62896896</v>
      </c>
      <c r="L2325">
        <v>120356</v>
      </c>
      <c r="M2325">
        <v>4423485</v>
      </c>
      <c r="N2325">
        <v>270090</v>
      </c>
      <c r="O2325">
        <v>368108982</v>
      </c>
      <c r="P2325">
        <v>103</v>
      </c>
      <c r="Q2325" t="s">
        <v>4976</v>
      </c>
    </row>
    <row r="2326" spans="1:17" x14ac:dyDescent="0.3">
      <c r="A2326" t="s">
        <v>4664</v>
      </c>
      <c r="B2326" t="str">
        <f>"000558"</f>
        <v>000558</v>
      </c>
      <c r="C2326" t="s">
        <v>4977</v>
      </c>
      <c r="D2326" t="s">
        <v>104</v>
      </c>
      <c r="F2326">
        <v>-66158414</v>
      </c>
      <c r="G2326">
        <v>-21780171</v>
      </c>
      <c r="H2326">
        <v>-60110468</v>
      </c>
      <c r="I2326">
        <v>19651638</v>
      </c>
      <c r="J2326">
        <v>13231633</v>
      </c>
      <c r="K2326">
        <v>20981362</v>
      </c>
      <c r="L2326">
        <v>-44739742</v>
      </c>
      <c r="M2326">
        <v>34288576</v>
      </c>
      <c r="N2326">
        <v>30427437</v>
      </c>
      <c r="O2326">
        <v>36186783</v>
      </c>
      <c r="P2326">
        <v>118</v>
      </c>
      <c r="Q2326" t="s">
        <v>4978</v>
      </c>
    </row>
    <row r="2327" spans="1:17" x14ac:dyDescent="0.3">
      <c r="A2327" t="s">
        <v>4664</v>
      </c>
      <c r="B2327" t="str">
        <f>"000559"</f>
        <v>000559</v>
      </c>
      <c r="C2327" t="s">
        <v>4979</v>
      </c>
      <c r="D2327" t="s">
        <v>348</v>
      </c>
      <c r="F2327">
        <v>514508399</v>
      </c>
      <c r="G2327">
        <v>295706173</v>
      </c>
      <c r="H2327">
        <v>415679816</v>
      </c>
      <c r="I2327">
        <v>579950712</v>
      </c>
      <c r="J2327">
        <v>622262130</v>
      </c>
      <c r="K2327">
        <v>622720600</v>
      </c>
      <c r="L2327">
        <v>571831918</v>
      </c>
      <c r="M2327">
        <v>512080091</v>
      </c>
      <c r="N2327">
        <v>293876437</v>
      </c>
      <c r="O2327">
        <v>218353481</v>
      </c>
      <c r="P2327">
        <v>414</v>
      </c>
      <c r="Q2327" t="s">
        <v>4980</v>
      </c>
    </row>
    <row r="2328" spans="1:17" x14ac:dyDescent="0.3">
      <c r="A2328" t="s">
        <v>4664</v>
      </c>
      <c r="B2328" t="str">
        <f>"000560"</f>
        <v>000560</v>
      </c>
      <c r="C2328" t="s">
        <v>4981</v>
      </c>
      <c r="D2328" t="s">
        <v>4982</v>
      </c>
      <c r="F2328">
        <v>476921029</v>
      </c>
      <c r="G2328">
        <v>244069442</v>
      </c>
      <c r="H2328">
        <v>641184245</v>
      </c>
      <c r="I2328">
        <v>502170090</v>
      </c>
      <c r="J2328">
        <v>46227962</v>
      </c>
      <c r="K2328">
        <v>61588735</v>
      </c>
      <c r="L2328">
        <v>13412406</v>
      </c>
      <c r="M2328">
        <v>53365365</v>
      </c>
      <c r="N2328">
        <v>10469478</v>
      </c>
      <c r="O2328">
        <v>35598032</v>
      </c>
      <c r="P2328">
        <v>206</v>
      </c>
      <c r="Q2328" t="s">
        <v>4983</v>
      </c>
    </row>
    <row r="2329" spans="1:17" x14ac:dyDescent="0.3">
      <c r="A2329" t="s">
        <v>4664</v>
      </c>
      <c r="B2329" t="str">
        <f>"000561"</f>
        <v>000561</v>
      </c>
      <c r="C2329" t="s">
        <v>4984</v>
      </c>
      <c r="D2329" t="s">
        <v>98</v>
      </c>
      <c r="F2329">
        <v>5538962</v>
      </c>
      <c r="G2329">
        <v>5193701</v>
      </c>
      <c r="H2329">
        <v>3893234</v>
      </c>
      <c r="I2329">
        <v>7112197</v>
      </c>
      <c r="J2329">
        <v>6096671</v>
      </c>
      <c r="K2329">
        <v>70481851</v>
      </c>
      <c r="L2329">
        <v>4563702</v>
      </c>
      <c r="M2329">
        <v>4386357</v>
      </c>
      <c r="N2329">
        <v>-28106990</v>
      </c>
      <c r="O2329">
        <v>13559690</v>
      </c>
      <c r="P2329">
        <v>134</v>
      </c>
      <c r="Q2329" t="s">
        <v>4985</v>
      </c>
    </row>
    <row r="2330" spans="1:17" x14ac:dyDescent="0.3">
      <c r="A2330" t="s">
        <v>4664</v>
      </c>
      <c r="B2330" t="str">
        <f>"000562"</f>
        <v>000562</v>
      </c>
      <c r="C2330" t="s">
        <v>4986</v>
      </c>
      <c r="M2330">
        <v>1247403255.6900001</v>
      </c>
      <c r="N2330">
        <v>1131769050.6500001</v>
      </c>
      <c r="O2330">
        <v>804296921.87</v>
      </c>
      <c r="P2330">
        <v>18</v>
      </c>
      <c r="Q2330" t="s">
        <v>4987</v>
      </c>
    </row>
    <row r="2331" spans="1:17" x14ac:dyDescent="0.3">
      <c r="A2331" t="s">
        <v>4664</v>
      </c>
      <c r="B2331" t="str">
        <f>"000563"</f>
        <v>000563</v>
      </c>
      <c r="C2331" t="s">
        <v>4988</v>
      </c>
      <c r="D2331" t="s">
        <v>1649</v>
      </c>
      <c r="F2331">
        <v>584268459</v>
      </c>
      <c r="G2331">
        <v>538067808</v>
      </c>
      <c r="H2331">
        <v>459136504</v>
      </c>
      <c r="I2331">
        <v>236278645</v>
      </c>
      <c r="J2331">
        <v>411125856</v>
      </c>
      <c r="K2331">
        <v>350445508</v>
      </c>
      <c r="L2331">
        <v>342614852</v>
      </c>
      <c r="M2331">
        <v>244189731</v>
      </c>
      <c r="N2331">
        <v>230491043</v>
      </c>
      <c r="O2331">
        <v>192000277</v>
      </c>
      <c r="P2331">
        <v>205</v>
      </c>
      <c r="Q2331" t="s">
        <v>4989</v>
      </c>
    </row>
    <row r="2332" spans="1:17" x14ac:dyDescent="0.3">
      <c r="A2332" t="s">
        <v>4664</v>
      </c>
      <c r="B2332" t="str">
        <f>"000564"</f>
        <v>000564</v>
      </c>
      <c r="C2332" t="s">
        <v>4990</v>
      </c>
      <c r="D2332" t="s">
        <v>633</v>
      </c>
      <c r="F2332">
        <v>-342776508</v>
      </c>
      <c r="G2332">
        <v>-220290819</v>
      </c>
      <c r="H2332">
        <v>-91525866</v>
      </c>
      <c r="I2332">
        <v>767476958</v>
      </c>
      <c r="J2332">
        <v>1033466653</v>
      </c>
      <c r="K2332">
        <v>24844021</v>
      </c>
      <c r="L2332">
        <v>43871056</v>
      </c>
      <c r="M2332">
        <v>54322001</v>
      </c>
      <c r="N2332">
        <v>57912878</v>
      </c>
      <c r="O2332">
        <v>59358688</v>
      </c>
      <c r="P2332">
        <v>187</v>
      </c>
      <c r="Q2332" t="s">
        <v>4991</v>
      </c>
    </row>
    <row r="2333" spans="1:17" x14ac:dyDescent="0.3">
      <c r="A2333" t="s">
        <v>4664</v>
      </c>
      <c r="B2333" t="str">
        <f>"000565"</f>
        <v>000565</v>
      </c>
      <c r="C2333" t="s">
        <v>4992</v>
      </c>
      <c r="D2333" t="s">
        <v>2570</v>
      </c>
      <c r="F2333">
        <v>73225051</v>
      </c>
      <c r="G2333">
        <v>40570054</v>
      </c>
      <c r="H2333">
        <v>64067567</v>
      </c>
      <c r="I2333">
        <v>45193541</v>
      </c>
      <c r="J2333">
        <v>65906053</v>
      </c>
      <c r="K2333">
        <v>53765374</v>
      </c>
      <c r="L2333">
        <v>164111639</v>
      </c>
      <c r="M2333">
        <v>41688166</v>
      </c>
      <c r="N2333">
        <v>31879605</v>
      </c>
      <c r="O2333">
        <v>16185886</v>
      </c>
      <c r="P2333">
        <v>79</v>
      </c>
      <c r="Q2333" t="s">
        <v>4993</v>
      </c>
    </row>
    <row r="2334" spans="1:17" x14ac:dyDescent="0.3">
      <c r="A2334" t="s">
        <v>4664</v>
      </c>
      <c r="B2334" t="str">
        <f>"000566"</f>
        <v>000566</v>
      </c>
      <c r="C2334" t="s">
        <v>4994</v>
      </c>
      <c r="D2334" t="s">
        <v>143</v>
      </c>
      <c r="F2334">
        <v>-497149045</v>
      </c>
      <c r="G2334">
        <v>19253140</v>
      </c>
      <c r="H2334">
        <v>123107258</v>
      </c>
      <c r="I2334">
        <v>229010733</v>
      </c>
      <c r="J2334">
        <v>176096046</v>
      </c>
      <c r="K2334">
        <v>169113516</v>
      </c>
      <c r="L2334">
        <v>232238152</v>
      </c>
      <c r="M2334">
        <v>169124432</v>
      </c>
      <c r="N2334">
        <v>85250180</v>
      </c>
      <c r="O2334">
        <v>91769622</v>
      </c>
      <c r="P2334">
        <v>195</v>
      </c>
      <c r="Q2334" t="s">
        <v>4995</v>
      </c>
    </row>
    <row r="2335" spans="1:17" x14ac:dyDescent="0.3">
      <c r="A2335" t="s">
        <v>4664</v>
      </c>
      <c r="B2335" t="str">
        <f>"000567"</f>
        <v>000567</v>
      </c>
      <c r="C2335" t="s">
        <v>4996</v>
      </c>
      <c r="D2335" t="s">
        <v>116</v>
      </c>
      <c r="F2335">
        <v>230977805</v>
      </c>
      <c r="G2335">
        <v>115703988</v>
      </c>
      <c r="H2335">
        <v>153237858</v>
      </c>
      <c r="I2335">
        <v>76345684</v>
      </c>
      <c r="J2335">
        <v>56337862</v>
      </c>
      <c r="K2335">
        <v>1621880</v>
      </c>
      <c r="L2335">
        <v>14490113</v>
      </c>
      <c r="M2335">
        <v>8782432</v>
      </c>
      <c r="N2335">
        <v>1865286</v>
      </c>
      <c r="O2335">
        <v>-1071422</v>
      </c>
      <c r="P2335">
        <v>117</v>
      </c>
      <c r="Q2335" t="s">
        <v>4997</v>
      </c>
    </row>
    <row r="2336" spans="1:17" x14ac:dyDescent="0.3">
      <c r="A2336" t="s">
        <v>4664</v>
      </c>
      <c r="B2336" t="str">
        <f>"000568"</f>
        <v>000568</v>
      </c>
      <c r="C2336" t="s">
        <v>4998</v>
      </c>
      <c r="D2336" t="s">
        <v>458</v>
      </c>
      <c r="F2336">
        <v>6275501422</v>
      </c>
      <c r="G2336">
        <v>4815378967</v>
      </c>
      <c r="H2336">
        <v>3795286669</v>
      </c>
      <c r="I2336">
        <v>2751035357</v>
      </c>
      <c r="J2336">
        <v>1997394868</v>
      </c>
      <c r="K2336">
        <v>1506376765</v>
      </c>
      <c r="L2336">
        <v>1322809753</v>
      </c>
      <c r="M2336">
        <v>1246816990</v>
      </c>
      <c r="N2336">
        <v>2700045604</v>
      </c>
      <c r="O2336">
        <v>2953837471</v>
      </c>
      <c r="P2336">
        <v>6440</v>
      </c>
      <c r="Q2336" t="s">
        <v>4999</v>
      </c>
    </row>
    <row r="2337" spans="1:17" x14ac:dyDescent="0.3">
      <c r="A2337" t="s">
        <v>4664</v>
      </c>
      <c r="B2337" t="str">
        <f>"000570"</f>
        <v>000570</v>
      </c>
      <c r="C2337" t="s">
        <v>5000</v>
      </c>
      <c r="D2337" t="s">
        <v>348</v>
      </c>
      <c r="F2337">
        <v>105710713</v>
      </c>
      <c r="G2337">
        <v>38953779</v>
      </c>
      <c r="H2337">
        <v>20008694</v>
      </c>
      <c r="I2337">
        <v>23309400</v>
      </c>
      <c r="J2337">
        <v>42751443</v>
      </c>
      <c r="K2337">
        <v>55108751</v>
      </c>
      <c r="L2337">
        <v>73747987</v>
      </c>
      <c r="M2337">
        <v>51043901</v>
      </c>
      <c r="N2337">
        <v>56909920</v>
      </c>
      <c r="O2337">
        <v>42822341</v>
      </c>
      <c r="P2337">
        <v>81</v>
      </c>
      <c r="Q2337" t="s">
        <v>5001</v>
      </c>
    </row>
    <row r="2338" spans="1:17" x14ac:dyDescent="0.3">
      <c r="A2338" t="s">
        <v>4664</v>
      </c>
      <c r="B2338" t="str">
        <f>"000571"</f>
        <v>000571</v>
      </c>
      <c r="C2338" t="s">
        <v>5002</v>
      </c>
      <c r="D2338" t="s">
        <v>292</v>
      </c>
      <c r="F2338">
        <v>-65894507</v>
      </c>
      <c r="G2338">
        <v>-90445805</v>
      </c>
      <c r="H2338">
        <v>-88036856</v>
      </c>
      <c r="I2338">
        <v>-16760445</v>
      </c>
      <c r="J2338">
        <v>65733607</v>
      </c>
      <c r="K2338">
        <v>64629633</v>
      </c>
      <c r="L2338">
        <v>84858759</v>
      </c>
      <c r="M2338">
        <v>92366576</v>
      </c>
      <c r="N2338">
        <v>84562112</v>
      </c>
      <c r="O2338">
        <v>115070913</v>
      </c>
      <c r="P2338">
        <v>72</v>
      </c>
      <c r="Q2338" t="s">
        <v>5003</v>
      </c>
    </row>
    <row r="2339" spans="1:17" x14ac:dyDescent="0.3">
      <c r="A2339" t="s">
        <v>4664</v>
      </c>
      <c r="B2339" t="str">
        <f>"000572"</f>
        <v>000572</v>
      </c>
      <c r="C2339" t="s">
        <v>5004</v>
      </c>
      <c r="D2339" t="s">
        <v>247</v>
      </c>
      <c r="F2339">
        <v>-171033845</v>
      </c>
      <c r="G2339">
        <v>-234493237</v>
      </c>
      <c r="H2339">
        <v>-201481905</v>
      </c>
      <c r="I2339">
        <v>-477302514</v>
      </c>
      <c r="J2339">
        <v>-62780976</v>
      </c>
      <c r="K2339">
        <v>208982778</v>
      </c>
      <c r="L2339">
        <v>110675591</v>
      </c>
      <c r="M2339">
        <v>157891037</v>
      </c>
      <c r="N2339">
        <v>198629557</v>
      </c>
      <c r="O2339">
        <v>61431299</v>
      </c>
      <c r="P2339">
        <v>151</v>
      </c>
      <c r="Q2339" t="s">
        <v>5005</v>
      </c>
    </row>
    <row r="2340" spans="1:17" x14ac:dyDescent="0.3">
      <c r="A2340" t="s">
        <v>4664</v>
      </c>
      <c r="B2340" t="str">
        <f>"000573"</f>
        <v>000573</v>
      </c>
      <c r="C2340" t="s">
        <v>5006</v>
      </c>
      <c r="D2340" t="s">
        <v>104</v>
      </c>
      <c r="F2340">
        <v>133509930</v>
      </c>
      <c r="G2340">
        <v>-7942393</v>
      </c>
      <c r="H2340">
        <v>137577343</v>
      </c>
      <c r="I2340">
        <v>-47279265</v>
      </c>
      <c r="J2340">
        <v>56206331</v>
      </c>
      <c r="K2340">
        <v>23836328</v>
      </c>
      <c r="L2340">
        <v>-48525933</v>
      </c>
      <c r="M2340">
        <v>22409007</v>
      </c>
      <c r="N2340">
        <v>101376485</v>
      </c>
      <c r="O2340">
        <v>37504273</v>
      </c>
      <c r="P2340">
        <v>130</v>
      </c>
      <c r="Q2340" t="s">
        <v>5007</v>
      </c>
    </row>
    <row r="2341" spans="1:17" x14ac:dyDescent="0.3">
      <c r="A2341" t="s">
        <v>4664</v>
      </c>
      <c r="B2341" t="str">
        <f>"000576"</f>
        <v>000576</v>
      </c>
      <c r="C2341" t="s">
        <v>5008</v>
      </c>
      <c r="D2341" t="s">
        <v>428</v>
      </c>
      <c r="F2341">
        <v>97350519</v>
      </c>
      <c r="G2341">
        <v>744053600</v>
      </c>
      <c r="H2341">
        <v>85290581</v>
      </c>
      <c r="I2341">
        <v>-38444126</v>
      </c>
      <c r="J2341">
        <v>-31706089</v>
      </c>
      <c r="K2341">
        <v>-71000907</v>
      </c>
      <c r="L2341">
        <v>81160681</v>
      </c>
      <c r="M2341">
        <v>5835757</v>
      </c>
      <c r="N2341">
        <v>20627453</v>
      </c>
      <c r="O2341">
        <v>66585699</v>
      </c>
      <c r="P2341">
        <v>161</v>
      </c>
      <c r="Q2341" t="s">
        <v>5009</v>
      </c>
    </row>
    <row r="2342" spans="1:17" x14ac:dyDescent="0.3">
      <c r="A2342" t="s">
        <v>4664</v>
      </c>
      <c r="B2342" t="str">
        <f>"000578"</f>
        <v>000578</v>
      </c>
      <c r="C2342" t="s">
        <v>5010</v>
      </c>
      <c r="N2342">
        <v>736453421.33000004</v>
      </c>
      <c r="O2342">
        <v>1828168474.8699999</v>
      </c>
      <c r="P2342">
        <v>12</v>
      </c>
      <c r="Q2342" t="s">
        <v>5011</v>
      </c>
    </row>
    <row r="2343" spans="1:17" x14ac:dyDescent="0.3">
      <c r="A2343" t="s">
        <v>4664</v>
      </c>
      <c r="B2343" t="str">
        <f>"000581"</f>
        <v>000581</v>
      </c>
      <c r="C2343" t="s">
        <v>5012</v>
      </c>
      <c r="D2343" t="s">
        <v>348</v>
      </c>
      <c r="F2343">
        <v>2129993680</v>
      </c>
      <c r="G2343">
        <v>2230245790</v>
      </c>
      <c r="H2343">
        <v>1726761696</v>
      </c>
      <c r="I2343">
        <v>2055630199</v>
      </c>
      <c r="J2343">
        <v>1853693813</v>
      </c>
      <c r="K2343">
        <v>1309694645</v>
      </c>
      <c r="L2343">
        <v>1293864195</v>
      </c>
      <c r="M2343">
        <v>1239452819</v>
      </c>
      <c r="N2343">
        <v>802229002</v>
      </c>
      <c r="O2343">
        <v>608966455</v>
      </c>
      <c r="P2343">
        <v>1711</v>
      </c>
      <c r="Q2343" t="s">
        <v>5013</v>
      </c>
    </row>
    <row r="2344" spans="1:17" x14ac:dyDescent="0.3">
      <c r="A2344" t="s">
        <v>4664</v>
      </c>
      <c r="B2344" t="str">
        <f>"000582"</f>
        <v>000582</v>
      </c>
      <c r="C2344" t="s">
        <v>5014</v>
      </c>
      <c r="D2344" t="s">
        <v>51</v>
      </c>
      <c r="F2344">
        <v>748735687</v>
      </c>
      <c r="G2344">
        <v>836733295</v>
      </c>
      <c r="H2344">
        <v>721304881</v>
      </c>
      <c r="I2344">
        <v>502280086</v>
      </c>
      <c r="J2344">
        <v>437921746</v>
      </c>
      <c r="K2344">
        <v>389443615</v>
      </c>
      <c r="L2344">
        <v>352405148</v>
      </c>
      <c r="M2344">
        <v>496741941</v>
      </c>
      <c r="N2344">
        <v>31930241</v>
      </c>
      <c r="O2344">
        <v>31757506</v>
      </c>
      <c r="P2344">
        <v>227</v>
      </c>
      <c r="Q2344" t="s">
        <v>5015</v>
      </c>
    </row>
    <row r="2345" spans="1:17" x14ac:dyDescent="0.3">
      <c r="A2345" t="s">
        <v>4664</v>
      </c>
      <c r="B2345" t="str">
        <f>"000583"</f>
        <v>000583</v>
      </c>
      <c r="C2345" t="s">
        <v>5016</v>
      </c>
      <c r="K2345">
        <v>-50358103.149999999</v>
      </c>
      <c r="L2345">
        <v>-45518843.210000001</v>
      </c>
      <c r="M2345">
        <v>-42649675.960000001</v>
      </c>
      <c r="N2345">
        <v>-39545228</v>
      </c>
      <c r="O2345">
        <v>-37247904.119999997</v>
      </c>
      <c r="P2345">
        <v>3</v>
      </c>
      <c r="Q2345" t="s">
        <v>5017</v>
      </c>
    </row>
    <row r="2346" spans="1:17" x14ac:dyDescent="0.3">
      <c r="A2346" t="s">
        <v>4664</v>
      </c>
      <c r="B2346" t="str">
        <f>"000584"</f>
        <v>000584</v>
      </c>
      <c r="C2346" t="s">
        <v>5018</v>
      </c>
      <c r="D2346" t="s">
        <v>2911</v>
      </c>
      <c r="F2346">
        <v>-87855826</v>
      </c>
      <c r="G2346">
        <v>-28761098</v>
      </c>
      <c r="H2346">
        <v>50436991</v>
      </c>
      <c r="I2346">
        <v>100719182</v>
      </c>
      <c r="J2346">
        <v>63479249</v>
      </c>
      <c r="K2346">
        <v>-40382427</v>
      </c>
      <c r="L2346">
        <v>24337052</v>
      </c>
      <c r="M2346">
        <v>199516508</v>
      </c>
      <c r="N2346">
        <v>348591187</v>
      </c>
      <c r="O2346">
        <v>-46601125</v>
      </c>
      <c r="P2346">
        <v>134</v>
      </c>
      <c r="Q2346" t="s">
        <v>5019</v>
      </c>
    </row>
    <row r="2347" spans="1:17" x14ac:dyDescent="0.3">
      <c r="A2347" t="s">
        <v>4664</v>
      </c>
      <c r="B2347" t="str">
        <f>"000585"</f>
        <v>000585</v>
      </c>
      <c r="C2347" t="s">
        <v>5020</v>
      </c>
      <c r="D2347" t="s">
        <v>210</v>
      </c>
      <c r="F2347">
        <v>23859170</v>
      </c>
      <c r="G2347">
        <v>163647821</v>
      </c>
      <c r="H2347">
        <v>-5657128</v>
      </c>
      <c r="I2347">
        <v>9664633</v>
      </c>
      <c r="J2347">
        <v>-27880719</v>
      </c>
      <c r="K2347">
        <v>-23364082</v>
      </c>
      <c r="L2347">
        <v>-910996</v>
      </c>
      <c r="M2347">
        <v>-876042</v>
      </c>
      <c r="N2347">
        <v>-1441459</v>
      </c>
      <c r="O2347">
        <v>-10726466</v>
      </c>
      <c r="P2347">
        <v>73</v>
      </c>
      <c r="Q2347" t="s">
        <v>5021</v>
      </c>
    </row>
    <row r="2348" spans="1:17" x14ac:dyDescent="0.3">
      <c r="A2348" t="s">
        <v>4664</v>
      </c>
      <c r="B2348" t="str">
        <f>"000586"</f>
        <v>000586</v>
      </c>
      <c r="C2348" t="s">
        <v>5022</v>
      </c>
      <c r="D2348" t="s">
        <v>250</v>
      </c>
      <c r="F2348">
        <v>22671264</v>
      </c>
      <c r="G2348">
        <v>8697862</v>
      </c>
      <c r="H2348">
        <v>6181253</v>
      </c>
      <c r="I2348">
        <v>-1886139</v>
      </c>
      <c r="J2348">
        <v>921793</v>
      </c>
      <c r="K2348">
        <v>2687846</v>
      </c>
      <c r="L2348">
        <v>15955010</v>
      </c>
      <c r="M2348">
        <v>2642844</v>
      </c>
      <c r="N2348">
        <v>11850369</v>
      </c>
      <c r="O2348">
        <v>2030683</v>
      </c>
      <c r="P2348">
        <v>145</v>
      </c>
      <c r="Q2348" t="s">
        <v>5023</v>
      </c>
    </row>
    <row r="2349" spans="1:17" x14ac:dyDescent="0.3">
      <c r="A2349" t="s">
        <v>4664</v>
      </c>
      <c r="B2349" t="str">
        <f>"000587"</f>
        <v>000587</v>
      </c>
      <c r="C2349" t="s">
        <v>5024</v>
      </c>
      <c r="D2349" t="s">
        <v>1238</v>
      </c>
      <c r="F2349">
        <v>-514835041</v>
      </c>
      <c r="G2349">
        <v>-2595353247</v>
      </c>
      <c r="H2349">
        <v>-2138290211</v>
      </c>
      <c r="I2349">
        <v>-168414631</v>
      </c>
      <c r="J2349">
        <v>728353187</v>
      </c>
      <c r="K2349">
        <v>699875728</v>
      </c>
      <c r="L2349">
        <v>119834853</v>
      </c>
      <c r="M2349">
        <v>112231997</v>
      </c>
      <c r="N2349">
        <v>126538754</v>
      </c>
      <c r="O2349">
        <v>123930109</v>
      </c>
      <c r="P2349">
        <v>114</v>
      </c>
      <c r="Q2349" t="s">
        <v>5025</v>
      </c>
    </row>
    <row r="2350" spans="1:17" x14ac:dyDescent="0.3">
      <c r="A2350" t="s">
        <v>4664</v>
      </c>
      <c r="B2350" t="str">
        <f>"000588"</f>
        <v>000588</v>
      </c>
      <c r="C2350" t="s">
        <v>5026</v>
      </c>
      <c r="K2350">
        <v>14344568.92</v>
      </c>
      <c r="L2350">
        <v>7422450.25</v>
      </c>
      <c r="P2350">
        <v>5</v>
      </c>
      <c r="Q2350" t="s">
        <v>5027</v>
      </c>
    </row>
    <row r="2351" spans="1:17" x14ac:dyDescent="0.3">
      <c r="A2351" t="s">
        <v>4664</v>
      </c>
      <c r="B2351" t="str">
        <f>"000589"</f>
        <v>000589</v>
      </c>
      <c r="C2351" t="s">
        <v>5028</v>
      </c>
      <c r="D2351" t="s">
        <v>422</v>
      </c>
      <c r="F2351">
        <v>246880577</v>
      </c>
      <c r="G2351">
        <v>406050433</v>
      </c>
      <c r="H2351">
        <v>129095574</v>
      </c>
      <c r="I2351">
        <v>63588793</v>
      </c>
      <c r="J2351">
        <v>-13295889</v>
      </c>
      <c r="K2351">
        <v>7026768</v>
      </c>
      <c r="L2351">
        <v>80488586</v>
      </c>
      <c r="M2351">
        <v>129765977</v>
      </c>
      <c r="N2351">
        <v>129841655</v>
      </c>
      <c r="O2351">
        <v>62960759</v>
      </c>
      <c r="P2351">
        <v>208</v>
      </c>
      <c r="Q2351" t="s">
        <v>5029</v>
      </c>
    </row>
    <row r="2352" spans="1:17" x14ac:dyDescent="0.3">
      <c r="A2352" t="s">
        <v>4664</v>
      </c>
      <c r="B2352" t="str">
        <f>"000590"</f>
        <v>000590</v>
      </c>
      <c r="C2352" t="s">
        <v>5030</v>
      </c>
      <c r="D2352" t="s">
        <v>188</v>
      </c>
      <c r="F2352">
        <v>39065966</v>
      </c>
      <c r="G2352">
        <v>19325939</v>
      </c>
      <c r="H2352">
        <v>17333074</v>
      </c>
      <c r="I2352">
        <v>-11208617</v>
      </c>
      <c r="J2352">
        <v>14605902</v>
      </c>
      <c r="K2352">
        <v>12338231</v>
      </c>
      <c r="L2352">
        <v>31498823</v>
      </c>
      <c r="M2352">
        <v>1353882</v>
      </c>
      <c r="N2352">
        <v>1029126</v>
      </c>
      <c r="O2352">
        <v>55282445</v>
      </c>
      <c r="P2352">
        <v>148</v>
      </c>
      <c r="Q2352" t="s">
        <v>5031</v>
      </c>
    </row>
    <row r="2353" spans="1:17" x14ac:dyDescent="0.3">
      <c r="A2353" t="s">
        <v>4664</v>
      </c>
      <c r="B2353" t="str">
        <f>"000591"</f>
        <v>000591</v>
      </c>
      <c r="C2353" t="s">
        <v>5032</v>
      </c>
      <c r="D2353" t="s">
        <v>86</v>
      </c>
      <c r="F2353">
        <v>1187841564</v>
      </c>
      <c r="G2353">
        <v>979073547</v>
      </c>
      <c r="H2353">
        <v>817933019</v>
      </c>
      <c r="I2353">
        <v>718700493</v>
      </c>
      <c r="J2353">
        <v>687227745</v>
      </c>
      <c r="K2353">
        <v>407841097</v>
      </c>
      <c r="L2353">
        <v>1082148</v>
      </c>
      <c r="M2353">
        <v>-1346447</v>
      </c>
      <c r="N2353">
        <v>25791030</v>
      </c>
      <c r="O2353">
        <v>25638653</v>
      </c>
      <c r="P2353">
        <v>664</v>
      </c>
      <c r="Q2353" t="s">
        <v>5033</v>
      </c>
    </row>
    <row r="2354" spans="1:17" x14ac:dyDescent="0.3">
      <c r="A2354" t="s">
        <v>4664</v>
      </c>
      <c r="B2354" t="str">
        <f>"000592"</f>
        <v>000592</v>
      </c>
      <c r="C2354" t="s">
        <v>5034</v>
      </c>
      <c r="D2354" t="s">
        <v>603</v>
      </c>
      <c r="F2354">
        <v>54276908</v>
      </c>
      <c r="G2354">
        <v>31014793</v>
      </c>
      <c r="H2354">
        <v>30385566</v>
      </c>
      <c r="I2354">
        <v>79948374</v>
      </c>
      <c r="J2354">
        <v>10782597</v>
      </c>
      <c r="K2354">
        <v>21305053</v>
      </c>
      <c r="L2354">
        <v>31014654</v>
      </c>
      <c r="M2354">
        <v>49911255</v>
      </c>
      <c r="N2354">
        <v>24159267</v>
      </c>
      <c r="O2354">
        <v>-12330117</v>
      </c>
      <c r="P2354">
        <v>150</v>
      </c>
      <c r="Q2354" t="s">
        <v>5035</v>
      </c>
    </row>
    <row r="2355" spans="1:17" x14ac:dyDescent="0.3">
      <c r="A2355" t="s">
        <v>4664</v>
      </c>
      <c r="B2355" t="str">
        <f>"000593"</f>
        <v>000593</v>
      </c>
      <c r="C2355" t="s">
        <v>5036</v>
      </c>
      <c r="D2355" t="s">
        <v>749</v>
      </c>
      <c r="F2355">
        <v>39272138</v>
      </c>
      <c r="G2355">
        <v>19755606</v>
      </c>
      <c r="H2355">
        <v>23068768</v>
      </c>
      <c r="I2355">
        <v>17376568</v>
      </c>
      <c r="J2355">
        <v>4982271</v>
      </c>
      <c r="K2355">
        <v>4591872</v>
      </c>
      <c r="L2355">
        <v>9678944</v>
      </c>
      <c r="M2355">
        <v>7775594</v>
      </c>
      <c r="N2355">
        <v>22941791</v>
      </c>
      <c r="O2355">
        <v>3263348</v>
      </c>
      <c r="P2355">
        <v>80</v>
      </c>
      <c r="Q2355" t="s">
        <v>5037</v>
      </c>
    </row>
    <row r="2356" spans="1:17" x14ac:dyDescent="0.3">
      <c r="A2356" t="s">
        <v>4664</v>
      </c>
      <c r="B2356" t="str">
        <f>"000594"</f>
        <v>000594</v>
      </c>
      <c r="C2356" t="s">
        <v>5038</v>
      </c>
      <c r="K2356">
        <v>-59043587.060000002</v>
      </c>
      <c r="L2356">
        <v>-1141882861.1199999</v>
      </c>
      <c r="M2356">
        <v>1587376.36</v>
      </c>
      <c r="N2356">
        <v>5486978.3300000001</v>
      </c>
      <c r="O2356">
        <v>7158623.0700000003</v>
      </c>
      <c r="P2356">
        <v>3</v>
      </c>
      <c r="Q2356" t="s">
        <v>5039</v>
      </c>
    </row>
    <row r="2357" spans="1:17" x14ac:dyDescent="0.3">
      <c r="A2357" t="s">
        <v>4664</v>
      </c>
      <c r="B2357" t="str">
        <f>"000595"</f>
        <v>000595</v>
      </c>
      <c r="C2357" t="s">
        <v>5040</v>
      </c>
      <c r="D2357" t="s">
        <v>274</v>
      </c>
      <c r="F2357">
        <v>-55611305</v>
      </c>
      <c r="G2357">
        <v>-48697005</v>
      </c>
      <c r="H2357">
        <v>-86811870</v>
      </c>
      <c r="I2357">
        <v>-7495810</v>
      </c>
      <c r="J2357">
        <v>23789248</v>
      </c>
      <c r="K2357">
        <v>-55010478</v>
      </c>
      <c r="L2357">
        <v>-59694246</v>
      </c>
      <c r="M2357">
        <v>-48174573</v>
      </c>
      <c r="N2357">
        <v>-59323771</v>
      </c>
      <c r="O2357">
        <v>9198632</v>
      </c>
      <c r="P2357">
        <v>98</v>
      </c>
      <c r="Q2357" t="s">
        <v>5041</v>
      </c>
    </row>
    <row r="2358" spans="1:17" x14ac:dyDescent="0.3">
      <c r="A2358" t="s">
        <v>4664</v>
      </c>
      <c r="B2358" t="str">
        <f>"000596"</f>
        <v>000596</v>
      </c>
      <c r="C2358" t="s">
        <v>5042</v>
      </c>
      <c r="D2358" t="s">
        <v>458</v>
      </c>
      <c r="F2358">
        <v>1968932388</v>
      </c>
      <c r="G2358">
        <v>1537681004</v>
      </c>
      <c r="H2358">
        <v>1741611161</v>
      </c>
      <c r="I2358">
        <v>1255725247</v>
      </c>
      <c r="J2358">
        <v>797483310</v>
      </c>
      <c r="K2358">
        <v>582439645</v>
      </c>
      <c r="L2358">
        <v>500610929</v>
      </c>
      <c r="M2358">
        <v>460357593</v>
      </c>
      <c r="N2358">
        <v>478859619</v>
      </c>
      <c r="O2358">
        <v>530144672</v>
      </c>
      <c r="P2358">
        <v>53677</v>
      </c>
      <c r="Q2358" t="s">
        <v>5043</v>
      </c>
    </row>
    <row r="2359" spans="1:17" x14ac:dyDescent="0.3">
      <c r="A2359" t="s">
        <v>4664</v>
      </c>
      <c r="B2359" t="str">
        <f>"000597"</f>
        <v>000597</v>
      </c>
      <c r="C2359" t="s">
        <v>5044</v>
      </c>
      <c r="D2359" t="s">
        <v>143</v>
      </c>
      <c r="F2359">
        <v>25497647</v>
      </c>
      <c r="G2359">
        <v>811899</v>
      </c>
      <c r="H2359">
        <v>175342409</v>
      </c>
      <c r="I2359">
        <v>156712406</v>
      </c>
      <c r="J2359">
        <v>79860939</v>
      </c>
      <c r="K2359">
        <v>6078084</v>
      </c>
      <c r="L2359">
        <v>-222199118</v>
      </c>
      <c r="M2359">
        <v>58634112</v>
      </c>
      <c r="N2359">
        <v>-81217685</v>
      </c>
      <c r="O2359">
        <v>94529979</v>
      </c>
      <c r="P2359">
        <v>131</v>
      </c>
      <c r="Q2359" t="s">
        <v>5045</v>
      </c>
    </row>
    <row r="2360" spans="1:17" x14ac:dyDescent="0.3">
      <c r="A2360" t="s">
        <v>4664</v>
      </c>
      <c r="B2360" t="str">
        <f>"000598"</f>
        <v>000598</v>
      </c>
      <c r="C2360" t="s">
        <v>5046</v>
      </c>
      <c r="D2360" t="s">
        <v>33</v>
      </c>
      <c r="F2360">
        <v>1236721645</v>
      </c>
      <c r="G2360">
        <v>1044207301</v>
      </c>
      <c r="H2360">
        <v>933354330</v>
      </c>
      <c r="I2360">
        <v>849463382</v>
      </c>
      <c r="J2360">
        <v>744311714</v>
      </c>
      <c r="K2360">
        <v>759192438</v>
      </c>
      <c r="L2360">
        <v>728961302</v>
      </c>
      <c r="M2360">
        <v>672908132</v>
      </c>
      <c r="N2360">
        <v>624872032</v>
      </c>
      <c r="O2360">
        <v>559617952</v>
      </c>
      <c r="P2360">
        <v>444</v>
      </c>
      <c r="Q2360" t="s">
        <v>5047</v>
      </c>
    </row>
    <row r="2361" spans="1:17" x14ac:dyDescent="0.3">
      <c r="A2361" t="s">
        <v>4664</v>
      </c>
      <c r="B2361" t="str">
        <f>"000599"</f>
        <v>000599</v>
      </c>
      <c r="C2361" t="s">
        <v>5048</v>
      </c>
      <c r="D2361" t="s">
        <v>422</v>
      </c>
      <c r="F2361">
        <v>-147893312</v>
      </c>
      <c r="G2361">
        <v>7061693</v>
      </c>
      <c r="H2361">
        <v>28961390</v>
      </c>
      <c r="I2361">
        <v>53890540</v>
      </c>
      <c r="J2361">
        <v>105043149</v>
      </c>
      <c r="K2361">
        <v>81077234</v>
      </c>
      <c r="L2361">
        <v>42133702</v>
      </c>
      <c r="M2361">
        <v>41084021</v>
      </c>
      <c r="N2361">
        <v>11873992</v>
      </c>
      <c r="O2361">
        <v>5283486</v>
      </c>
      <c r="P2361">
        <v>119</v>
      </c>
      <c r="Q2361" t="s">
        <v>5049</v>
      </c>
    </row>
    <row r="2362" spans="1:17" x14ac:dyDescent="0.3">
      <c r="A2362" t="s">
        <v>4664</v>
      </c>
      <c r="B2362" t="str">
        <f>"000600"</f>
        <v>000600</v>
      </c>
      <c r="C2362" t="s">
        <v>5050</v>
      </c>
      <c r="D2362" t="s">
        <v>41</v>
      </c>
      <c r="F2362">
        <v>-739987553</v>
      </c>
      <c r="G2362">
        <v>825095273</v>
      </c>
      <c r="H2362">
        <v>463928304</v>
      </c>
      <c r="I2362">
        <v>283051133</v>
      </c>
      <c r="J2362">
        <v>237527627</v>
      </c>
      <c r="K2362">
        <v>1642282541</v>
      </c>
      <c r="L2362">
        <v>1751803850</v>
      </c>
      <c r="M2362">
        <v>1586735653</v>
      </c>
      <c r="N2362">
        <v>509053886</v>
      </c>
      <c r="O2362">
        <v>89059245</v>
      </c>
      <c r="P2362">
        <v>312</v>
      </c>
      <c r="Q2362" t="s">
        <v>5051</v>
      </c>
    </row>
    <row r="2363" spans="1:17" x14ac:dyDescent="0.3">
      <c r="A2363" t="s">
        <v>4664</v>
      </c>
      <c r="B2363" t="str">
        <f>"000601"</f>
        <v>000601</v>
      </c>
      <c r="C2363" t="s">
        <v>5052</v>
      </c>
      <c r="D2363" t="s">
        <v>66</v>
      </c>
      <c r="F2363">
        <v>141193077</v>
      </c>
      <c r="G2363">
        <v>346917868</v>
      </c>
      <c r="H2363">
        <v>478254499</v>
      </c>
      <c r="I2363">
        <v>268708578</v>
      </c>
      <c r="J2363">
        <v>434631081</v>
      </c>
      <c r="K2363">
        <v>458582806</v>
      </c>
      <c r="L2363">
        <v>240533410</v>
      </c>
      <c r="M2363">
        <v>265660128</v>
      </c>
      <c r="N2363">
        <v>227651877</v>
      </c>
      <c r="O2363">
        <v>186674809</v>
      </c>
      <c r="P2363">
        <v>215</v>
      </c>
      <c r="Q2363" t="s">
        <v>5053</v>
      </c>
    </row>
    <row r="2364" spans="1:17" x14ac:dyDescent="0.3">
      <c r="A2364" t="s">
        <v>4664</v>
      </c>
      <c r="B2364" t="str">
        <f>"000602"</f>
        <v>000602</v>
      </c>
      <c r="C2364" t="s">
        <v>5054</v>
      </c>
      <c r="O2364">
        <v>493651076.19</v>
      </c>
      <c r="P2364">
        <v>5</v>
      </c>
      <c r="Q2364" t="s">
        <v>5055</v>
      </c>
    </row>
    <row r="2365" spans="1:17" x14ac:dyDescent="0.3">
      <c r="A2365" t="s">
        <v>4664</v>
      </c>
      <c r="B2365" t="str">
        <f>"000603"</f>
        <v>000603</v>
      </c>
      <c r="C2365" t="s">
        <v>5056</v>
      </c>
      <c r="D2365" t="s">
        <v>744</v>
      </c>
      <c r="F2365">
        <v>239320668</v>
      </c>
      <c r="G2365">
        <v>176302872</v>
      </c>
      <c r="H2365">
        <v>340251695</v>
      </c>
      <c r="I2365">
        <v>252933586</v>
      </c>
      <c r="J2365">
        <v>174403365</v>
      </c>
      <c r="K2365">
        <v>144896373</v>
      </c>
      <c r="L2365">
        <v>197688387</v>
      </c>
      <c r="M2365">
        <v>156263608</v>
      </c>
      <c r="N2365">
        <v>216415814</v>
      </c>
      <c r="O2365">
        <v>265163481</v>
      </c>
      <c r="P2365">
        <v>351</v>
      </c>
      <c r="Q2365" t="s">
        <v>5057</v>
      </c>
    </row>
    <row r="2366" spans="1:17" x14ac:dyDescent="0.3">
      <c r="A2366" t="s">
        <v>4664</v>
      </c>
      <c r="B2366" t="str">
        <f>"000605"</f>
        <v>000605</v>
      </c>
      <c r="C2366" t="s">
        <v>5058</v>
      </c>
      <c r="D2366" t="s">
        <v>33</v>
      </c>
      <c r="F2366">
        <v>16688779</v>
      </c>
      <c r="G2366">
        <v>24498826</v>
      </c>
      <c r="H2366">
        <v>31939047</v>
      </c>
      <c r="I2366">
        <v>36827933</v>
      </c>
      <c r="J2366">
        <v>67172769</v>
      </c>
      <c r="K2366">
        <v>32033062</v>
      </c>
      <c r="L2366">
        <v>35073812</v>
      </c>
      <c r="M2366">
        <v>29412347</v>
      </c>
      <c r="N2366">
        <v>-2152820</v>
      </c>
      <c r="O2366">
        <v>2624746</v>
      </c>
      <c r="P2366">
        <v>85</v>
      </c>
      <c r="Q2366" t="s">
        <v>5059</v>
      </c>
    </row>
    <row r="2367" spans="1:17" x14ac:dyDescent="0.3">
      <c r="A2367" t="s">
        <v>4664</v>
      </c>
      <c r="B2367" t="str">
        <f>"000606"</f>
        <v>000606</v>
      </c>
      <c r="C2367" t="s">
        <v>5060</v>
      </c>
      <c r="D2367" t="s">
        <v>316</v>
      </c>
      <c r="F2367">
        <v>16328677</v>
      </c>
      <c r="G2367">
        <v>79802404</v>
      </c>
      <c r="H2367">
        <v>108861229</v>
      </c>
      <c r="I2367">
        <v>314677161</v>
      </c>
      <c r="J2367">
        <v>-52318545</v>
      </c>
      <c r="K2367">
        <v>17409089</v>
      </c>
      <c r="L2367">
        <v>-34846392</v>
      </c>
      <c r="M2367">
        <v>-42816723</v>
      </c>
      <c r="N2367">
        <v>4660333</v>
      </c>
      <c r="O2367">
        <v>-4458947</v>
      </c>
      <c r="P2367">
        <v>99</v>
      </c>
      <c r="Q2367" t="s">
        <v>5061</v>
      </c>
    </row>
    <row r="2368" spans="1:17" x14ac:dyDescent="0.3">
      <c r="A2368" t="s">
        <v>4664</v>
      </c>
      <c r="B2368" t="str">
        <f>"000607"</f>
        <v>000607</v>
      </c>
      <c r="C2368" t="s">
        <v>5062</v>
      </c>
      <c r="D2368" t="s">
        <v>5063</v>
      </c>
      <c r="F2368">
        <v>77748674</v>
      </c>
      <c r="G2368">
        <v>15258767</v>
      </c>
      <c r="H2368">
        <v>70567339</v>
      </c>
      <c r="I2368">
        <v>61081210</v>
      </c>
      <c r="J2368">
        <v>90362448</v>
      </c>
      <c r="K2368">
        <v>127049780</v>
      </c>
      <c r="L2368">
        <v>121248814</v>
      </c>
      <c r="M2368">
        <v>6655408</v>
      </c>
      <c r="N2368">
        <v>13862869</v>
      </c>
      <c r="O2368">
        <v>15473865</v>
      </c>
      <c r="P2368">
        <v>109</v>
      </c>
      <c r="Q2368" t="s">
        <v>5064</v>
      </c>
    </row>
    <row r="2369" spans="1:17" x14ac:dyDescent="0.3">
      <c r="A2369" t="s">
        <v>4664</v>
      </c>
      <c r="B2369" t="str">
        <f>"000608"</f>
        <v>000608</v>
      </c>
      <c r="C2369" t="s">
        <v>5065</v>
      </c>
      <c r="D2369" t="s">
        <v>30</v>
      </c>
      <c r="F2369">
        <v>13295611</v>
      </c>
      <c r="G2369">
        <v>-80328738</v>
      </c>
      <c r="H2369">
        <v>-44317000</v>
      </c>
      <c r="I2369">
        <v>-5903000</v>
      </c>
      <c r="J2369">
        <v>303167000</v>
      </c>
      <c r="K2369">
        <v>-335755000</v>
      </c>
      <c r="L2369">
        <v>18093000</v>
      </c>
      <c r="M2369">
        <v>17883000</v>
      </c>
      <c r="N2369">
        <v>183856000</v>
      </c>
      <c r="O2369">
        <v>131882000</v>
      </c>
      <c r="P2369">
        <v>102</v>
      </c>
      <c r="Q2369" t="s">
        <v>5066</v>
      </c>
    </row>
    <row r="2370" spans="1:17" x14ac:dyDescent="0.3">
      <c r="A2370" t="s">
        <v>4664</v>
      </c>
      <c r="B2370" t="str">
        <f>"000609"</f>
        <v>000609</v>
      </c>
      <c r="C2370" t="s">
        <v>5067</v>
      </c>
      <c r="D2370" t="s">
        <v>104</v>
      </c>
      <c r="F2370">
        <v>-117266670</v>
      </c>
      <c r="G2370">
        <v>-29308884</v>
      </c>
      <c r="H2370">
        <v>-78783478</v>
      </c>
      <c r="I2370">
        <v>-6325987</v>
      </c>
      <c r="J2370">
        <v>122655289</v>
      </c>
      <c r="K2370">
        <v>125304895</v>
      </c>
      <c r="L2370">
        <v>1226947</v>
      </c>
      <c r="M2370">
        <v>4913856</v>
      </c>
      <c r="N2370">
        <v>-25275879</v>
      </c>
      <c r="O2370">
        <v>21427228</v>
      </c>
      <c r="P2370">
        <v>95</v>
      </c>
      <c r="Q2370" t="s">
        <v>5068</v>
      </c>
    </row>
    <row r="2371" spans="1:17" x14ac:dyDescent="0.3">
      <c r="A2371" t="s">
        <v>4664</v>
      </c>
      <c r="B2371" t="str">
        <f>"000610"</f>
        <v>000610</v>
      </c>
      <c r="C2371" t="s">
        <v>5069</v>
      </c>
      <c r="D2371" t="s">
        <v>590</v>
      </c>
      <c r="F2371">
        <v>-33734227</v>
      </c>
      <c r="G2371">
        <v>88165404</v>
      </c>
      <c r="H2371">
        <v>-4543296</v>
      </c>
      <c r="I2371">
        <v>-10574825</v>
      </c>
      <c r="J2371">
        <v>-11823889</v>
      </c>
      <c r="K2371">
        <v>1678027</v>
      </c>
      <c r="L2371">
        <v>-11382154</v>
      </c>
      <c r="M2371">
        <v>-11941755</v>
      </c>
      <c r="N2371">
        <v>-6619841</v>
      </c>
      <c r="O2371">
        <v>23089287</v>
      </c>
      <c r="P2371">
        <v>152</v>
      </c>
      <c r="Q2371" t="s">
        <v>5070</v>
      </c>
    </row>
    <row r="2372" spans="1:17" x14ac:dyDescent="0.3">
      <c r="A2372" t="s">
        <v>4664</v>
      </c>
      <c r="B2372" t="str">
        <f>"000611"</f>
        <v>000611</v>
      </c>
      <c r="C2372" t="s">
        <v>5071</v>
      </c>
      <c r="D2372" t="s">
        <v>292</v>
      </c>
      <c r="F2372">
        <v>-32224126</v>
      </c>
      <c r="G2372">
        <v>-28248534</v>
      </c>
      <c r="H2372">
        <v>-19174255</v>
      </c>
      <c r="I2372">
        <v>-48236297</v>
      </c>
      <c r="J2372">
        <v>-9727168</v>
      </c>
      <c r="K2372">
        <v>-24734330</v>
      </c>
      <c r="L2372">
        <v>-22525446</v>
      </c>
      <c r="M2372">
        <v>-16265172</v>
      </c>
      <c r="N2372">
        <v>6694095</v>
      </c>
      <c r="O2372">
        <v>1120672</v>
      </c>
      <c r="P2372">
        <v>68</v>
      </c>
      <c r="Q2372" t="s">
        <v>5072</v>
      </c>
    </row>
    <row r="2373" spans="1:17" x14ac:dyDescent="0.3">
      <c r="A2373" t="s">
        <v>4664</v>
      </c>
      <c r="B2373" t="str">
        <f>"000612"</f>
        <v>000612</v>
      </c>
      <c r="C2373" t="s">
        <v>5073</v>
      </c>
      <c r="D2373" t="s">
        <v>504</v>
      </c>
      <c r="F2373">
        <v>526111272</v>
      </c>
      <c r="G2373">
        <v>368830504</v>
      </c>
      <c r="H2373">
        <v>27039936</v>
      </c>
      <c r="I2373">
        <v>-143330704</v>
      </c>
      <c r="J2373">
        <v>272518941</v>
      </c>
      <c r="K2373">
        <v>42422166</v>
      </c>
      <c r="L2373">
        <v>19110011</v>
      </c>
      <c r="M2373">
        <v>163375525</v>
      </c>
      <c r="N2373">
        <v>172184947</v>
      </c>
      <c r="O2373">
        <v>79039379</v>
      </c>
      <c r="P2373">
        <v>199</v>
      </c>
      <c r="Q2373" t="s">
        <v>5074</v>
      </c>
    </row>
    <row r="2374" spans="1:17" x14ac:dyDescent="0.3">
      <c r="A2374" t="s">
        <v>4664</v>
      </c>
      <c r="B2374" t="str">
        <f>"000613"</f>
        <v>000613</v>
      </c>
      <c r="C2374" t="s">
        <v>5075</v>
      </c>
      <c r="D2374" t="s">
        <v>590</v>
      </c>
      <c r="F2374">
        <v>2789647</v>
      </c>
      <c r="G2374">
        <v>-8720953</v>
      </c>
      <c r="H2374">
        <v>-398909</v>
      </c>
      <c r="I2374">
        <v>595115</v>
      </c>
      <c r="J2374">
        <v>241087</v>
      </c>
      <c r="K2374">
        <v>-1663498</v>
      </c>
      <c r="L2374">
        <v>-6446203</v>
      </c>
      <c r="M2374">
        <v>-1736588</v>
      </c>
      <c r="N2374">
        <v>-2290798</v>
      </c>
      <c r="O2374">
        <v>-519063</v>
      </c>
      <c r="P2374">
        <v>100</v>
      </c>
      <c r="Q2374" t="s">
        <v>5076</v>
      </c>
    </row>
    <row r="2375" spans="1:17" x14ac:dyDescent="0.3">
      <c r="A2375" t="s">
        <v>4664</v>
      </c>
      <c r="B2375" t="str">
        <f>"000615"</f>
        <v>000615</v>
      </c>
      <c r="C2375" t="s">
        <v>5077</v>
      </c>
      <c r="D2375" t="s">
        <v>5078</v>
      </c>
      <c r="F2375">
        <v>210956390</v>
      </c>
      <c r="G2375">
        <v>-96206806</v>
      </c>
      <c r="H2375">
        <v>-42637716</v>
      </c>
      <c r="I2375">
        <v>5840905</v>
      </c>
      <c r="J2375">
        <v>-91377535</v>
      </c>
      <c r="K2375">
        <v>-97420561</v>
      </c>
      <c r="L2375">
        <v>206126551</v>
      </c>
      <c r="M2375">
        <v>15667271</v>
      </c>
      <c r="N2375">
        <v>-18539143</v>
      </c>
      <c r="O2375">
        <v>6749308</v>
      </c>
      <c r="P2375">
        <v>188</v>
      </c>
      <c r="Q2375" t="s">
        <v>5079</v>
      </c>
    </row>
    <row r="2376" spans="1:17" x14ac:dyDescent="0.3">
      <c r="A2376" t="s">
        <v>4664</v>
      </c>
      <c r="B2376" t="str">
        <f>"000616"</f>
        <v>000616</v>
      </c>
      <c r="C2376" t="s">
        <v>5080</v>
      </c>
      <c r="D2376" t="s">
        <v>104</v>
      </c>
      <c r="F2376">
        <v>62802454</v>
      </c>
      <c r="G2376">
        <v>-33486807</v>
      </c>
      <c r="H2376">
        <v>-5414828</v>
      </c>
      <c r="I2376">
        <v>327886064</v>
      </c>
      <c r="J2376">
        <v>4476213</v>
      </c>
      <c r="K2376">
        <v>-24798335</v>
      </c>
      <c r="L2376">
        <v>60386373</v>
      </c>
      <c r="M2376">
        <v>188899672</v>
      </c>
      <c r="N2376">
        <v>192669926</v>
      </c>
      <c r="O2376">
        <v>300939424</v>
      </c>
      <c r="P2376">
        <v>140</v>
      </c>
      <c r="Q2376" t="s">
        <v>5081</v>
      </c>
    </row>
    <row r="2377" spans="1:17" x14ac:dyDescent="0.3">
      <c r="A2377" t="s">
        <v>4664</v>
      </c>
      <c r="B2377" t="str">
        <f>"000617"</f>
        <v>000617</v>
      </c>
      <c r="C2377" t="s">
        <v>5082</v>
      </c>
      <c r="D2377" t="s">
        <v>140</v>
      </c>
      <c r="F2377">
        <v>5217141929</v>
      </c>
      <c r="G2377">
        <v>6157195419</v>
      </c>
      <c r="H2377">
        <v>6028386871</v>
      </c>
      <c r="I2377">
        <v>5762275964</v>
      </c>
      <c r="J2377">
        <v>4996269401</v>
      </c>
      <c r="K2377">
        <v>-207286557</v>
      </c>
      <c r="L2377">
        <v>-25358004</v>
      </c>
      <c r="M2377">
        <v>-50474502</v>
      </c>
      <c r="N2377">
        <v>16272394</v>
      </c>
      <c r="O2377">
        <v>-31850199</v>
      </c>
      <c r="P2377">
        <v>234</v>
      </c>
      <c r="Q2377" t="s">
        <v>5083</v>
      </c>
    </row>
    <row r="2378" spans="1:17" x14ac:dyDescent="0.3">
      <c r="A2378" t="s">
        <v>4664</v>
      </c>
      <c r="B2378" t="str">
        <f>"000619"</f>
        <v>000619</v>
      </c>
      <c r="C2378" t="s">
        <v>5084</v>
      </c>
      <c r="D2378" t="s">
        <v>722</v>
      </c>
      <c r="F2378">
        <v>-49554076</v>
      </c>
      <c r="G2378">
        <v>42492448</v>
      </c>
      <c r="H2378">
        <v>21505171</v>
      </c>
      <c r="I2378">
        <v>4561351</v>
      </c>
      <c r="J2378">
        <v>4963319</v>
      </c>
      <c r="K2378">
        <v>91002821</v>
      </c>
      <c r="L2378">
        <v>73950458</v>
      </c>
      <c r="M2378">
        <v>102613296</v>
      </c>
      <c r="N2378">
        <v>116890647</v>
      </c>
      <c r="O2378">
        <v>161237984</v>
      </c>
      <c r="P2378">
        <v>98</v>
      </c>
      <c r="Q2378" t="s">
        <v>5085</v>
      </c>
    </row>
    <row r="2379" spans="1:17" x14ac:dyDescent="0.3">
      <c r="A2379" t="s">
        <v>4664</v>
      </c>
      <c r="B2379" t="str">
        <f>"000620"</f>
        <v>000620</v>
      </c>
      <c r="C2379" t="s">
        <v>5086</v>
      </c>
      <c r="D2379" t="s">
        <v>104</v>
      </c>
      <c r="F2379">
        <v>-1788110404</v>
      </c>
      <c r="G2379">
        <v>-680366328</v>
      </c>
      <c r="H2379">
        <v>163181321</v>
      </c>
      <c r="I2379">
        <v>305833910</v>
      </c>
      <c r="J2379">
        <v>244390942</v>
      </c>
      <c r="K2379">
        <v>158363672</v>
      </c>
      <c r="L2379">
        <v>130613756</v>
      </c>
      <c r="M2379">
        <v>225508462</v>
      </c>
      <c r="N2379">
        <v>427644170</v>
      </c>
      <c r="O2379">
        <v>184107161</v>
      </c>
      <c r="P2379">
        <v>298</v>
      </c>
      <c r="Q2379" t="s">
        <v>5087</v>
      </c>
    </row>
    <row r="2380" spans="1:17" x14ac:dyDescent="0.3">
      <c r="A2380" t="s">
        <v>4664</v>
      </c>
      <c r="B2380" t="str">
        <f>"000622"</f>
        <v>000622</v>
      </c>
      <c r="C2380" t="s">
        <v>5088</v>
      </c>
      <c r="D2380" t="s">
        <v>110</v>
      </c>
      <c r="F2380">
        <v>-7332501</v>
      </c>
      <c r="G2380">
        <v>5099763</v>
      </c>
      <c r="H2380">
        <v>15294962</v>
      </c>
      <c r="I2380">
        <v>1089654</v>
      </c>
      <c r="J2380">
        <v>-11861165</v>
      </c>
      <c r="K2380">
        <v>-18962490</v>
      </c>
      <c r="L2380">
        <v>-22750924</v>
      </c>
      <c r="M2380">
        <v>-16366331</v>
      </c>
      <c r="N2380">
        <v>-7531809</v>
      </c>
      <c r="O2380">
        <v>-5470942</v>
      </c>
      <c r="P2380">
        <v>101</v>
      </c>
      <c r="Q2380" t="s">
        <v>5089</v>
      </c>
    </row>
    <row r="2381" spans="1:17" x14ac:dyDescent="0.3">
      <c r="A2381" t="s">
        <v>4664</v>
      </c>
      <c r="B2381" t="str">
        <f>"000623"</f>
        <v>000623</v>
      </c>
      <c r="C2381" t="s">
        <v>5090</v>
      </c>
      <c r="D2381" t="s">
        <v>143</v>
      </c>
      <c r="F2381">
        <v>1692559986</v>
      </c>
      <c r="G2381">
        <v>1503626335</v>
      </c>
      <c r="H2381">
        <v>1159707325</v>
      </c>
      <c r="I2381">
        <v>895884520</v>
      </c>
      <c r="J2381">
        <v>1369582440</v>
      </c>
      <c r="K2381">
        <v>1281673315</v>
      </c>
      <c r="L2381">
        <v>2018059515</v>
      </c>
      <c r="M2381">
        <v>914114834</v>
      </c>
      <c r="N2381">
        <v>698632843</v>
      </c>
      <c r="O2381">
        <v>545540874</v>
      </c>
      <c r="P2381">
        <v>671</v>
      </c>
      <c r="Q2381" t="s">
        <v>5091</v>
      </c>
    </row>
    <row r="2382" spans="1:17" x14ac:dyDescent="0.3">
      <c r="A2382" t="s">
        <v>4664</v>
      </c>
      <c r="B2382" t="str">
        <f>"000625"</f>
        <v>000625</v>
      </c>
      <c r="C2382" t="s">
        <v>5092</v>
      </c>
      <c r="D2382" t="s">
        <v>247</v>
      </c>
      <c r="F2382">
        <v>2992245631</v>
      </c>
      <c r="G2382">
        <v>3485972972</v>
      </c>
      <c r="H2382">
        <v>-2661510402</v>
      </c>
      <c r="I2382">
        <v>1163081476</v>
      </c>
      <c r="J2382">
        <v>5810596534</v>
      </c>
      <c r="K2382">
        <v>7739348328</v>
      </c>
      <c r="L2382">
        <v>6740843194</v>
      </c>
      <c r="M2382">
        <v>5452856530</v>
      </c>
      <c r="N2382">
        <v>2284516470</v>
      </c>
      <c r="O2382">
        <v>755104841</v>
      </c>
      <c r="P2382">
        <v>3098</v>
      </c>
      <c r="Q2382" t="s">
        <v>5093</v>
      </c>
    </row>
    <row r="2383" spans="1:17" x14ac:dyDescent="0.3">
      <c r="A2383" t="s">
        <v>4664</v>
      </c>
      <c r="B2383" t="str">
        <f>"000626"</f>
        <v>000626</v>
      </c>
      <c r="C2383" t="s">
        <v>5094</v>
      </c>
      <c r="D2383" t="s">
        <v>128</v>
      </c>
      <c r="F2383">
        <v>213511259</v>
      </c>
      <c r="G2383">
        <v>-52248872</v>
      </c>
      <c r="H2383">
        <v>67736574</v>
      </c>
      <c r="I2383">
        <v>24497012</v>
      </c>
      <c r="J2383">
        <v>243344082</v>
      </c>
      <c r="K2383">
        <v>376161682</v>
      </c>
      <c r="L2383">
        <v>263058279</v>
      </c>
      <c r="M2383">
        <v>118023739</v>
      </c>
      <c r="N2383">
        <v>28562623</v>
      </c>
      <c r="O2383">
        <v>11830373</v>
      </c>
      <c r="P2383">
        <v>125</v>
      </c>
      <c r="Q2383" t="s">
        <v>5095</v>
      </c>
    </row>
    <row r="2384" spans="1:17" x14ac:dyDescent="0.3">
      <c r="A2384" t="s">
        <v>4664</v>
      </c>
      <c r="B2384" t="str">
        <f>"000627"</f>
        <v>000627</v>
      </c>
      <c r="C2384" t="s">
        <v>5096</v>
      </c>
      <c r="D2384" t="s">
        <v>660</v>
      </c>
      <c r="F2384">
        <v>352506704</v>
      </c>
      <c r="G2384">
        <v>575626704</v>
      </c>
      <c r="H2384">
        <v>1016078023</v>
      </c>
      <c r="I2384">
        <v>1012024928</v>
      </c>
      <c r="J2384">
        <v>838826627</v>
      </c>
      <c r="K2384">
        <v>842825843</v>
      </c>
      <c r="L2384">
        <v>-55803293</v>
      </c>
      <c r="M2384">
        <v>146721297</v>
      </c>
      <c r="N2384">
        <v>-34950255</v>
      </c>
      <c r="O2384">
        <v>-69070169</v>
      </c>
      <c r="P2384">
        <v>288</v>
      </c>
      <c r="Q2384" t="s">
        <v>5097</v>
      </c>
    </row>
    <row r="2385" spans="1:17" x14ac:dyDescent="0.3">
      <c r="A2385" t="s">
        <v>4664</v>
      </c>
      <c r="B2385" t="str">
        <f>"000628"</f>
        <v>000628</v>
      </c>
      <c r="C2385" t="s">
        <v>5098</v>
      </c>
      <c r="D2385" t="s">
        <v>398</v>
      </c>
      <c r="F2385">
        <v>117295454</v>
      </c>
      <c r="G2385">
        <v>97886212</v>
      </c>
      <c r="H2385">
        <v>44333436</v>
      </c>
      <c r="I2385">
        <v>13674518</v>
      </c>
      <c r="J2385">
        <v>24005679</v>
      </c>
      <c r="K2385">
        <v>30488765</v>
      </c>
      <c r="L2385">
        <v>-15228624</v>
      </c>
      <c r="M2385">
        <v>-11937918</v>
      </c>
      <c r="N2385">
        <v>-3659033</v>
      </c>
      <c r="O2385">
        <v>-8429403</v>
      </c>
      <c r="P2385">
        <v>127</v>
      </c>
      <c r="Q2385" t="s">
        <v>5099</v>
      </c>
    </row>
    <row r="2386" spans="1:17" x14ac:dyDescent="0.3">
      <c r="A2386" t="s">
        <v>4664</v>
      </c>
      <c r="B2386" t="str">
        <f>"000629"</f>
        <v>000629</v>
      </c>
      <c r="C2386" t="s">
        <v>5100</v>
      </c>
      <c r="D2386" t="s">
        <v>669</v>
      </c>
      <c r="F2386">
        <v>782496953</v>
      </c>
      <c r="G2386">
        <v>190163807</v>
      </c>
      <c r="H2386">
        <v>1410189870</v>
      </c>
      <c r="I2386">
        <v>2047619174</v>
      </c>
      <c r="J2386">
        <v>670258378</v>
      </c>
      <c r="K2386">
        <v>-1214420760</v>
      </c>
      <c r="L2386">
        <v>-971910592</v>
      </c>
      <c r="M2386">
        <v>-74125449</v>
      </c>
      <c r="N2386">
        <v>607119434</v>
      </c>
      <c r="O2386">
        <v>759907119</v>
      </c>
      <c r="P2386">
        <v>335</v>
      </c>
      <c r="Q2386" t="s">
        <v>5101</v>
      </c>
    </row>
    <row r="2387" spans="1:17" x14ac:dyDescent="0.3">
      <c r="A2387" t="s">
        <v>4664</v>
      </c>
      <c r="B2387" t="str">
        <f>"000630"</f>
        <v>000630</v>
      </c>
      <c r="C2387" t="s">
        <v>5102</v>
      </c>
      <c r="D2387" t="s">
        <v>263</v>
      </c>
      <c r="F2387">
        <v>2449653208</v>
      </c>
      <c r="G2387">
        <v>734349251</v>
      </c>
      <c r="H2387">
        <v>695195757</v>
      </c>
      <c r="I2387">
        <v>662232799</v>
      </c>
      <c r="J2387">
        <v>395305218</v>
      </c>
      <c r="K2387">
        <v>95164657</v>
      </c>
      <c r="L2387">
        <v>181846138</v>
      </c>
      <c r="M2387">
        <v>301750143</v>
      </c>
      <c r="N2387">
        <v>391023734</v>
      </c>
      <c r="O2387">
        <v>676830095</v>
      </c>
      <c r="P2387">
        <v>464</v>
      </c>
      <c r="Q2387" t="s">
        <v>5103</v>
      </c>
    </row>
    <row r="2388" spans="1:17" x14ac:dyDescent="0.3">
      <c r="A2388" t="s">
        <v>4664</v>
      </c>
      <c r="B2388" t="str">
        <f>"000631"</f>
        <v>000631</v>
      </c>
      <c r="C2388" t="s">
        <v>5104</v>
      </c>
      <c r="D2388" t="s">
        <v>104</v>
      </c>
      <c r="F2388">
        <v>83125051</v>
      </c>
      <c r="G2388">
        <v>194511244</v>
      </c>
      <c r="H2388">
        <v>536677669</v>
      </c>
      <c r="I2388">
        <v>861427331</v>
      </c>
      <c r="J2388">
        <v>633068498</v>
      </c>
      <c r="K2388">
        <v>280823557</v>
      </c>
      <c r="L2388">
        <v>236348734</v>
      </c>
      <c r="M2388">
        <v>236139174</v>
      </c>
      <c r="N2388">
        <v>58464430</v>
      </c>
      <c r="O2388">
        <v>376049633</v>
      </c>
      <c r="P2388">
        <v>359</v>
      </c>
      <c r="Q2388" t="s">
        <v>5105</v>
      </c>
    </row>
    <row r="2389" spans="1:17" x14ac:dyDescent="0.3">
      <c r="A2389" t="s">
        <v>4664</v>
      </c>
      <c r="B2389" t="str">
        <f>"000632"</f>
        <v>000632</v>
      </c>
      <c r="C2389" t="s">
        <v>5106</v>
      </c>
      <c r="D2389" t="s">
        <v>110</v>
      </c>
      <c r="F2389">
        <v>24922533</v>
      </c>
      <c r="G2389">
        <v>26469249</v>
      </c>
      <c r="H2389">
        <v>20211033</v>
      </c>
      <c r="I2389">
        <v>15298390</v>
      </c>
      <c r="J2389">
        <v>2018616</v>
      </c>
      <c r="K2389">
        <v>1421393</v>
      </c>
      <c r="L2389">
        <v>1024953</v>
      </c>
      <c r="M2389">
        <v>5672367</v>
      </c>
      <c r="N2389">
        <v>5356026</v>
      </c>
      <c r="O2389">
        <v>2836398</v>
      </c>
      <c r="P2389">
        <v>69</v>
      </c>
      <c r="Q2389" t="s">
        <v>5107</v>
      </c>
    </row>
    <row r="2390" spans="1:17" x14ac:dyDescent="0.3">
      <c r="A2390" t="s">
        <v>4664</v>
      </c>
      <c r="B2390" t="str">
        <f>"000633"</f>
        <v>000633</v>
      </c>
      <c r="C2390" t="s">
        <v>5108</v>
      </c>
      <c r="D2390" t="s">
        <v>581</v>
      </c>
      <c r="F2390">
        <v>1994293</v>
      </c>
      <c r="G2390">
        <v>9681011</v>
      </c>
      <c r="H2390">
        <v>-8339623</v>
      </c>
      <c r="I2390">
        <v>-9250792</v>
      </c>
      <c r="J2390">
        <v>-18820358</v>
      </c>
      <c r="K2390">
        <v>-36870735</v>
      </c>
      <c r="L2390">
        <v>-19558828</v>
      </c>
      <c r="M2390">
        <v>-21663062</v>
      </c>
      <c r="N2390">
        <v>1417732</v>
      </c>
      <c r="O2390">
        <v>-12361771</v>
      </c>
      <c r="P2390">
        <v>72</v>
      </c>
      <c r="Q2390" t="s">
        <v>5109</v>
      </c>
    </row>
    <row r="2391" spans="1:17" x14ac:dyDescent="0.3">
      <c r="A2391" t="s">
        <v>4664</v>
      </c>
      <c r="B2391" t="str">
        <f>"000635"</f>
        <v>000635</v>
      </c>
      <c r="C2391" t="s">
        <v>5110</v>
      </c>
      <c r="D2391" t="s">
        <v>175</v>
      </c>
      <c r="F2391">
        <v>165387622</v>
      </c>
      <c r="G2391">
        <v>36672692</v>
      </c>
      <c r="H2391">
        <v>64114509</v>
      </c>
      <c r="I2391">
        <v>88591441</v>
      </c>
      <c r="J2391">
        <v>104773667</v>
      </c>
      <c r="K2391">
        <v>41265285</v>
      </c>
      <c r="L2391">
        <v>25669471</v>
      </c>
      <c r="M2391">
        <v>79041794</v>
      </c>
      <c r="N2391">
        <v>70738698</v>
      </c>
      <c r="O2391">
        <v>-16577092</v>
      </c>
      <c r="P2391">
        <v>135</v>
      </c>
      <c r="Q2391" t="s">
        <v>5111</v>
      </c>
    </row>
    <row r="2392" spans="1:17" x14ac:dyDescent="0.3">
      <c r="A2392" t="s">
        <v>4664</v>
      </c>
      <c r="B2392" t="str">
        <f>"000636"</f>
        <v>000636</v>
      </c>
      <c r="C2392" t="s">
        <v>5112</v>
      </c>
      <c r="D2392" t="s">
        <v>546</v>
      </c>
      <c r="F2392">
        <v>879353869</v>
      </c>
      <c r="G2392">
        <v>346579652</v>
      </c>
      <c r="H2392">
        <v>353402270</v>
      </c>
      <c r="I2392">
        <v>887983155</v>
      </c>
      <c r="J2392">
        <v>182517076</v>
      </c>
      <c r="K2392">
        <v>110720800</v>
      </c>
      <c r="L2392">
        <v>45692023</v>
      </c>
      <c r="M2392">
        <v>52328791</v>
      </c>
      <c r="N2392">
        <v>46553258</v>
      </c>
      <c r="O2392">
        <v>67525877</v>
      </c>
      <c r="P2392">
        <v>896</v>
      </c>
      <c r="Q2392" t="s">
        <v>5113</v>
      </c>
    </row>
    <row r="2393" spans="1:17" x14ac:dyDescent="0.3">
      <c r="A2393" t="s">
        <v>4664</v>
      </c>
      <c r="B2393" t="str">
        <f>"000637"</f>
        <v>000637</v>
      </c>
      <c r="C2393" t="s">
        <v>5114</v>
      </c>
      <c r="D2393" t="s">
        <v>1615</v>
      </c>
      <c r="F2393">
        <v>35240808</v>
      </c>
      <c r="G2393">
        <v>17877813</v>
      </c>
      <c r="H2393">
        <v>91227339</v>
      </c>
      <c r="I2393">
        <v>24938252</v>
      </c>
      <c r="J2393">
        <v>75720413</v>
      </c>
      <c r="K2393">
        <v>33878991</v>
      </c>
      <c r="L2393">
        <v>75523011</v>
      </c>
      <c r="M2393">
        <v>72488397</v>
      </c>
      <c r="N2393">
        <v>49248428</v>
      </c>
      <c r="O2393">
        <v>14565923</v>
      </c>
      <c r="P2393">
        <v>93</v>
      </c>
      <c r="Q2393" t="s">
        <v>5115</v>
      </c>
    </row>
    <row r="2394" spans="1:17" x14ac:dyDescent="0.3">
      <c r="A2394" t="s">
        <v>4664</v>
      </c>
      <c r="B2394" t="str">
        <f>"000638"</f>
        <v>000638</v>
      </c>
      <c r="C2394" t="s">
        <v>5116</v>
      </c>
      <c r="D2394" t="s">
        <v>316</v>
      </c>
      <c r="F2394">
        <v>4829387</v>
      </c>
      <c r="G2394">
        <v>-12250460</v>
      </c>
      <c r="H2394">
        <v>-10636805</v>
      </c>
      <c r="I2394">
        <v>-19361444</v>
      </c>
      <c r="J2394">
        <v>24919453</v>
      </c>
      <c r="K2394">
        <v>8374426</v>
      </c>
      <c r="L2394">
        <v>-7747891</v>
      </c>
      <c r="M2394">
        <v>-1429491</v>
      </c>
      <c r="N2394">
        <v>-3583025</v>
      </c>
      <c r="O2394">
        <v>-7753047</v>
      </c>
      <c r="P2394">
        <v>87</v>
      </c>
      <c r="Q2394" t="s">
        <v>5117</v>
      </c>
    </row>
    <row r="2395" spans="1:17" x14ac:dyDescent="0.3">
      <c r="A2395" t="s">
        <v>4664</v>
      </c>
      <c r="B2395" t="str">
        <f>"000639"</f>
        <v>000639</v>
      </c>
      <c r="C2395" t="s">
        <v>5118</v>
      </c>
      <c r="D2395" t="s">
        <v>306</v>
      </c>
      <c r="F2395">
        <v>182684112</v>
      </c>
      <c r="G2395">
        <v>285288903</v>
      </c>
      <c r="H2395">
        <v>332668410</v>
      </c>
      <c r="I2395">
        <v>329755332</v>
      </c>
      <c r="J2395">
        <v>202385315</v>
      </c>
      <c r="K2395">
        <v>116338309</v>
      </c>
      <c r="L2395">
        <v>126462038</v>
      </c>
      <c r="M2395">
        <v>93089649</v>
      </c>
      <c r="N2395">
        <v>127455676</v>
      </c>
      <c r="O2395">
        <v>93991701</v>
      </c>
      <c r="P2395">
        <v>328</v>
      </c>
      <c r="Q2395" t="s">
        <v>5119</v>
      </c>
    </row>
    <row r="2396" spans="1:17" x14ac:dyDescent="0.3">
      <c r="A2396" t="s">
        <v>4664</v>
      </c>
      <c r="B2396" t="str">
        <f>"000650"</f>
        <v>000650</v>
      </c>
      <c r="C2396" t="s">
        <v>5120</v>
      </c>
      <c r="D2396" t="s">
        <v>188</v>
      </c>
      <c r="F2396">
        <v>524717410</v>
      </c>
      <c r="G2396">
        <v>370203644</v>
      </c>
      <c r="H2396">
        <v>439674714</v>
      </c>
      <c r="I2396">
        <v>392768908</v>
      </c>
      <c r="J2396">
        <v>258478944</v>
      </c>
      <c r="K2396">
        <v>270474062</v>
      </c>
      <c r="L2396">
        <v>264934552</v>
      </c>
      <c r="M2396">
        <v>200187238</v>
      </c>
      <c r="N2396">
        <v>181627827</v>
      </c>
      <c r="O2396">
        <v>173012890</v>
      </c>
      <c r="P2396">
        <v>888</v>
      </c>
      <c r="Q2396" t="s">
        <v>5121</v>
      </c>
    </row>
    <row r="2397" spans="1:17" x14ac:dyDescent="0.3">
      <c r="A2397" t="s">
        <v>4664</v>
      </c>
      <c r="B2397" t="str">
        <f>"000651"</f>
        <v>000651</v>
      </c>
      <c r="C2397" t="s">
        <v>5122</v>
      </c>
      <c r="D2397" t="s">
        <v>1723</v>
      </c>
      <c r="F2397">
        <v>15644776517</v>
      </c>
      <c r="G2397">
        <v>13698722043</v>
      </c>
      <c r="H2397">
        <v>22117496367</v>
      </c>
      <c r="I2397">
        <v>21118435752</v>
      </c>
      <c r="J2397">
        <v>15460708932</v>
      </c>
      <c r="K2397">
        <v>11229059261</v>
      </c>
      <c r="L2397">
        <v>9952721455</v>
      </c>
      <c r="M2397">
        <v>9827546714</v>
      </c>
      <c r="N2397">
        <v>7578696167</v>
      </c>
      <c r="O2397">
        <v>5332178752</v>
      </c>
      <c r="P2397">
        <v>55061</v>
      </c>
      <c r="Q2397" t="s">
        <v>5123</v>
      </c>
    </row>
    <row r="2398" spans="1:17" x14ac:dyDescent="0.3">
      <c r="A2398" t="s">
        <v>4664</v>
      </c>
      <c r="B2398" t="str">
        <f>"000652"</f>
        <v>000652</v>
      </c>
      <c r="C2398" t="s">
        <v>5124</v>
      </c>
      <c r="D2398" t="s">
        <v>110</v>
      </c>
      <c r="F2398">
        <v>131724279</v>
      </c>
      <c r="G2398">
        <v>113054030</v>
      </c>
      <c r="H2398">
        <v>99516654</v>
      </c>
      <c r="I2398">
        <v>72354014</v>
      </c>
      <c r="J2398">
        <v>65352992</v>
      </c>
      <c r="K2398">
        <v>71322222</v>
      </c>
      <c r="L2398">
        <v>83092170</v>
      </c>
      <c r="M2398">
        <v>-60216052</v>
      </c>
      <c r="N2398">
        <v>-79904403</v>
      </c>
      <c r="O2398">
        <v>-121323496</v>
      </c>
      <c r="P2398">
        <v>196</v>
      </c>
      <c r="Q2398" t="s">
        <v>5125</v>
      </c>
    </row>
    <row r="2399" spans="1:17" x14ac:dyDescent="0.3">
      <c r="A2399" t="s">
        <v>4664</v>
      </c>
      <c r="B2399" t="str">
        <f>"000655"</f>
        <v>000655</v>
      </c>
      <c r="C2399" t="s">
        <v>5126</v>
      </c>
      <c r="D2399" t="s">
        <v>2367</v>
      </c>
      <c r="F2399">
        <v>372960246</v>
      </c>
      <c r="G2399">
        <v>207474338</v>
      </c>
      <c r="H2399">
        <v>174130606</v>
      </c>
      <c r="I2399">
        <v>73829122</v>
      </c>
      <c r="J2399">
        <v>96038983</v>
      </c>
      <c r="K2399">
        <v>-140913541</v>
      </c>
      <c r="L2399">
        <v>-61425912</v>
      </c>
      <c r="M2399">
        <v>146317701</v>
      </c>
      <c r="N2399">
        <v>185170580</v>
      </c>
      <c r="O2399">
        <v>205245981</v>
      </c>
      <c r="P2399">
        <v>145</v>
      </c>
      <c r="Q2399" t="s">
        <v>5127</v>
      </c>
    </row>
    <row r="2400" spans="1:17" x14ac:dyDescent="0.3">
      <c r="A2400" t="s">
        <v>4664</v>
      </c>
      <c r="B2400" t="str">
        <f>"000656"</f>
        <v>000656</v>
      </c>
      <c r="C2400" t="s">
        <v>5128</v>
      </c>
      <c r="D2400" t="s">
        <v>104</v>
      </c>
      <c r="F2400">
        <v>4527629207</v>
      </c>
      <c r="G2400">
        <v>4436923106</v>
      </c>
      <c r="H2400">
        <v>3980571191</v>
      </c>
      <c r="I2400">
        <v>2191389141</v>
      </c>
      <c r="J2400">
        <v>947598082</v>
      </c>
      <c r="K2400">
        <v>1008575573</v>
      </c>
      <c r="L2400">
        <v>804829154</v>
      </c>
      <c r="M2400">
        <v>665702601</v>
      </c>
      <c r="N2400">
        <v>932023926</v>
      </c>
      <c r="O2400">
        <v>922414830</v>
      </c>
      <c r="P2400">
        <v>1065</v>
      </c>
      <c r="Q2400" t="s">
        <v>5129</v>
      </c>
    </row>
    <row r="2401" spans="1:17" x14ac:dyDescent="0.3">
      <c r="A2401" t="s">
        <v>4664</v>
      </c>
      <c r="B2401" t="str">
        <f>"000657"</f>
        <v>000657</v>
      </c>
      <c r="C2401" t="s">
        <v>5130</v>
      </c>
      <c r="D2401" t="s">
        <v>1110</v>
      </c>
      <c r="F2401">
        <v>397630238</v>
      </c>
      <c r="G2401">
        <v>151903045</v>
      </c>
      <c r="H2401">
        <v>108503682</v>
      </c>
      <c r="I2401">
        <v>103428129</v>
      </c>
      <c r="J2401">
        <v>125383390</v>
      </c>
      <c r="K2401">
        <v>22062499</v>
      </c>
      <c r="L2401">
        <v>-171605306</v>
      </c>
      <c r="M2401">
        <v>-138513217</v>
      </c>
      <c r="N2401">
        <v>-4092158</v>
      </c>
      <c r="O2401">
        <v>-33822881</v>
      </c>
      <c r="P2401">
        <v>177</v>
      </c>
      <c r="Q2401" t="s">
        <v>5131</v>
      </c>
    </row>
    <row r="2402" spans="1:17" x14ac:dyDescent="0.3">
      <c r="A2402" t="s">
        <v>4664</v>
      </c>
      <c r="B2402" t="str">
        <f>"000658"</f>
        <v>000658</v>
      </c>
      <c r="C2402" t="s">
        <v>5132</v>
      </c>
      <c r="K2402">
        <v>-1613700</v>
      </c>
      <c r="L2402">
        <v>-8927307.1199999992</v>
      </c>
      <c r="M2402">
        <v>-9222415.9399999995</v>
      </c>
      <c r="N2402">
        <v>-10061637.279999999</v>
      </c>
      <c r="O2402">
        <v>-10097617.539999999</v>
      </c>
      <c r="P2402">
        <v>5</v>
      </c>
      <c r="Q2402" t="s">
        <v>5133</v>
      </c>
    </row>
    <row r="2403" spans="1:17" x14ac:dyDescent="0.3">
      <c r="A2403" t="s">
        <v>4664</v>
      </c>
      <c r="B2403" t="str">
        <f>"000659"</f>
        <v>000659</v>
      </c>
      <c r="C2403" t="s">
        <v>5134</v>
      </c>
      <c r="D2403" t="s">
        <v>485</v>
      </c>
      <c r="F2403">
        <v>109654923</v>
      </c>
      <c r="G2403">
        <v>-16521017</v>
      </c>
      <c r="H2403">
        <v>-9476964</v>
      </c>
      <c r="I2403">
        <v>24007082</v>
      </c>
      <c r="J2403">
        <v>41576139</v>
      </c>
      <c r="K2403">
        <v>-79146888</v>
      </c>
      <c r="L2403">
        <v>-8170984</v>
      </c>
      <c r="M2403">
        <v>110622806</v>
      </c>
      <c r="N2403">
        <v>-107846515</v>
      </c>
      <c r="O2403">
        <v>12540257</v>
      </c>
      <c r="P2403">
        <v>77</v>
      </c>
      <c r="Q2403" t="s">
        <v>5135</v>
      </c>
    </row>
    <row r="2404" spans="1:17" x14ac:dyDescent="0.3">
      <c r="A2404" t="s">
        <v>4664</v>
      </c>
      <c r="B2404" t="str">
        <f>"000660"</f>
        <v>000660</v>
      </c>
      <c r="C2404" t="s">
        <v>5136</v>
      </c>
      <c r="K2404">
        <v>16677722.060000001</v>
      </c>
      <c r="O2404">
        <v>-3862265.33</v>
      </c>
      <c r="P2404">
        <v>6</v>
      </c>
      <c r="Q2404" t="s">
        <v>5137</v>
      </c>
    </row>
    <row r="2405" spans="1:17" x14ac:dyDescent="0.3">
      <c r="A2405" t="s">
        <v>4664</v>
      </c>
      <c r="B2405" t="str">
        <f>"000661"</f>
        <v>000661</v>
      </c>
      <c r="C2405" t="s">
        <v>5138</v>
      </c>
      <c r="D2405" t="s">
        <v>1379</v>
      </c>
      <c r="F2405">
        <v>3147192893</v>
      </c>
      <c r="G2405">
        <v>2260128595</v>
      </c>
      <c r="H2405">
        <v>1240544187</v>
      </c>
      <c r="I2405">
        <v>838629575</v>
      </c>
      <c r="J2405">
        <v>487003321</v>
      </c>
      <c r="K2405">
        <v>379539372</v>
      </c>
      <c r="L2405">
        <v>296607968</v>
      </c>
      <c r="M2405">
        <v>169194849</v>
      </c>
      <c r="N2405">
        <v>201260646</v>
      </c>
      <c r="O2405">
        <v>161858226</v>
      </c>
      <c r="P2405">
        <v>59934</v>
      </c>
      <c r="Q2405" t="s">
        <v>5139</v>
      </c>
    </row>
    <row r="2406" spans="1:17" x14ac:dyDescent="0.3">
      <c r="A2406" t="s">
        <v>4664</v>
      </c>
      <c r="B2406" t="str">
        <f>"000662"</f>
        <v>000662</v>
      </c>
      <c r="C2406" t="s">
        <v>5140</v>
      </c>
      <c r="G2406">
        <v>-20893804</v>
      </c>
      <c r="H2406">
        <v>70160067</v>
      </c>
      <c r="I2406">
        <v>135615111</v>
      </c>
      <c r="J2406">
        <v>208618745</v>
      </c>
      <c r="K2406">
        <v>136727731</v>
      </c>
      <c r="L2406">
        <v>-346843</v>
      </c>
      <c r="M2406">
        <v>-36371879</v>
      </c>
      <c r="N2406">
        <v>-29976039</v>
      </c>
      <c r="O2406">
        <v>6917649</v>
      </c>
      <c r="P2406">
        <v>146</v>
      </c>
      <c r="Q2406" t="s">
        <v>5141</v>
      </c>
    </row>
    <row r="2407" spans="1:17" x14ac:dyDescent="0.3">
      <c r="A2407" t="s">
        <v>4664</v>
      </c>
      <c r="B2407" t="str">
        <f>"000663"</f>
        <v>000663</v>
      </c>
      <c r="C2407" t="s">
        <v>5142</v>
      </c>
      <c r="D2407" t="s">
        <v>2647</v>
      </c>
      <c r="F2407">
        <v>91995611</v>
      </c>
      <c r="G2407">
        <v>-65625073</v>
      </c>
      <c r="H2407">
        <v>-38289090</v>
      </c>
      <c r="I2407">
        <v>-69929107</v>
      </c>
      <c r="J2407">
        <v>29367509</v>
      </c>
      <c r="K2407">
        <v>8823877</v>
      </c>
      <c r="L2407">
        <v>5725919</v>
      </c>
      <c r="M2407">
        <v>-5002281</v>
      </c>
      <c r="N2407">
        <v>-5811253</v>
      </c>
      <c r="O2407">
        <v>-10921745</v>
      </c>
      <c r="P2407">
        <v>93</v>
      </c>
      <c r="Q2407" t="s">
        <v>5143</v>
      </c>
    </row>
    <row r="2408" spans="1:17" x14ac:dyDescent="0.3">
      <c r="A2408" t="s">
        <v>4664</v>
      </c>
      <c r="B2408" t="str">
        <f>"000665"</f>
        <v>000665</v>
      </c>
      <c r="C2408" t="s">
        <v>5144</v>
      </c>
      <c r="D2408" t="s">
        <v>95</v>
      </c>
      <c r="F2408">
        <v>-196652248</v>
      </c>
      <c r="G2408">
        <v>-74191066</v>
      </c>
      <c r="H2408">
        <v>150007270</v>
      </c>
      <c r="I2408">
        <v>205997602</v>
      </c>
      <c r="J2408">
        <v>245176271</v>
      </c>
      <c r="K2408">
        <v>237658034</v>
      </c>
      <c r="L2408">
        <v>274715556</v>
      </c>
      <c r="M2408">
        <v>130795610</v>
      </c>
      <c r="N2408">
        <v>121785579</v>
      </c>
      <c r="O2408">
        <v>27227627</v>
      </c>
      <c r="P2408">
        <v>221</v>
      </c>
      <c r="Q2408" t="s">
        <v>5145</v>
      </c>
    </row>
    <row r="2409" spans="1:17" x14ac:dyDescent="0.3">
      <c r="A2409" t="s">
        <v>4664</v>
      </c>
      <c r="B2409" t="str">
        <f>"000666"</f>
        <v>000666</v>
      </c>
      <c r="C2409" t="s">
        <v>5146</v>
      </c>
      <c r="D2409" t="s">
        <v>1649</v>
      </c>
      <c r="F2409">
        <v>394853800</v>
      </c>
      <c r="G2409">
        <v>241098731</v>
      </c>
      <c r="H2409">
        <v>372620408</v>
      </c>
      <c r="I2409">
        <v>505160224</v>
      </c>
      <c r="J2409">
        <v>834165314</v>
      </c>
      <c r="K2409">
        <v>424914655</v>
      </c>
      <c r="L2409">
        <v>445273856</v>
      </c>
      <c r="M2409">
        <v>317354872</v>
      </c>
      <c r="N2409">
        <v>433778293</v>
      </c>
      <c r="O2409">
        <v>405246678</v>
      </c>
      <c r="P2409">
        <v>186</v>
      </c>
      <c r="Q2409" t="s">
        <v>5147</v>
      </c>
    </row>
    <row r="2410" spans="1:17" x14ac:dyDescent="0.3">
      <c r="A2410" t="s">
        <v>4664</v>
      </c>
      <c r="B2410" t="str">
        <f>"000667"</f>
        <v>000667</v>
      </c>
      <c r="C2410" t="s">
        <v>5148</v>
      </c>
      <c r="D2410" t="s">
        <v>104</v>
      </c>
      <c r="F2410">
        <v>-574330193</v>
      </c>
      <c r="G2410">
        <v>-143217585</v>
      </c>
      <c r="H2410">
        <v>76150753</v>
      </c>
      <c r="I2410">
        <v>292353141</v>
      </c>
      <c r="J2410">
        <v>372872202</v>
      </c>
      <c r="K2410">
        <v>311830448</v>
      </c>
      <c r="L2410">
        <v>161176749</v>
      </c>
      <c r="M2410">
        <v>28118614</v>
      </c>
      <c r="N2410">
        <v>51267373</v>
      </c>
      <c r="O2410">
        <v>81924037</v>
      </c>
      <c r="P2410">
        <v>169</v>
      </c>
      <c r="Q2410" t="s">
        <v>5149</v>
      </c>
    </row>
    <row r="2411" spans="1:17" x14ac:dyDescent="0.3">
      <c r="A2411" t="s">
        <v>4664</v>
      </c>
      <c r="B2411" t="str">
        <f>"000668"</f>
        <v>000668</v>
      </c>
      <c r="C2411" t="s">
        <v>5150</v>
      </c>
      <c r="D2411" t="s">
        <v>104</v>
      </c>
      <c r="F2411">
        <v>-45334596</v>
      </c>
      <c r="G2411">
        <v>-20800994</v>
      </c>
      <c r="H2411">
        <v>65474435</v>
      </c>
      <c r="I2411">
        <v>4639135</v>
      </c>
      <c r="J2411">
        <v>-21038028</v>
      </c>
      <c r="K2411">
        <v>-40055415</v>
      </c>
      <c r="L2411">
        <v>-6292322</v>
      </c>
      <c r="M2411">
        <v>-32959054</v>
      </c>
      <c r="N2411">
        <v>2538572</v>
      </c>
      <c r="O2411">
        <v>3256476</v>
      </c>
      <c r="P2411">
        <v>96</v>
      </c>
      <c r="Q2411" t="s">
        <v>5151</v>
      </c>
    </row>
    <row r="2412" spans="1:17" x14ac:dyDescent="0.3">
      <c r="A2412" t="s">
        <v>4664</v>
      </c>
      <c r="B2412" t="str">
        <f>"000669"</f>
        <v>000669</v>
      </c>
      <c r="C2412" t="s">
        <v>5152</v>
      </c>
      <c r="D2412" t="s">
        <v>749</v>
      </c>
      <c r="F2412">
        <v>-20057669</v>
      </c>
      <c r="G2412">
        <v>252215551</v>
      </c>
      <c r="H2412">
        <v>-246069166</v>
      </c>
      <c r="I2412">
        <v>170413222</v>
      </c>
      <c r="J2412">
        <v>192357910</v>
      </c>
      <c r="K2412">
        <v>174350327</v>
      </c>
      <c r="L2412">
        <v>217086075</v>
      </c>
      <c r="M2412">
        <v>235168039</v>
      </c>
      <c r="N2412">
        <v>225178631</v>
      </c>
      <c r="O2412">
        <v>-5624898</v>
      </c>
      <c r="P2412">
        <v>83</v>
      </c>
      <c r="Q2412" t="s">
        <v>5153</v>
      </c>
    </row>
    <row r="2413" spans="1:17" x14ac:dyDescent="0.3">
      <c r="A2413" t="s">
        <v>4664</v>
      </c>
      <c r="B2413" t="str">
        <f>"000670"</f>
        <v>000670</v>
      </c>
      <c r="C2413" t="s">
        <v>5154</v>
      </c>
      <c r="D2413" t="s">
        <v>461</v>
      </c>
      <c r="F2413">
        <v>11183141</v>
      </c>
      <c r="G2413">
        <v>-9014507</v>
      </c>
      <c r="H2413">
        <v>-49332577</v>
      </c>
      <c r="I2413">
        <v>-57529357</v>
      </c>
      <c r="J2413">
        <v>-20064231</v>
      </c>
      <c r="K2413">
        <v>16698999</v>
      </c>
      <c r="L2413">
        <v>-24898300</v>
      </c>
      <c r="M2413">
        <v>-13654061</v>
      </c>
      <c r="N2413">
        <v>5917684</v>
      </c>
      <c r="O2413">
        <v>327667</v>
      </c>
      <c r="P2413">
        <v>116</v>
      </c>
      <c r="Q2413" t="s">
        <v>5155</v>
      </c>
    </row>
    <row r="2414" spans="1:17" x14ac:dyDescent="0.3">
      <c r="A2414" t="s">
        <v>4664</v>
      </c>
      <c r="B2414" t="str">
        <f>"000671"</f>
        <v>000671</v>
      </c>
      <c r="C2414" t="s">
        <v>5156</v>
      </c>
      <c r="D2414" t="s">
        <v>104</v>
      </c>
      <c r="F2414">
        <v>2912841984</v>
      </c>
      <c r="G2414">
        <v>2742081511</v>
      </c>
      <c r="H2414">
        <v>2254257134</v>
      </c>
      <c r="I2414">
        <v>1581221344</v>
      </c>
      <c r="J2414">
        <v>618742963</v>
      </c>
      <c r="K2414">
        <v>363439728</v>
      </c>
      <c r="L2414">
        <v>668590742</v>
      </c>
      <c r="M2414">
        <v>663146601</v>
      </c>
      <c r="N2414">
        <v>373438023</v>
      </c>
      <c r="O2414">
        <v>278559261</v>
      </c>
      <c r="P2414">
        <v>1192</v>
      </c>
      <c r="Q2414" t="s">
        <v>5157</v>
      </c>
    </row>
    <row r="2415" spans="1:17" x14ac:dyDescent="0.3">
      <c r="A2415" t="s">
        <v>4664</v>
      </c>
      <c r="B2415" t="str">
        <f>"000672"</f>
        <v>000672</v>
      </c>
      <c r="C2415" t="s">
        <v>5158</v>
      </c>
      <c r="D2415" t="s">
        <v>731</v>
      </c>
      <c r="F2415">
        <v>1589112422</v>
      </c>
      <c r="G2415">
        <v>1513983271</v>
      </c>
      <c r="H2415">
        <v>1540600420</v>
      </c>
      <c r="I2415">
        <v>918321270</v>
      </c>
      <c r="J2415">
        <v>455504497</v>
      </c>
      <c r="K2415">
        <v>81843698</v>
      </c>
      <c r="L2415">
        <v>36117862</v>
      </c>
      <c r="M2415">
        <v>301599135</v>
      </c>
      <c r="N2415">
        <v>79900932</v>
      </c>
      <c r="O2415">
        <v>802262</v>
      </c>
      <c r="P2415">
        <v>1263</v>
      </c>
      <c r="Q2415" t="s">
        <v>5159</v>
      </c>
    </row>
    <row r="2416" spans="1:17" x14ac:dyDescent="0.3">
      <c r="A2416" t="s">
        <v>4664</v>
      </c>
      <c r="B2416" t="str">
        <f>"000673"</f>
        <v>000673</v>
      </c>
      <c r="C2416" t="s">
        <v>5160</v>
      </c>
      <c r="D2416" t="s">
        <v>113</v>
      </c>
      <c r="F2416">
        <v>-56938942</v>
      </c>
      <c r="G2416">
        <v>-87497423</v>
      </c>
      <c r="H2416">
        <v>-19000342</v>
      </c>
      <c r="I2416">
        <v>97254114</v>
      </c>
      <c r="J2416">
        <v>28770434</v>
      </c>
      <c r="K2416">
        <v>135692996</v>
      </c>
      <c r="L2416">
        <v>66811846</v>
      </c>
      <c r="M2416">
        <v>3039510</v>
      </c>
      <c r="N2416">
        <v>-625445</v>
      </c>
      <c r="O2416">
        <v>-3025477</v>
      </c>
      <c r="P2416">
        <v>90</v>
      </c>
      <c r="Q2416" t="s">
        <v>5161</v>
      </c>
    </row>
    <row r="2417" spans="1:17" x14ac:dyDescent="0.3">
      <c r="A2417" t="s">
        <v>4664</v>
      </c>
      <c r="B2417" t="str">
        <f>"000675"</f>
        <v>000675</v>
      </c>
      <c r="C2417" t="s">
        <v>5162</v>
      </c>
      <c r="L2417">
        <v>-22618506.460000001</v>
      </c>
      <c r="M2417">
        <v>-19978587.129999999</v>
      </c>
      <c r="N2417">
        <v>-20906650.949999999</v>
      </c>
      <c r="O2417">
        <v>-21052293.710000001</v>
      </c>
      <c r="P2417">
        <v>5</v>
      </c>
      <c r="Q2417" t="s">
        <v>5163</v>
      </c>
    </row>
    <row r="2418" spans="1:17" x14ac:dyDescent="0.3">
      <c r="A2418" t="s">
        <v>4664</v>
      </c>
      <c r="B2418" t="str">
        <f>"000676"</f>
        <v>000676</v>
      </c>
      <c r="C2418" t="s">
        <v>5164</v>
      </c>
      <c r="D2418" t="s">
        <v>207</v>
      </c>
      <c r="F2418">
        <v>226804206</v>
      </c>
      <c r="G2418">
        <v>-113867983</v>
      </c>
      <c r="H2418">
        <v>426881963</v>
      </c>
      <c r="I2418">
        <v>580506227</v>
      </c>
      <c r="J2418">
        <v>330088861</v>
      </c>
      <c r="K2418">
        <v>150180541</v>
      </c>
      <c r="L2418">
        <v>-17111116</v>
      </c>
      <c r="M2418">
        <v>-22361409</v>
      </c>
      <c r="N2418">
        <v>11507765</v>
      </c>
      <c r="O2418">
        <v>-44706745</v>
      </c>
      <c r="P2418">
        <v>215</v>
      </c>
      <c r="Q2418" t="s">
        <v>5165</v>
      </c>
    </row>
    <row r="2419" spans="1:17" x14ac:dyDescent="0.3">
      <c r="A2419" t="s">
        <v>4664</v>
      </c>
      <c r="B2419" t="str">
        <f>"000677"</f>
        <v>000677</v>
      </c>
      <c r="C2419" t="s">
        <v>5166</v>
      </c>
      <c r="D2419" t="s">
        <v>888</v>
      </c>
      <c r="F2419">
        <v>57048649</v>
      </c>
      <c r="G2419">
        <v>4210582</v>
      </c>
      <c r="H2419">
        <v>4701792</v>
      </c>
      <c r="I2419">
        <v>3385714</v>
      </c>
      <c r="J2419">
        <v>3419618</v>
      </c>
      <c r="K2419">
        <v>1213099</v>
      </c>
      <c r="L2419">
        <v>-246386553</v>
      </c>
      <c r="M2419">
        <v>-258830335</v>
      </c>
      <c r="N2419">
        <v>-131144092</v>
      </c>
      <c r="O2419">
        <v>-402768734</v>
      </c>
      <c r="P2419">
        <v>80</v>
      </c>
      <c r="Q2419" t="s">
        <v>5167</v>
      </c>
    </row>
    <row r="2420" spans="1:17" x14ac:dyDescent="0.3">
      <c r="A2420" t="s">
        <v>4664</v>
      </c>
      <c r="B2420" t="str">
        <f>"000678"</f>
        <v>000678</v>
      </c>
      <c r="C2420" t="s">
        <v>5168</v>
      </c>
      <c r="D2420" t="s">
        <v>348</v>
      </c>
      <c r="F2420">
        <v>-6440974</v>
      </c>
      <c r="G2420">
        <v>-53197119</v>
      </c>
      <c r="H2420">
        <v>-24055816</v>
      </c>
      <c r="I2420">
        <v>-18915552</v>
      </c>
      <c r="J2420">
        <v>7076144</v>
      </c>
      <c r="K2420">
        <v>1682419</v>
      </c>
      <c r="L2420">
        <v>-30072385</v>
      </c>
      <c r="M2420">
        <v>14900609</v>
      </c>
      <c r="N2420">
        <v>547704</v>
      </c>
      <c r="O2420">
        <v>261363</v>
      </c>
      <c r="P2420">
        <v>71</v>
      </c>
      <c r="Q2420" t="s">
        <v>5169</v>
      </c>
    </row>
    <row r="2421" spans="1:17" x14ac:dyDescent="0.3">
      <c r="A2421" t="s">
        <v>4664</v>
      </c>
      <c r="B2421" t="str">
        <f>"000679"</f>
        <v>000679</v>
      </c>
      <c r="C2421" t="s">
        <v>5170</v>
      </c>
      <c r="D2421" t="s">
        <v>1404</v>
      </c>
      <c r="F2421">
        <v>-38998855</v>
      </c>
      <c r="G2421">
        <v>27870516</v>
      </c>
      <c r="H2421">
        <v>-141980936</v>
      </c>
      <c r="I2421">
        <v>-158790427</v>
      </c>
      <c r="J2421">
        <v>5624821</v>
      </c>
      <c r="K2421">
        <v>-151714907</v>
      </c>
      <c r="L2421">
        <v>106822856</v>
      </c>
      <c r="M2421">
        <v>112672297</v>
      </c>
      <c r="N2421">
        <v>150615454</v>
      </c>
      <c r="O2421">
        <v>144844499</v>
      </c>
      <c r="P2421">
        <v>83</v>
      </c>
      <c r="Q2421" t="s">
        <v>5171</v>
      </c>
    </row>
    <row r="2422" spans="1:17" x14ac:dyDescent="0.3">
      <c r="A2422" t="s">
        <v>4664</v>
      </c>
      <c r="B2422" t="str">
        <f>"000680"</f>
        <v>000680</v>
      </c>
      <c r="C2422" t="s">
        <v>5172</v>
      </c>
      <c r="D2422" t="s">
        <v>83</v>
      </c>
      <c r="F2422">
        <v>176787277</v>
      </c>
      <c r="G2422">
        <v>73306821</v>
      </c>
      <c r="H2422">
        <v>90302446</v>
      </c>
      <c r="I2422">
        <v>85070657</v>
      </c>
      <c r="J2422">
        <v>63537821</v>
      </c>
      <c r="K2422">
        <v>-81534140</v>
      </c>
      <c r="L2422">
        <v>-462269064</v>
      </c>
      <c r="M2422">
        <v>38080850</v>
      </c>
      <c r="N2422">
        <v>-25903343</v>
      </c>
      <c r="O2422">
        <v>-13700090</v>
      </c>
      <c r="P2422">
        <v>120</v>
      </c>
      <c r="Q2422" t="s">
        <v>5173</v>
      </c>
    </row>
    <row r="2423" spans="1:17" x14ac:dyDescent="0.3">
      <c r="A2423" t="s">
        <v>4664</v>
      </c>
      <c r="B2423" t="str">
        <f>"000681"</f>
        <v>000681</v>
      </c>
      <c r="C2423" t="s">
        <v>5174</v>
      </c>
      <c r="D2423" t="s">
        <v>5175</v>
      </c>
      <c r="F2423">
        <v>150835106</v>
      </c>
      <c r="G2423">
        <v>122105344</v>
      </c>
      <c r="H2423">
        <v>214778866</v>
      </c>
      <c r="I2423">
        <v>220060124</v>
      </c>
      <c r="J2423">
        <v>162633297</v>
      </c>
      <c r="K2423">
        <v>123092744</v>
      </c>
      <c r="L2423">
        <v>90181041</v>
      </c>
      <c r="M2423">
        <v>70266494</v>
      </c>
      <c r="N2423">
        <v>6461089</v>
      </c>
      <c r="O2423">
        <v>7913594</v>
      </c>
      <c r="P2423">
        <v>449</v>
      </c>
      <c r="Q2423" t="s">
        <v>5176</v>
      </c>
    </row>
    <row r="2424" spans="1:17" x14ac:dyDescent="0.3">
      <c r="A2424" t="s">
        <v>4664</v>
      </c>
      <c r="B2424" t="str">
        <f>"000682"</f>
        <v>000682</v>
      </c>
      <c r="C2424" t="s">
        <v>5177</v>
      </c>
      <c r="D2424" t="s">
        <v>610</v>
      </c>
      <c r="F2424">
        <v>220007122</v>
      </c>
      <c r="G2424">
        <v>189557891</v>
      </c>
      <c r="H2424">
        <v>177914826</v>
      </c>
      <c r="I2424">
        <v>90933143</v>
      </c>
      <c r="J2424">
        <v>34878040</v>
      </c>
      <c r="K2424">
        <v>29264528</v>
      </c>
      <c r="L2424">
        <v>25199656</v>
      </c>
      <c r="M2424">
        <v>20786965</v>
      </c>
      <c r="N2424">
        <v>18981965</v>
      </c>
      <c r="O2424">
        <v>13227450</v>
      </c>
      <c r="P2424">
        <v>156</v>
      </c>
      <c r="Q2424" t="s">
        <v>5178</v>
      </c>
    </row>
    <row r="2425" spans="1:17" x14ac:dyDescent="0.3">
      <c r="A2425" t="s">
        <v>4664</v>
      </c>
      <c r="B2425" t="str">
        <f>"000683"</f>
        <v>000683</v>
      </c>
      <c r="C2425" t="s">
        <v>5179</v>
      </c>
      <c r="D2425" t="s">
        <v>2516</v>
      </c>
      <c r="F2425">
        <v>2079713007</v>
      </c>
      <c r="G2425">
        <v>-52882759</v>
      </c>
      <c r="H2425">
        <v>643222658</v>
      </c>
      <c r="I2425">
        <v>917380866</v>
      </c>
      <c r="J2425">
        <v>503006548</v>
      </c>
      <c r="K2425">
        <v>50417070</v>
      </c>
      <c r="L2425">
        <v>77014057</v>
      </c>
      <c r="M2425">
        <v>181223936</v>
      </c>
      <c r="N2425">
        <v>-186672769</v>
      </c>
      <c r="O2425">
        <v>116193258</v>
      </c>
      <c r="P2425">
        <v>314</v>
      </c>
      <c r="Q2425" t="s">
        <v>5180</v>
      </c>
    </row>
    <row r="2426" spans="1:17" x14ac:dyDescent="0.3">
      <c r="A2426" t="s">
        <v>4664</v>
      </c>
      <c r="B2426" t="str">
        <f>"000685"</f>
        <v>000685</v>
      </c>
      <c r="C2426" t="s">
        <v>5181</v>
      </c>
      <c r="D2426" t="s">
        <v>33</v>
      </c>
      <c r="F2426">
        <v>1175367868</v>
      </c>
      <c r="G2426">
        <v>1054459096</v>
      </c>
      <c r="H2426">
        <v>738115068</v>
      </c>
      <c r="I2426">
        <v>579218193</v>
      </c>
      <c r="J2426">
        <v>818139536</v>
      </c>
      <c r="K2426">
        <v>728765174</v>
      </c>
      <c r="L2426">
        <v>1186698250</v>
      </c>
      <c r="M2426">
        <v>501930345</v>
      </c>
      <c r="N2426">
        <v>393652065</v>
      </c>
      <c r="O2426">
        <v>303963436</v>
      </c>
      <c r="P2426">
        <v>511</v>
      </c>
      <c r="Q2426" t="s">
        <v>5182</v>
      </c>
    </row>
    <row r="2427" spans="1:17" x14ac:dyDescent="0.3">
      <c r="A2427" t="s">
        <v>4664</v>
      </c>
      <c r="B2427" t="str">
        <f>"000686"</f>
        <v>000686</v>
      </c>
      <c r="C2427" t="s">
        <v>5183</v>
      </c>
      <c r="D2427" t="s">
        <v>80</v>
      </c>
      <c r="F2427">
        <v>1215141414</v>
      </c>
      <c r="G2427">
        <v>972335940</v>
      </c>
      <c r="H2427">
        <v>867914613</v>
      </c>
      <c r="I2427">
        <v>270941359</v>
      </c>
      <c r="J2427">
        <v>640900586</v>
      </c>
      <c r="K2427">
        <v>1159404762</v>
      </c>
      <c r="L2427">
        <v>2232487040</v>
      </c>
      <c r="M2427">
        <v>602322029</v>
      </c>
      <c r="N2427">
        <v>444733095</v>
      </c>
      <c r="O2427">
        <v>142616281</v>
      </c>
      <c r="P2427">
        <v>888</v>
      </c>
      <c r="Q2427" t="s">
        <v>5184</v>
      </c>
    </row>
    <row r="2428" spans="1:17" x14ac:dyDescent="0.3">
      <c r="A2428" t="s">
        <v>4664</v>
      </c>
      <c r="B2428" t="str">
        <f>"000687"</f>
        <v>000687</v>
      </c>
      <c r="C2428" t="s">
        <v>5185</v>
      </c>
      <c r="D2428" t="s">
        <v>98</v>
      </c>
      <c r="F2428">
        <v>-138762958</v>
      </c>
      <c r="G2428">
        <v>-128659770</v>
      </c>
      <c r="H2428">
        <v>-136108109</v>
      </c>
      <c r="I2428">
        <v>50177721</v>
      </c>
      <c r="J2428">
        <v>52353151</v>
      </c>
      <c r="K2428">
        <v>121434908</v>
      </c>
      <c r="L2428">
        <v>10791355</v>
      </c>
      <c r="M2428">
        <v>-33765666</v>
      </c>
      <c r="N2428">
        <v>-74623436</v>
      </c>
      <c r="O2428">
        <v>-2350097</v>
      </c>
      <c r="P2428">
        <v>86</v>
      </c>
      <c r="Q2428" t="s">
        <v>5186</v>
      </c>
    </row>
    <row r="2429" spans="1:17" x14ac:dyDescent="0.3">
      <c r="A2429" t="s">
        <v>4664</v>
      </c>
      <c r="B2429" t="str">
        <f>"000688"</f>
        <v>000688</v>
      </c>
      <c r="C2429" t="s">
        <v>5187</v>
      </c>
      <c r="D2429" t="s">
        <v>744</v>
      </c>
      <c r="F2429">
        <v>154612780</v>
      </c>
      <c r="G2429">
        <v>87456269</v>
      </c>
      <c r="H2429">
        <v>191450324</v>
      </c>
      <c r="I2429">
        <v>307235900</v>
      </c>
      <c r="J2429">
        <v>355181467</v>
      </c>
      <c r="K2429">
        <v>152115585</v>
      </c>
      <c r="L2429">
        <v>117634525</v>
      </c>
      <c r="M2429">
        <v>171730863</v>
      </c>
      <c r="N2429">
        <v>195576508</v>
      </c>
      <c r="O2429">
        <v>-5203186</v>
      </c>
      <c r="P2429">
        <v>197</v>
      </c>
      <c r="Q2429" t="s">
        <v>5188</v>
      </c>
    </row>
    <row r="2430" spans="1:17" x14ac:dyDescent="0.3">
      <c r="A2430" t="s">
        <v>4664</v>
      </c>
      <c r="B2430" t="str">
        <f>"000689"</f>
        <v>000689</v>
      </c>
      <c r="C2430" t="s">
        <v>5189</v>
      </c>
      <c r="K2430">
        <v>-40126528.689999998</v>
      </c>
      <c r="L2430">
        <v>-37296198.609999999</v>
      </c>
      <c r="M2430">
        <v>-34568056.189999998</v>
      </c>
      <c r="N2430">
        <v>-32085452.390000001</v>
      </c>
      <c r="O2430">
        <v>-29803971.66</v>
      </c>
      <c r="P2430">
        <v>5</v>
      </c>
      <c r="Q2430" t="s">
        <v>5190</v>
      </c>
    </row>
    <row r="2431" spans="1:17" x14ac:dyDescent="0.3">
      <c r="A2431" t="s">
        <v>4664</v>
      </c>
      <c r="B2431" t="str">
        <f>"000690"</f>
        <v>000690</v>
      </c>
      <c r="C2431" t="s">
        <v>5191</v>
      </c>
      <c r="D2431" t="s">
        <v>41</v>
      </c>
      <c r="F2431">
        <v>820689744</v>
      </c>
      <c r="G2431">
        <v>1426005478</v>
      </c>
      <c r="H2431">
        <v>474244968</v>
      </c>
      <c r="I2431">
        <v>613185492</v>
      </c>
      <c r="J2431">
        <v>319713233</v>
      </c>
      <c r="K2431">
        <v>556232231</v>
      </c>
      <c r="L2431">
        <v>506457626</v>
      </c>
      <c r="M2431">
        <v>833082646</v>
      </c>
      <c r="N2431">
        <v>931692333</v>
      </c>
      <c r="O2431">
        <v>269995150</v>
      </c>
      <c r="P2431">
        <v>643</v>
      </c>
      <c r="Q2431" t="s">
        <v>5192</v>
      </c>
    </row>
    <row r="2432" spans="1:17" x14ac:dyDescent="0.3">
      <c r="A2432" t="s">
        <v>4664</v>
      </c>
      <c r="B2432" t="str">
        <f>"000691"</f>
        <v>000691</v>
      </c>
      <c r="C2432" t="s">
        <v>5193</v>
      </c>
      <c r="D2432" t="s">
        <v>104</v>
      </c>
      <c r="F2432">
        <v>18482278</v>
      </c>
      <c r="G2432">
        <v>20697866</v>
      </c>
      <c r="H2432">
        <v>-6539018</v>
      </c>
      <c r="I2432">
        <v>11559894</v>
      </c>
      <c r="J2432">
        <v>-6833212</v>
      </c>
      <c r="K2432">
        <v>145643</v>
      </c>
      <c r="L2432">
        <v>-1820910</v>
      </c>
      <c r="M2432">
        <v>-3157267</v>
      </c>
      <c r="N2432">
        <v>506631</v>
      </c>
      <c r="O2432">
        <v>725117</v>
      </c>
      <c r="P2432">
        <v>91</v>
      </c>
      <c r="Q2432" t="s">
        <v>5194</v>
      </c>
    </row>
    <row r="2433" spans="1:17" x14ac:dyDescent="0.3">
      <c r="A2433" t="s">
        <v>4664</v>
      </c>
      <c r="B2433" t="str">
        <f>"000692"</f>
        <v>000692</v>
      </c>
      <c r="C2433" t="s">
        <v>5195</v>
      </c>
      <c r="D2433" t="s">
        <v>351</v>
      </c>
      <c r="F2433">
        <v>-190251425</v>
      </c>
      <c r="G2433">
        <v>-317427180</v>
      </c>
      <c r="H2433">
        <v>-299686781</v>
      </c>
      <c r="I2433">
        <v>-300982520</v>
      </c>
      <c r="J2433">
        <v>-115098169</v>
      </c>
      <c r="K2433">
        <v>-46074886</v>
      </c>
      <c r="L2433">
        <v>-37089710</v>
      </c>
      <c r="M2433">
        <v>-39952843</v>
      </c>
      <c r="N2433">
        <v>-56031540</v>
      </c>
      <c r="O2433">
        <v>18681486</v>
      </c>
      <c r="P2433">
        <v>77</v>
      </c>
      <c r="Q2433" t="s">
        <v>5196</v>
      </c>
    </row>
    <row r="2434" spans="1:17" x14ac:dyDescent="0.3">
      <c r="A2434" t="s">
        <v>4664</v>
      </c>
      <c r="B2434" t="str">
        <f>"000693"</f>
        <v>000693</v>
      </c>
      <c r="C2434" t="s">
        <v>5197</v>
      </c>
      <c r="I2434">
        <v>-154989721</v>
      </c>
      <c r="J2434">
        <v>-115494560</v>
      </c>
      <c r="K2434">
        <v>-90747747.609999999</v>
      </c>
      <c r="L2434">
        <v>96170008.969999999</v>
      </c>
      <c r="M2434">
        <v>128709761.2</v>
      </c>
      <c r="N2434">
        <v>44288568.579999998</v>
      </c>
      <c r="O2434">
        <v>-39840930.82</v>
      </c>
      <c r="P2434">
        <v>17</v>
      </c>
      <c r="Q2434" t="s">
        <v>5198</v>
      </c>
    </row>
    <row r="2435" spans="1:17" x14ac:dyDescent="0.3">
      <c r="A2435" t="s">
        <v>4664</v>
      </c>
      <c r="B2435" t="str">
        <f>"000695"</f>
        <v>000695</v>
      </c>
      <c r="C2435" t="s">
        <v>5199</v>
      </c>
      <c r="D2435" t="s">
        <v>1692</v>
      </c>
      <c r="F2435">
        <v>-29268708</v>
      </c>
      <c r="G2435">
        <v>-12879037</v>
      </c>
      <c r="H2435">
        <v>6464557</v>
      </c>
      <c r="I2435">
        <v>36728394</v>
      </c>
      <c r="J2435">
        <v>-7594875</v>
      </c>
      <c r="K2435">
        <v>-6927873</v>
      </c>
      <c r="L2435">
        <v>-13300681</v>
      </c>
      <c r="M2435">
        <v>-16896406</v>
      </c>
      <c r="N2435">
        <v>-15351987</v>
      </c>
      <c r="O2435">
        <v>-38438042</v>
      </c>
      <c r="P2435">
        <v>82</v>
      </c>
      <c r="Q2435" t="s">
        <v>5200</v>
      </c>
    </row>
    <row r="2436" spans="1:17" x14ac:dyDescent="0.3">
      <c r="A2436" t="s">
        <v>4664</v>
      </c>
      <c r="B2436" t="str">
        <f>"000697"</f>
        <v>000697</v>
      </c>
      <c r="C2436" t="s">
        <v>5201</v>
      </c>
      <c r="D2436" t="s">
        <v>98</v>
      </c>
      <c r="F2436">
        <v>-192382980</v>
      </c>
      <c r="G2436">
        <v>-180785315</v>
      </c>
      <c r="H2436">
        <v>-69626025</v>
      </c>
      <c r="I2436">
        <v>-213072887</v>
      </c>
      <c r="J2436">
        <v>-191835938</v>
      </c>
      <c r="K2436">
        <v>-25215653</v>
      </c>
      <c r="L2436">
        <v>47578428</v>
      </c>
      <c r="M2436">
        <v>45265596</v>
      </c>
      <c r="N2436">
        <v>45010917</v>
      </c>
      <c r="O2436">
        <v>30818310</v>
      </c>
      <c r="P2436">
        <v>110</v>
      </c>
      <c r="Q2436" t="s">
        <v>5202</v>
      </c>
    </row>
    <row r="2437" spans="1:17" x14ac:dyDescent="0.3">
      <c r="A2437" t="s">
        <v>4664</v>
      </c>
      <c r="B2437" t="str">
        <f>"000698"</f>
        <v>000698</v>
      </c>
      <c r="C2437" t="s">
        <v>5203</v>
      </c>
      <c r="D2437" t="s">
        <v>74</v>
      </c>
      <c r="F2437">
        <v>322788691</v>
      </c>
      <c r="G2437">
        <v>22897842</v>
      </c>
      <c r="H2437">
        <v>-128393561</v>
      </c>
      <c r="I2437">
        <v>101858021</v>
      </c>
      <c r="J2437">
        <v>177042361</v>
      </c>
      <c r="K2437">
        <v>252773936</v>
      </c>
      <c r="L2437">
        <v>94502777</v>
      </c>
      <c r="M2437">
        <v>-76690279</v>
      </c>
      <c r="N2437">
        <v>-136784153</v>
      </c>
      <c r="O2437">
        <v>-135099311</v>
      </c>
      <c r="P2437">
        <v>166</v>
      </c>
      <c r="Q2437" t="s">
        <v>5204</v>
      </c>
    </row>
    <row r="2438" spans="1:17" x14ac:dyDescent="0.3">
      <c r="A2438" t="s">
        <v>4664</v>
      </c>
      <c r="B2438" t="str">
        <f>"000700"</f>
        <v>000700</v>
      </c>
      <c r="C2438" t="s">
        <v>5205</v>
      </c>
      <c r="D2438" t="s">
        <v>191</v>
      </c>
      <c r="F2438">
        <v>-221681202</v>
      </c>
      <c r="G2438">
        <v>-38025271</v>
      </c>
      <c r="H2438">
        <v>89403732</v>
      </c>
      <c r="I2438">
        <v>7778512</v>
      </c>
      <c r="J2438">
        <v>131751753</v>
      </c>
      <c r="K2438">
        <v>166210325</v>
      </c>
      <c r="L2438">
        <v>258015962</v>
      </c>
      <c r="M2438">
        <v>201980533</v>
      </c>
      <c r="N2438">
        <v>182204944</v>
      </c>
      <c r="O2438">
        <v>122407338</v>
      </c>
      <c r="P2438">
        <v>259</v>
      </c>
      <c r="Q2438" t="s">
        <v>5206</v>
      </c>
    </row>
    <row r="2439" spans="1:17" x14ac:dyDescent="0.3">
      <c r="A2439" t="s">
        <v>4664</v>
      </c>
      <c r="B2439" t="str">
        <f>"000701"</f>
        <v>000701</v>
      </c>
      <c r="C2439" t="s">
        <v>5207</v>
      </c>
      <c r="D2439" t="s">
        <v>651</v>
      </c>
      <c r="F2439">
        <v>50059911</v>
      </c>
      <c r="G2439">
        <v>92214335</v>
      </c>
      <c r="H2439">
        <v>-147705316</v>
      </c>
      <c r="I2439">
        <v>62206801</v>
      </c>
      <c r="J2439">
        <v>96487148</v>
      </c>
      <c r="K2439">
        <v>96567094</v>
      </c>
      <c r="L2439">
        <v>66604357</v>
      </c>
      <c r="M2439">
        <v>66199728</v>
      </c>
      <c r="N2439">
        <v>262582125</v>
      </c>
      <c r="O2439">
        <v>89528517</v>
      </c>
      <c r="P2439">
        <v>120</v>
      </c>
      <c r="Q2439" t="s">
        <v>5208</v>
      </c>
    </row>
    <row r="2440" spans="1:17" x14ac:dyDescent="0.3">
      <c r="A2440" t="s">
        <v>4664</v>
      </c>
      <c r="B2440" t="str">
        <f>"000702"</f>
        <v>000702</v>
      </c>
      <c r="C2440" t="s">
        <v>5209</v>
      </c>
      <c r="D2440" t="s">
        <v>2859</v>
      </c>
      <c r="F2440">
        <v>-220858044</v>
      </c>
      <c r="G2440">
        <v>439078</v>
      </c>
      <c r="H2440">
        <v>3279985</v>
      </c>
      <c r="I2440">
        <v>49255123</v>
      </c>
      <c r="J2440">
        <v>17253040</v>
      </c>
      <c r="K2440">
        <v>-4276359</v>
      </c>
      <c r="L2440">
        <v>8498738</v>
      </c>
      <c r="M2440">
        <v>11879134</v>
      </c>
      <c r="N2440">
        <v>8559833</v>
      </c>
      <c r="O2440">
        <v>5266523</v>
      </c>
      <c r="P2440">
        <v>127</v>
      </c>
      <c r="Q2440" t="s">
        <v>5210</v>
      </c>
    </row>
    <row r="2441" spans="1:17" x14ac:dyDescent="0.3">
      <c r="A2441" t="s">
        <v>4664</v>
      </c>
      <c r="B2441" t="str">
        <f>"000703"</f>
        <v>000703</v>
      </c>
      <c r="C2441" t="s">
        <v>5211</v>
      </c>
      <c r="D2441" t="s">
        <v>74</v>
      </c>
      <c r="F2441">
        <v>3082776354</v>
      </c>
      <c r="G2441">
        <v>3056712208</v>
      </c>
      <c r="H2441">
        <v>2213626784</v>
      </c>
      <c r="I2441">
        <v>2204918802</v>
      </c>
      <c r="J2441">
        <v>1351014230</v>
      </c>
      <c r="K2441">
        <v>502800134</v>
      </c>
      <c r="L2441">
        <v>9799800</v>
      </c>
      <c r="M2441">
        <v>12233980</v>
      </c>
      <c r="N2441">
        <v>264921878</v>
      </c>
      <c r="O2441">
        <v>376262420</v>
      </c>
      <c r="P2441">
        <v>581</v>
      </c>
      <c r="Q2441" t="s">
        <v>5212</v>
      </c>
    </row>
    <row r="2442" spans="1:17" x14ac:dyDescent="0.3">
      <c r="A2442" t="s">
        <v>4664</v>
      </c>
      <c r="B2442" t="str">
        <f>"000705"</f>
        <v>000705</v>
      </c>
      <c r="C2442" t="s">
        <v>5213</v>
      </c>
      <c r="D2442" t="s">
        <v>125</v>
      </c>
      <c r="F2442">
        <v>56981737</v>
      </c>
      <c r="G2442">
        <v>69810469</v>
      </c>
      <c r="H2442">
        <v>66400182</v>
      </c>
      <c r="I2442">
        <v>55961492</v>
      </c>
      <c r="J2442">
        <v>3829481</v>
      </c>
      <c r="K2442">
        <v>27610741</v>
      </c>
      <c r="L2442">
        <v>7429933</v>
      </c>
      <c r="M2442">
        <v>39112309</v>
      </c>
      <c r="N2442">
        <v>49779469</v>
      </c>
      <c r="O2442">
        <v>36840728</v>
      </c>
      <c r="P2442">
        <v>107</v>
      </c>
      <c r="Q2442" t="s">
        <v>5214</v>
      </c>
    </row>
    <row r="2443" spans="1:17" x14ac:dyDescent="0.3">
      <c r="A2443" t="s">
        <v>4664</v>
      </c>
      <c r="B2443" t="str">
        <f>"000707"</f>
        <v>000707</v>
      </c>
      <c r="C2443" t="s">
        <v>5215</v>
      </c>
      <c r="D2443" t="s">
        <v>2516</v>
      </c>
      <c r="F2443">
        <v>127015326</v>
      </c>
      <c r="G2443">
        <v>-310406474</v>
      </c>
      <c r="H2443">
        <v>-14344730</v>
      </c>
      <c r="I2443">
        <v>114614939</v>
      </c>
      <c r="J2443">
        <v>31043338</v>
      </c>
      <c r="K2443">
        <v>-201019430</v>
      </c>
      <c r="L2443">
        <v>10815421</v>
      </c>
      <c r="M2443">
        <v>12216694</v>
      </c>
      <c r="N2443">
        <v>-253875788</v>
      </c>
      <c r="O2443">
        <v>7648458</v>
      </c>
      <c r="P2443">
        <v>83</v>
      </c>
      <c r="Q2443" t="s">
        <v>5216</v>
      </c>
    </row>
    <row r="2444" spans="1:17" x14ac:dyDescent="0.3">
      <c r="A2444" t="s">
        <v>4664</v>
      </c>
      <c r="B2444" t="str">
        <f>"000708"</f>
        <v>000708</v>
      </c>
      <c r="C2444" t="s">
        <v>5217</v>
      </c>
      <c r="D2444" t="s">
        <v>281</v>
      </c>
      <c r="F2444">
        <v>6061567886</v>
      </c>
      <c r="G2444">
        <v>4346390399</v>
      </c>
      <c r="H2444">
        <v>3666226501</v>
      </c>
      <c r="I2444">
        <v>380496095</v>
      </c>
      <c r="J2444">
        <v>278516754</v>
      </c>
      <c r="K2444">
        <v>213973783</v>
      </c>
      <c r="L2444">
        <v>205707107</v>
      </c>
      <c r="M2444">
        <v>225789201</v>
      </c>
      <c r="N2444">
        <v>167302404</v>
      </c>
      <c r="O2444">
        <v>206799842</v>
      </c>
      <c r="P2444">
        <v>677</v>
      </c>
      <c r="Q2444" t="s">
        <v>5218</v>
      </c>
    </row>
    <row r="2445" spans="1:17" x14ac:dyDescent="0.3">
      <c r="A2445" t="s">
        <v>4664</v>
      </c>
      <c r="B2445" t="str">
        <f>"000709"</f>
        <v>000709</v>
      </c>
      <c r="C2445" t="s">
        <v>5219</v>
      </c>
      <c r="D2445" t="s">
        <v>38</v>
      </c>
      <c r="F2445">
        <v>2368689394</v>
      </c>
      <c r="G2445">
        <v>1160251542</v>
      </c>
      <c r="H2445">
        <v>1783371341</v>
      </c>
      <c r="I2445">
        <v>3371098747</v>
      </c>
      <c r="J2445">
        <v>2195077147</v>
      </c>
      <c r="K2445">
        <v>933346901</v>
      </c>
      <c r="L2445">
        <v>507517221</v>
      </c>
      <c r="M2445">
        <v>500420826</v>
      </c>
      <c r="N2445">
        <v>116921229</v>
      </c>
      <c r="O2445">
        <v>367348548</v>
      </c>
      <c r="P2445">
        <v>524</v>
      </c>
      <c r="Q2445" t="s">
        <v>5220</v>
      </c>
    </row>
    <row r="2446" spans="1:17" x14ac:dyDescent="0.3">
      <c r="A2446" t="s">
        <v>4664</v>
      </c>
      <c r="B2446" t="str">
        <f>"000710"</f>
        <v>000710</v>
      </c>
      <c r="C2446" t="s">
        <v>5221</v>
      </c>
      <c r="D2446" t="s">
        <v>1305</v>
      </c>
      <c r="F2446">
        <v>28044947</v>
      </c>
      <c r="G2446">
        <v>150831923</v>
      </c>
      <c r="H2446">
        <v>313384818</v>
      </c>
      <c r="I2446">
        <v>238986233</v>
      </c>
      <c r="J2446">
        <v>159859791</v>
      </c>
      <c r="K2446">
        <v>-6790615</v>
      </c>
      <c r="L2446">
        <v>-7681753</v>
      </c>
      <c r="M2446">
        <v>-7129121</v>
      </c>
      <c r="N2446">
        <v>-6650998</v>
      </c>
      <c r="O2446">
        <v>180981</v>
      </c>
      <c r="P2446">
        <v>460</v>
      </c>
      <c r="Q2446" t="s">
        <v>5222</v>
      </c>
    </row>
    <row r="2447" spans="1:17" x14ac:dyDescent="0.3">
      <c r="A2447" t="s">
        <v>4664</v>
      </c>
      <c r="B2447" t="str">
        <f>"000711"</f>
        <v>000711</v>
      </c>
      <c r="C2447" t="s">
        <v>5223</v>
      </c>
      <c r="D2447" t="s">
        <v>499</v>
      </c>
      <c r="F2447">
        <v>-343553230</v>
      </c>
      <c r="G2447">
        <v>-437133295</v>
      </c>
      <c r="H2447">
        <v>33465403</v>
      </c>
      <c r="I2447">
        <v>152648559</v>
      </c>
      <c r="J2447">
        <v>143557227</v>
      </c>
      <c r="K2447">
        <v>-31882444</v>
      </c>
      <c r="L2447">
        <v>-546010449</v>
      </c>
      <c r="M2447">
        <v>-32145269</v>
      </c>
      <c r="N2447">
        <v>-2334607</v>
      </c>
      <c r="O2447">
        <v>1854577</v>
      </c>
      <c r="P2447">
        <v>109</v>
      </c>
      <c r="Q2447" t="s">
        <v>5224</v>
      </c>
    </row>
    <row r="2448" spans="1:17" x14ac:dyDescent="0.3">
      <c r="A2448" t="s">
        <v>4664</v>
      </c>
      <c r="B2448" t="str">
        <f>"000712"</f>
        <v>000712</v>
      </c>
      <c r="C2448" t="s">
        <v>5225</v>
      </c>
      <c r="D2448" t="s">
        <v>80</v>
      </c>
      <c r="F2448">
        <v>34054283</v>
      </c>
      <c r="G2448">
        <v>201890251</v>
      </c>
      <c r="H2448">
        <v>124429545</v>
      </c>
      <c r="I2448">
        <v>-78490404</v>
      </c>
      <c r="J2448">
        <v>195609148</v>
      </c>
      <c r="K2448">
        <v>272622411.64999998</v>
      </c>
      <c r="L2448">
        <v>746194688.15999997</v>
      </c>
      <c r="M2448">
        <v>303982798.52999997</v>
      </c>
      <c r="N2448">
        <v>56566939.689999998</v>
      </c>
      <c r="O2448">
        <v>30855916.379999999</v>
      </c>
      <c r="P2448">
        <v>557</v>
      </c>
      <c r="Q2448" t="s">
        <v>5226</v>
      </c>
    </row>
    <row r="2449" spans="1:17" x14ac:dyDescent="0.3">
      <c r="A2449" t="s">
        <v>4664</v>
      </c>
      <c r="B2449" t="str">
        <f>"000713"</f>
        <v>000713</v>
      </c>
      <c r="C2449" t="s">
        <v>5227</v>
      </c>
      <c r="D2449" t="s">
        <v>706</v>
      </c>
      <c r="F2449">
        <v>-7148210</v>
      </c>
      <c r="G2449">
        <v>17283631</v>
      </c>
      <c r="H2449">
        <v>6017735</v>
      </c>
      <c r="I2449">
        <v>-21080577</v>
      </c>
      <c r="J2449">
        <v>-40415806</v>
      </c>
      <c r="K2449">
        <v>-78043963</v>
      </c>
      <c r="L2449">
        <v>-48152782</v>
      </c>
      <c r="M2449">
        <v>-25857951</v>
      </c>
      <c r="N2449">
        <v>-67259397</v>
      </c>
      <c r="O2449">
        <v>14409044</v>
      </c>
      <c r="P2449">
        <v>237</v>
      </c>
      <c r="Q2449" t="s">
        <v>5228</v>
      </c>
    </row>
    <row r="2450" spans="1:17" x14ac:dyDescent="0.3">
      <c r="A2450" t="s">
        <v>4664</v>
      </c>
      <c r="B2450" t="str">
        <f>"000715"</f>
        <v>000715</v>
      </c>
      <c r="C2450" t="s">
        <v>5229</v>
      </c>
      <c r="D2450" t="s">
        <v>633</v>
      </c>
      <c r="F2450">
        <v>85440280</v>
      </c>
      <c r="G2450">
        <v>18390705</v>
      </c>
      <c r="H2450">
        <v>118004048</v>
      </c>
      <c r="I2450">
        <v>61792200</v>
      </c>
      <c r="J2450">
        <v>52339794</v>
      </c>
      <c r="K2450">
        <v>31245229</v>
      </c>
      <c r="L2450">
        <v>31570580</v>
      </c>
      <c r="M2450">
        <v>54544098</v>
      </c>
      <c r="N2450">
        <v>65349407</v>
      </c>
      <c r="O2450">
        <v>57154929</v>
      </c>
      <c r="P2450">
        <v>103</v>
      </c>
      <c r="Q2450" t="s">
        <v>5230</v>
      </c>
    </row>
    <row r="2451" spans="1:17" x14ac:dyDescent="0.3">
      <c r="A2451" t="s">
        <v>4664</v>
      </c>
      <c r="B2451" t="str">
        <f>"000716"</f>
        <v>000716</v>
      </c>
      <c r="C2451" t="s">
        <v>5231</v>
      </c>
      <c r="D2451" t="s">
        <v>2479</v>
      </c>
      <c r="F2451">
        <v>14286903</v>
      </c>
      <c r="G2451">
        <v>-24786436</v>
      </c>
      <c r="H2451">
        <v>29210774</v>
      </c>
      <c r="I2451">
        <v>49273305</v>
      </c>
      <c r="J2451">
        <v>90739222</v>
      </c>
      <c r="K2451">
        <v>60469513</v>
      </c>
      <c r="L2451">
        <v>70593954</v>
      </c>
      <c r="M2451">
        <v>51054980</v>
      </c>
      <c r="N2451">
        <v>29311665</v>
      </c>
      <c r="O2451">
        <v>16021171</v>
      </c>
      <c r="P2451">
        <v>163</v>
      </c>
      <c r="Q2451" t="s">
        <v>5232</v>
      </c>
    </row>
    <row r="2452" spans="1:17" x14ac:dyDescent="0.3">
      <c r="A2452" t="s">
        <v>4664</v>
      </c>
      <c r="B2452" t="str">
        <f>"000717"</f>
        <v>000717</v>
      </c>
      <c r="C2452" t="s">
        <v>5233</v>
      </c>
      <c r="D2452" t="s">
        <v>531</v>
      </c>
      <c r="F2452">
        <v>1658602848</v>
      </c>
      <c r="G2452">
        <v>1212058332</v>
      </c>
      <c r="H2452">
        <v>1289419773</v>
      </c>
      <c r="I2452">
        <v>2757075086</v>
      </c>
      <c r="J2452">
        <v>1750262408</v>
      </c>
      <c r="K2452">
        <v>-112713284</v>
      </c>
      <c r="L2452">
        <v>-1783319959</v>
      </c>
      <c r="M2452">
        <v>-863320945</v>
      </c>
      <c r="N2452">
        <v>108150078</v>
      </c>
      <c r="O2452">
        <v>-1500735865</v>
      </c>
      <c r="P2452">
        <v>681</v>
      </c>
      <c r="Q2452" t="s">
        <v>5234</v>
      </c>
    </row>
    <row r="2453" spans="1:17" x14ac:dyDescent="0.3">
      <c r="A2453" t="s">
        <v>4664</v>
      </c>
      <c r="B2453" t="str">
        <f>"000718"</f>
        <v>000718</v>
      </c>
      <c r="C2453" t="s">
        <v>5235</v>
      </c>
      <c r="D2453" t="s">
        <v>104</v>
      </c>
      <c r="F2453">
        <v>741341269</v>
      </c>
      <c r="G2453">
        <v>848480259</v>
      </c>
      <c r="H2453">
        <v>805987163</v>
      </c>
      <c r="I2453">
        <v>578560752</v>
      </c>
      <c r="J2453">
        <v>537502781</v>
      </c>
      <c r="K2453">
        <v>805542129</v>
      </c>
      <c r="L2453">
        <v>760602335</v>
      </c>
      <c r="M2453">
        <v>36031043</v>
      </c>
      <c r="N2453">
        <v>626676597</v>
      </c>
      <c r="O2453">
        <v>547973260</v>
      </c>
      <c r="P2453">
        <v>659</v>
      </c>
      <c r="Q2453" t="s">
        <v>5236</v>
      </c>
    </row>
    <row r="2454" spans="1:17" x14ac:dyDescent="0.3">
      <c r="A2454" t="s">
        <v>4664</v>
      </c>
      <c r="B2454" t="str">
        <f>"000719"</f>
        <v>000719</v>
      </c>
      <c r="C2454" t="s">
        <v>5237</v>
      </c>
      <c r="D2454" t="s">
        <v>525</v>
      </c>
      <c r="F2454">
        <v>631160750</v>
      </c>
      <c r="G2454">
        <v>579089957</v>
      </c>
      <c r="H2454">
        <v>531078268</v>
      </c>
      <c r="I2454">
        <v>494635166</v>
      </c>
      <c r="J2454">
        <v>466557479</v>
      </c>
      <c r="K2454">
        <v>457633612</v>
      </c>
      <c r="L2454">
        <v>477532924</v>
      </c>
      <c r="M2454">
        <v>424228563</v>
      </c>
      <c r="N2454">
        <v>236501625</v>
      </c>
      <c r="O2454">
        <v>122084425</v>
      </c>
      <c r="P2454">
        <v>695</v>
      </c>
      <c r="Q2454" t="s">
        <v>5238</v>
      </c>
    </row>
    <row r="2455" spans="1:17" x14ac:dyDescent="0.3">
      <c r="A2455" t="s">
        <v>4664</v>
      </c>
      <c r="B2455" t="str">
        <f>"000720"</f>
        <v>000720</v>
      </c>
      <c r="C2455" t="s">
        <v>5239</v>
      </c>
      <c r="D2455" t="s">
        <v>194</v>
      </c>
      <c r="F2455">
        <v>-67120345</v>
      </c>
      <c r="G2455">
        <v>-103837414</v>
      </c>
      <c r="H2455">
        <v>370197209</v>
      </c>
      <c r="I2455">
        <v>555398462</v>
      </c>
      <c r="J2455">
        <v>-579415867</v>
      </c>
      <c r="K2455">
        <v>-43644657</v>
      </c>
      <c r="L2455">
        <v>74379746</v>
      </c>
      <c r="M2455">
        <v>56128614</v>
      </c>
      <c r="N2455">
        <v>51458701</v>
      </c>
      <c r="O2455">
        <v>-105670476</v>
      </c>
      <c r="P2455">
        <v>122</v>
      </c>
      <c r="Q2455" t="s">
        <v>5240</v>
      </c>
    </row>
    <row r="2456" spans="1:17" x14ac:dyDescent="0.3">
      <c r="A2456" t="s">
        <v>4664</v>
      </c>
      <c r="B2456" t="str">
        <f>"000721"</f>
        <v>000721</v>
      </c>
      <c r="C2456" t="s">
        <v>5241</v>
      </c>
      <c r="D2456" t="s">
        <v>3571</v>
      </c>
      <c r="F2456">
        <v>-101150313</v>
      </c>
      <c r="G2456">
        <v>-82225938</v>
      </c>
      <c r="H2456">
        <v>-23680579</v>
      </c>
      <c r="I2456">
        <v>-4174619</v>
      </c>
      <c r="J2456">
        <v>-3985543</v>
      </c>
      <c r="K2456">
        <v>18230731</v>
      </c>
      <c r="L2456">
        <v>-11282952</v>
      </c>
      <c r="M2456">
        <v>6207346</v>
      </c>
      <c r="N2456">
        <v>14410932</v>
      </c>
      <c r="O2456">
        <v>14930878</v>
      </c>
      <c r="P2456">
        <v>130</v>
      </c>
      <c r="Q2456" t="s">
        <v>5242</v>
      </c>
    </row>
    <row r="2457" spans="1:17" x14ac:dyDescent="0.3">
      <c r="A2457" t="s">
        <v>4664</v>
      </c>
      <c r="B2457" t="str">
        <f>"000722"</f>
        <v>000722</v>
      </c>
      <c r="C2457" t="s">
        <v>5243</v>
      </c>
      <c r="D2457" t="s">
        <v>66</v>
      </c>
      <c r="F2457">
        <v>103761718</v>
      </c>
      <c r="G2457">
        <v>91217511</v>
      </c>
      <c r="H2457">
        <v>140162345</v>
      </c>
      <c r="I2457">
        <v>78458665</v>
      </c>
      <c r="J2457">
        <v>93425469</v>
      </c>
      <c r="K2457">
        <v>138677369</v>
      </c>
      <c r="L2457">
        <v>113606255</v>
      </c>
      <c r="M2457">
        <v>160021096</v>
      </c>
      <c r="N2457">
        <v>132420024</v>
      </c>
      <c r="O2457">
        <v>114854121</v>
      </c>
      <c r="P2457">
        <v>104</v>
      </c>
      <c r="Q2457" t="s">
        <v>5244</v>
      </c>
    </row>
    <row r="2458" spans="1:17" x14ac:dyDescent="0.3">
      <c r="A2458" t="s">
        <v>4664</v>
      </c>
      <c r="B2458" t="str">
        <f>"000723"</f>
        <v>000723</v>
      </c>
      <c r="C2458" t="s">
        <v>5245</v>
      </c>
      <c r="D2458" t="s">
        <v>885</v>
      </c>
      <c r="F2458">
        <v>2024756541</v>
      </c>
      <c r="G2458">
        <v>459913500</v>
      </c>
      <c r="H2458">
        <v>824922664</v>
      </c>
      <c r="I2458">
        <v>1180801987</v>
      </c>
      <c r="J2458">
        <v>855161335</v>
      </c>
      <c r="K2458">
        <v>364531855</v>
      </c>
      <c r="L2458">
        <v>-39888626</v>
      </c>
      <c r="M2458">
        <v>3386210</v>
      </c>
      <c r="N2458">
        <v>30394277</v>
      </c>
      <c r="O2458">
        <v>-22636620</v>
      </c>
      <c r="P2458">
        <v>673</v>
      </c>
      <c r="Q2458" t="s">
        <v>5246</v>
      </c>
    </row>
    <row r="2459" spans="1:17" x14ac:dyDescent="0.3">
      <c r="A2459" t="s">
        <v>4664</v>
      </c>
      <c r="B2459" t="str">
        <f>"000725"</f>
        <v>000725</v>
      </c>
      <c r="C2459" t="s">
        <v>5247</v>
      </c>
      <c r="D2459" t="s">
        <v>1117</v>
      </c>
      <c r="F2459">
        <v>20015415603</v>
      </c>
      <c r="G2459">
        <v>2475838102</v>
      </c>
      <c r="H2459">
        <v>1852239559</v>
      </c>
      <c r="I2459">
        <v>3379066735</v>
      </c>
      <c r="J2459">
        <v>6475667220</v>
      </c>
      <c r="K2459">
        <v>140667962</v>
      </c>
      <c r="L2459">
        <v>1992387571</v>
      </c>
      <c r="M2459">
        <v>1854721451</v>
      </c>
      <c r="N2459">
        <v>1359113831</v>
      </c>
      <c r="O2459">
        <v>-635272911</v>
      </c>
      <c r="P2459">
        <v>4544</v>
      </c>
      <c r="Q2459" t="s">
        <v>5248</v>
      </c>
    </row>
    <row r="2460" spans="1:17" x14ac:dyDescent="0.3">
      <c r="A2460" t="s">
        <v>4664</v>
      </c>
      <c r="B2460" t="str">
        <f>"000726"</f>
        <v>000726</v>
      </c>
      <c r="C2460" t="s">
        <v>5249</v>
      </c>
      <c r="D2460" t="s">
        <v>1009</v>
      </c>
      <c r="F2460">
        <v>247163917</v>
      </c>
      <c r="G2460">
        <v>95664519</v>
      </c>
      <c r="H2460">
        <v>587899371</v>
      </c>
      <c r="I2460">
        <v>586896016</v>
      </c>
      <c r="J2460">
        <v>590108630</v>
      </c>
      <c r="K2460">
        <v>581161076</v>
      </c>
      <c r="L2460">
        <v>548863684</v>
      </c>
      <c r="M2460">
        <v>710139887</v>
      </c>
      <c r="N2460">
        <v>676141809</v>
      </c>
      <c r="O2460">
        <v>461319006</v>
      </c>
      <c r="P2460">
        <v>979</v>
      </c>
      <c r="Q2460" t="s">
        <v>5250</v>
      </c>
    </row>
    <row r="2461" spans="1:17" x14ac:dyDescent="0.3">
      <c r="A2461" t="s">
        <v>4664</v>
      </c>
      <c r="B2461" t="str">
        <f>"000727"</f>
        <v>000727</v>
      </c>
      <c r="C2461" t="s">
        <v>5251</v>
      </c>
      <c r="D2461" t="s">
        <v>1117</v>
      </c>
      <c r="F2461">
        <v>459537464</v>
      </c>
      <c r="G2461">
        <v>-947554622</v>
      </c>
      <c r="H2461">
        <v>-1797073203</v>
      </c>
      <c r="I2461">
        <v>-1575038373</v>
      </c>
      <c r="J2461">
        <v>-275627248</v>
      </c>
      <c r="K2461">
        <v>-39759144</v>
      </c>
      <c r="L2461">
        <v>-15067209</v>
      </c>
      <c r="M2461">
        <v>7378081</v>
      </c>
      <c r="N2461">
        <v>-63177755</v>
      </c>
      <c r="O2461">
        <v>-46566613</v>
      </c>
      <c r="P2461">
        <v>197</v>
      </c>
      <c r="Q2461" t="s">
        <v>5252</v>
      </c>
    </row>
    <row r="2462" spans="1:17" x14ac:dyDescent="0.3">
      <c r="A2462" t="s">
        <v>4664</v>
      </c>
      <c r="B2462" t="str">
        <f>"000728"</f>
        <v>000728</v>
      </c>
      <c r="C2462" t="s">
        <v>5253</v>
      </c>
      <c r="D2462" t="s">
        <v>80</v>
      </c>
      <c r="F2462">
        <v>1325931389</v>
      </c>
      <c r="G2462">
        <v>1080319876</v>
      </c>
      <c r="H2462">
        <v>699721547</v>
      </c>
      <c r="I2462">
        <v>328125560</v>
      </c>
      <c r="J2462">
        <v>890368854</v>
      </c>
      <c r="K2462">
        <v>953552587</v>
      </c>
      <c r="L2462">
        <v>2236842047</v>
      </c>
      <c r="M2462">
        <v>942733502</v>
      </c>
      <c r="N2462">
        <v>526367555</v>
      </c>
      <c r="O2462">
        <v>370625069</v>
      </c>
      <c r="P2462">
        <v>1900</v>
      </c>
      <c r="Q2462" t="s">
        <v>5254</v>
      </c>
    </row>
    <row r="2463" spans="1:17" x14ac:dyDescent="0.3">
      <c r="A2463" t="s">
        <v>4664</v>
      </c>
      <c r="B2463" t="str">
        <f>"000729"</f>
        <v>000729</v>
      </c>
      <c r="C2463" t="s">
        <v>5255</v>
      </c>
      <c r="D2463" t="s">
        <v>319</v>
      </c>
      <c r="F2463">
        <v>563360357</v>
      </c>
      <c r="G2463">
        <v>481570789</v>
      </c>
      <c r="H2463">
        <v>639324191</v>
      </c>
      <c r="I2463">
        <v>610927659</v>
      </c>
      <c r="J2463">
        <v>610379869</v>
      </c>
      <c r="K2463">
        <v>618271222</v>
      </c>
      <c r="L2463">
        <v>857389972</v>
      </c>
      <c r="M2463">
        <v>915906781</v>
      </c>
      <c r="N2463">
        <v>887861458</v>
      </c>
      <c r="O2463">
        <v>806416428</v>
      </c>
      <c r="P2463">
        <v>607</v>
      </c>
      <c r="Q2463" t="s">
        <v>5256</v>
      </c>
    </row>
    <row r="2464" spans="1:17" x14ac:dyDescent="0.3">
      <c r="A2464" t="s">
        <v>4664</v>
      </c>
      <c r="B2464" t="str">
        <f>"000730"</f>
        <v>000730</v>
      </c>
      <c r="C2464" t="s">
        <v>5257</v>
      </c>
      <c r="K2464">
        <v>13969439.310000001</v>
      </c>
      <c r="L2464">
        <v>584262094.03999996</v>
      </c>
      <c r="P2464">
        <v>4</v>
      </c>
      <c r="Q2464" t="s">
        <v>5258</v>
      </c>
    </row>
    <row r="2465" spans="1:17" x14ac:dyDescent="0.3">
      <c r="A2465" t="s">
        <v>4664</v>
      </c>
      <c r="B2465" t="str">
        <f>"000731"</f>
        <v>000731</v>
      </c>
      <c r="C2465" t="s">
        <v>5259</v>
      </c>
      <c r="D2465" t="s">
        <v>909</v>
      </c>
      <c r="F2465">
        <v>369006000</v>
      </c>
      <c r="G2465">
        <v>70249524</v>
      </c>
      <c r="H2465">
        <v>106363225</v>
      </c>
      <c r="I2465">
        <v>213025606</v>
      </c>
      <c r="J2465">
        <v>135507991</v>
      </c>
      <c r="K2465">
        <v>-104314757</v>
      </c>
      <c r="L2465">
        <v>54762444</v>
      </c>
      <c r="M2465">
        <v>-217485837</v>
      </c>
      <c r="N2465">
        <v>161659145</v>
      </c>
      <c r="O2465">
        <v>227280666</v>
      </c>
      <c r="P2465">
        <v>127</v>
      </c>
      <c r="Q2465" t="s">
        <v>5260</v>
      </c>
    </row>
    <row r="2466" spans="1:17" x14ac:dyDescent="0.3">
      <c r="A2466" t="s">
        <v>4664</v>
      </c>
      <c r="B2466" t="str">
        <f>"000732"</f>
        <v>000732</v>
      </c>
      <c r="C2466" t="s">
        <v>5261</v>
      </c>
      <c r="D2466" t="s">
        <v>104</v>
      </c>
      <c r="F2466">
        <v>-762191784</v>
      </c>
      <c r="G2466">
        <v>-1972776710</v>
      </c>
      <c r="H2466">
        <v>2121053183</v>
      </c>
      <c r="I2466">
        <v>1444394340</v>
      </c>
      <c r="J2466">
        <v>1428508660</v>
      </c>
      <c r="K2466">
        <v>1213613409</v>
      </c>
      <c r="L2466">
        <v>823937918</v>
      </c>
      <c r="M2466">
        <v>618707479</v>
      </c>
      <c r="N2466">
        <v>521016633</v>
      </c>
      <c r="O2466">
        <v>157131681</v>
      </c>
      <c r="P2466">
        <v>438</v>
      </c>
      <c r="Q2466" t="s">
        <v>5262</v>
      </c>
    </row>
    <row r="2467" spans="1:17" x14ac:dyDescent="0.3">
      <c r="A2467" t="s">
        <v>4664</v>
      </c>
      <c r="B2467" t="str">
        <f>"000733"</f>
        <v>000733</v>
      </c>
      <c r="C2467" t="s">
        <v>5263</v>
      </c>
      <c r="D2467" t="s">
        <v>1136</v>
      </c>
      <c r="F2467">
        <v>955710903</v>
      </c>
      <c r="G2467">
        <v>358535404</v>
      </c>
      <c r="H2467">
        <v>298152108</v>
      </c>
      <c r="I2467">
        <v>211378154</v>
      </c>
      <c r="J2467">
        <v>174325937</v>
      </c>
      <c r="K2467">
        <v>163190926</v>
      </c>
      <c r="L2467">
        <v>128030703</v>
      </c>
      <c r="M2467">
        <v>101291795</v>
      </c>
      <c r="N2467">
        <v>64155309</v>
      </c>
      <c r="O2467">
        <v>43891860</v>
      </c>
      <c r="P2467">
        <v>489</v>
      </c>
      <c r="Q2467" t="s">
        <v>5264</v>
      </c>
    </row>
    <row r="2468" spans="1:17" x14ac:dyDescent="0.3">
      <c r="A2468" t="s">
        <v>4664</v>
      </c>
      <c r="B2468" t="str">
        <f>"000735"</f>
        <v>000735</v>
      </c>
      <c r="C2468" t="s">
        <v>5265</v>
      </c>
      <c r="D2468" t="s">
        <v>1894</v>
      </c>
      <c r="F2468">
        <v>-127637599</v>
      </c>
      <c r="G2468">
        <v>99284160</v>
      </c>
      <c r="H2468">
        <v>-41235575</v>
      </c>
      <c r="I2468">
        <v>389742442</v>
      </c>
      <c r="J2468">
        <v>148301660</v>
      </c>
      <c r="K2468">
        <v>80114426</v>
      </c>
      <c r="L2468">
        <v>44384172</v>
      </c>
      <c r="M2468">
        <v>55125532</v>
      </c>
      <c r="N2468">
        <v>4512104</v>
      </c>
      <c r="O2468">
        <v>5880232</v>
      </c>
      <c r="P2468">
        <v>290</v>
      </c>
      <c r="Q2468" t="s">
        <v>5266</v>
      </c>
    </row>
    <row r="2469" spans="1:17" x14ac:dyDescent="0.3">
      <c r="A2469" t="s">
        <v>4664</v>
      </c>
      <c r="B2469" t="str">
        <f>"000736"</f>
        <v>000736</v>
      </c>
      <c r="C2469" t="s">
        <v>5267</v>
      </c>
      <c r="D2469" t="s">
        <v>104</v>
      </c>
      <c r="F2469">
        <v>1806941</v>
      </c>
      <c r="G2469">
        <v>286106286</v>
      </c>
      <c r="H2469">
        <v>163407409</v>
      </c>
      <c r="I2469">
        <v>295710450</v>
      </c>
      <c r="J2469">
        <v>-105651457</v>
      </c>
      <c r="K2469">
        <v>94152959</v>
      </c>
      <c r="L2469">
        <v>21095941</v>
      </c>
      <c r="M2469">
        <v>96123981</v>
      </c>
      <c r="N2469">
        <v>63702160</v>
      </c>
      <c r="O2469">
        <v>91515316</v>
      </c>
      <c r="P2469">
        <v>189</v>
      </c>
      <c r="Q2469" t="s">
        <v>5268</v>
      </c>
    </row>
    <row r="2470" spans="1:17" x14ac:dyDescent="0.3">
      <c r="A2470" t="s">
        <v>4664</v>
      </c>
      <c r="B2470" t="str">
        <f>"000737"</f>
        <v>000737</v>
      </c>
      <c r="C2470" t="s">
        <v>5269</v>
      </c>
      <c r="D2470" t="s">
        <v>736</v>
      </c>
      <c r="F2470">
        <v>2015860</v>
      </c>
      <c r="G2470">
        <v>99440027</v>
      </c>
      <c r="H2470">
        <v>2116583</v>
      </c>
      <c r="I2470">
        <v>-163253610</v>
      </c>
      <c r="J2470">
        <v>-252911084</v>
      </c>
      <c r="K2470">
        <v>-88416208</v>
      </c>
      <c r="L2470">
        <v>-147737852</v>
      </c>
      <c r="M2470">
        <v>-152953572</v>
      </c>
      <c r="N2470">
        <v>-49904492</v>
      </c>
      <c r="O2470">
        <v>419796856</v>
      </c>
      <c r="P2470">
        <v>83</v>
      </c>
      <c r="Q2470" t="s">
        <v>5270</v>
      </c>
    </row>
    <row r="2471" spans="1:17" x14ac:dyDescent="0.3">
      <c r="A2471" t="s">
        <v>4664</v>
      </c>
      <c r="B2471" t="str">
        <f>"000738"</f>
        <v>000738</v>
      </c>
      <c r="C2471" t="s">
        <v>5271</v>
      </c>
      <c r="D2471" t="s">
        <v>98</v>
      </c>
      <c r="F2471">
        <v>397533505</v>
      </c>
      <c r="G2471">
        <v>329974868</v>
      </c>
      <c r="H2471">
        <v>252361456</v>
      </c>
      <c r="I2471">
        <v>233360946</v>
      </c>
      <c r="J2471">
        <v>183408314</v>
      </c>
      <c r="K2471">
        <v>158884285</v>
      </c>
      <c r="L2471">
        <v>152516417</v>
      </c>
      <c r="M2471">
        <v>155340934</v>
      </c>
      <c r="N2471">
        <v>125186783</v>
      </c>
      <c r="O2471">
        <v>111005072</v>
      </c>
      <c r="P2471">
        <v>324</v>
      </c>
      <c r="Q2471" t="s">
        <v>5272</v>
      </c>
    </row>
    <row r="2472" spans="1:17" x14ac:dyDescent="0.3">
      <c r="A2472" t="s">
        <v>4664</v>
      </c>
      <c r="B2472" t="str">
        <f>"000739"</f>
        <v>000739</v>
      </c>
      <c r="C2472" t="s">
        <v>5273</v>
      </c>
      <c r="D2472" t="s">
        <v>496</v>
      </c>
      <c r="F2472">
        <v>762133599</v>
      </c>
      <c r="G2472">
        <v>630118434</v>
      </c>
      <c r="H2472">
        <v>431614083</v>
      </c>
      <c r="I2472">
        <v>273404325</v>
      </c>
      <c r="J2472">
        <v>163059022</v>
      </c>
      <c r="K2472">
        <v>172543611</v>
      </c>
      <c r="L2472">
        <v>179479659</v>
      </c>
      <c r="M2472">
        <v>270315025</v>
      </c>
      <c r="N2472">
        <v>124627576</v>
      </c>
      <c r="O2472">
        <v>15639935</v>
      </c>
      <c r="P2472">
        <v>758</v>
      </c>
      <c r="Q2472" t="s">
        <v>5274</v>
      </c>
    </row>
    <row r="2473" spans="1:17" x14ac:dyDescent="0.3">
      <c r="A2473" t="s">
        <v>4664</v>
      </c>
      <c r="B2473" t="str">
        <f>"000748"</f>
        <v>000748</v>
      </c>
      <c r="C2473" t="s">
        <v>5275</v>
      </c>
      <c r="K2473">
        <v>91868609.75</v>
      </c>
      <c r="L2473">
        <v>66150087.880000003</v>
      </c>
      <c r="M2473">
        <v>64108594.439999998</v>
      </c>
      <c r="N2473">
        <v>63647124.119999997</v>
      </c>
      <c r="O2473">
        <v>48709859.630000003</v>
      </c>
      <c r="P2473">
        <v>8</v>
      </c>
      <c r="Q2473" t="s">
        <v>5276</v>
      </c>
    </row>
    <row r="2474" spans="1:17" x14ac:dyDescent="0.3">
      <c r="A2474" t="s">
        <v>4664</v>
      </c>
      <c r="B2474" t="str">
        <f>"000750"</f>
        <v>000750</v>
      </c>
      <c r="C2474" t="s">
        <v>5277</v>
      </c>
      <c r="D2474" t="s">
        <v>80</v>
      </c>
      <c r="F2474">
        <v>779704804</v>
      </c>
      <c r="G2474">
        <v>918416559</v>
      </c>
      <c r="H2474">
        <v>582385198</v>
      </c>
      <c r="I2474">
        <v>128100984</v>
      </c>
      <c r="J2474">
        <v>561245157</v>
      </c>
      <c r="K2474">
        <v>978738556</v>
      </c>
      <c r="L2474">
        <v>1410356371</v>
      </c>
      <c r="M2474">
        <v>465450653</v>
      </c>
      <c r="N2474">
        <v>286282255</v>
      </c>
      <c r="O2474">
        <v>159247070</v>
      </c>
      <c r="P2474">
        <v>1038</v>
      </c>
      <c r="Q2474" t="s">
        <v>5278</v>
      </c>
    </row>
    <row r="2475" spans="1:17" x14ac:dyDescent="0.3">
      <c r="A2475" t="s">
        <v>4664</v>
      </c>
      <c r="B2475" t="str">
        <f>"000751"</f>
        <v>000751</v>
      </c>
      <c r="C2475" t="s">
        <v>5279</v>
      </c>
      <c r="D2475" t="s">
        <v>744</v>
      </c>
      <c r="F2475">
        <v>154023435</v>
      </c>
      <c r="G2475">
        <v>138080628</v>
      </c>
      <c r="H2475">
        <v>135027639</v>
      </c>
      <c r="I2475">
        <v>54442485</v>
      </c>
      <c r="J2475">
        <v>123523976</v>
      </c>
      <c r="K2475">
        <v>94560131</v>
      </c>
      <c r="L2475">
        <v>70107270</v>
      </c>
      <c r="M2475">
        <v>58065375</v>
      </c>
      <c r="N2475">
        <v>131391781</v>
      </c>
      <c r="O2475">
        <v>-811075143</v>
      </c>
      <c r="P2475">
        <v>128</v>
      </c>
      <c r="Q2475" t="s">
        <v>5280</v>
      </c>
    </row>
    <row r="2476" spans="1:17" x14ac:dyDescent="0.3">
      <c r="A2476" t="s">
        <v>4664</v>
      </c>
      <c r="B2476" t="str">
        <f>"000752"</f>
        <v>000752</v>
      </c>
      <c r="C2476" t="s">
        <v>5281</v>
      </c>
      <c r="D2476" t="s">
        <v>319</v>
      </c>
      <c r="F2476">
        <v>-13196558</v>
      </c>
      <c r="G2476">
        <v>-57992761</v>
      </c>
      <c r="H2476">
        <v>-54395069</v>
      </c>
      <c r="I2476">
        <v>-543634</v>
      </c>
      <c r="J2476">
        <v>9690968</v>
      </c>
      <c r="K2476">
        <v>4316983</v>
      </c>
      <c r="L2476">
        <v>14442488</v>
      </c>
      <c r="M2476">
        <v>13567473</v>
      </c>
      <c r="N2476">
        <v>145553258</v>
      </c>
      <c r="O2476">
        <v>19676441</v>
      </c>
      <c r="P2476">
        <v>103</v>
      </c>
      <c r="Q2476" t="s">
        <v>5282</v>
      </c>
    </row>
    <row r="2477" spans="1:17" x14ac:dyDescent="0.3">
      <c r="A2477" t="s">
        <v>4664</v>
      </c>
      <c r="B2477" t="str">
        <f>"000753"</f>
        <v>000753</v>
      </c>
      <c r="C2477" t="s">
        <v>5283</v>
      </c>
      <c r="D2477" t="s">
        <v>110</v>
      </c>
      <c r="F2477">
        <v>85757957</v>
      </c>
      <c r="G2477">
        <v>79111437</v>
      </c>
      <c r="H2477">
        <v>56034818</v>
      </c>
      <c r="I2477">
        <v>55193806</v>
      </c>
      <c r="J2477">
        <v>17366879</v>
      </c>
      <c r="K2477">
        <v>16193650</v>
      </c>
      <c r="L2477">
        <v>-50236232</v>
      </c>
      <c r="M2477">
        <v>29442925</v>
      </c>
      <c r="N2477">
        <v>31191823</v>
      </c>
      <c r="O2477">
        <v>42809428</v>
      </c>
      <c r="P2477">
        <v>85</v>
      </c>
      <c r="Q2477" t="s">
        <v>5284</v>
      </c>
    </row>
    <row r="2478" spans="1:17" x14ac:dyDescent="0.3">
      <c r="A2478" t="s">
        <v>4664</v>
      </c>
      <c r="B2478" t="str">
        <f>"000755"</f>
        <v>000755</v>
      </c>
      <c r="C2478" t="s">
        <v>5285</v>
      </c>
      <c r="D2478" t="s">
        <v>44</v>
      </c>
      <c r="F2478">
        <v>337109438</v>
      </c>
      <c r="G2478">
        <v>-88397602</v>
      </c>
      <c r="H2478">
        <v>111405234</v>
      </c>
      <c r="I2478">
        <v>-101504863</v>
      </c>
      <c r="J2478">
        <v>-338205250</v>
      </c>
      <c r="K2478">
        <v>-430378796</v>
      </c>
      <c r="L2478">
        <v>-376191632</v>
      </c>
      <c r="M2478">
        <v>17554925</v>
      </c>
      <c r="N2478">
        <v>-239685913</v>
      </c>
      <c r="O2478">
        <v>4197938</v>
      </c>
      <c r="P2478">
        <v>96</v>
      </c>
      <c r="Q2478" t="s">
        <v>5286</v>
      </c>
    </row>
    <row r="2479" spans="1:17" x14ac:dyDescent="0.3">
      <c r="A2479" t="s">
        <v>4664</v>
      </c>
      <c r="B2479" t="str">
        <f>"000756"</f>
        <v>000756</v>
      </c>
      <c r="C2479" t="s">
        <v>5287</v>
      </c>
      <c r="D2479" t="s">
        <v>496</v>
      </c>
      <c r="F2479">
        <v>285336329</v>
      </c>
      <c r="G2479">
        <v>246066182</v>
      </c>
      <c r="H2479">
        <v>238601004</v>
      </c>
      <c r="I2479">
        <v>193331202</v>
      </c>
      <c r="J2479">
        <v>173673696</v>
      </c>
      <c r="K2479">
        <v>89180216</v>
      </c>
      <c r="L2479">
        <v>61779758</v>
      </c>
      <c r="M2479">
        <v>48102521</v>
      </c>
      <c r="N2479">
        <v>35232995</v>
      </c>
      <c r="O2479">
        <v>32123782</v>
      </c>
      <c r="P2479">
        <v>218</v>
      </c>
      <c r="Q2479" t="s">
        <v>5288</v>
      </c>
    </row>
    <row r="2480" spans="1:17" x14ac:dyDescent="0.3">
      <c r="A2480" t="s">
        <v>4664</v>
      </c>
      <c r="B2480" t="str">
        <f>"000757"</f>
        <v>000757</v>
      </c>
      <c r="C2480" t="s">
        <v>5289</v>
      </c>
      <c r="D2480" t="s">
        <v>2359</v>
      </c>
      <c r="F2480">
        <v>77307949</v>
      </c>
      <c r="G2480">
        <v>13540265</v>
      </c>
      <c r="H2480">
        <v>101732137</v>
      </c>
      <c r="I2480">
        <v>77719833</v>
      </c>
      <c r="J2480">
        <v>28051554</v>
      </c>
      <c r="K2480">
        <v>20509144</v>
      </c>
      <c r="L2480">
        <v>17231951</v>
      </c>
      <c r="M2480">
        <v>13443580</v>
      </c>
      <c r="N2480">
        <v>47546099</v>
      </c>
      <c r="O2480">
        <v>24311999</v>
      </c>
      <c r="P2480">
        <v>88</v>
      </c>
      <c r="Q2480" t="s">
        <v>5290</v>
      </c>
    </row>
    <row r="2481" spans="1:17" x14ac:dyDescent="0.3">
      <c r="A2481" t="s">
        <v>4664</v>
      </c>
      <c r="B2481" t="str">
        <f>"000758"</f>
        <v>000758</v>
      </c>
      <c r="C2481" t="s">
        <v>5291</v>
      </c>
      <c r="D2481" t="s">
        <v>744</v>
      </c>
      <c r="F2481">
        <v>149736576</v>
      </c>
      <c r="G2481">
        <v>48551361</v>
      </c>
      <c r="H2481">
        <v>-111679675</v>
      </c>
      <c r="I2481">
        <v>169697537</v>
      </c>
      <c r="J2481">
        <v>216032406</v>
      </c>
      <c r="K2481">
        <v>203897807</v>
      </c>
      <c r="L2481">
        <v>277885162</v>
      </c>
      <c r="M2481">
        <v>70413031</v>
      </c>
      <c r="N2481">
        <v>35925939</v>
      </c>
      <c r="O2481">
        <v>89365263</v>
      </c>
      <c r="P2481">
        <v>177</v>
      </c>
      <c r="Q2481" t="s">
        <v>5292</v>
      </c>
    </row>
    <row r="2482" spans="1:17" x14ac:dyDescent="0.3">
      <c r="A2482" t="s">
        <v>4664</v>
      </c>
      <c r="B2482" t="str">
        <f>"000759"</f>
        <v>000759</v>
      </c>
      <c r="C2482" t="s">
        <v>5293</v>
      </c>
      <c r="D2482" t="s">
        <v>798</v>
      </c>
      <c r="F2482">
        <v>-24718548</v>
      </c>
      <c r="G2482">
        <v>67217978</v>
      </c>
      <c r="H2482">
        <v>37485957</v>
      </c>
      <c r="I2482">
        <v>468096731</v>
      </c>
      <c r="J2482">
        <v>129686755</v>
      </c>
      <c r="K2482">
        <v>-174821427</v>
      </c>
      <c r="L2482">
        <v>-58005071</v>
      </c>
      <c r="M2482">
        <v>97700388</v>
      </c>
      <c r="N2482">
        <v>86846911</v>
      </c>
      <c r="O2482">
        <v>144608732</v>
      </c>
      <c r="P2482">
        <v>153</v>
      </c>
      <c r="Q2482" t="s">
        <v>5294</v>
      </c>
    </row>
    <row r="2483" spans="1:17" x14ac:dyDescent="0.3">
      <c r="A2483" t="s">
        <v>4664</v>
      </c>
      <c r="B2483" t="str">
        <f>"000760"</f>
        <v>000760</v>
      </c>
      <c r="C2483" t="s">
        <v>5295</v>
      </c>
      <c r="G2483">
        <v>14047458</v>
      </c>
      <c r="H2483">
        <v>-50113465</v>
      </c>
      <c r="I2483">
        <v>-340879503</v>
      </c>
      <c r="J2483">
        <v>67405258</v>
      </c>
      <c r="K2483">
        <v>-103325758</v>
      </c>
      <c r="L2483">
        <v>-98436696</v>
      </c>
      <c r="M2483">
        <v>586710</v>
      </c>
      <c r="N2483">
        <v>463742</v>
      </c>
      <c r="O2483">
        <v>-9310416</v>
      </c>
      <c r="P2483">
        <v>59</v>
      </c>
      <c r="Q2483" t="s">
        <v>5296</v>
      </c>
    </row>
    <row r="2484" spans="1:17" x14ac:dyDescent="0.3">
      <c r="A2484" t="s">
        <v>4664</v>
      </c>
      <c r="B2484" t="str">
        <f>"000761"</f>
        <v>000761</v>
      </c>
      <c r="C2484" t="s">
        <v>5297</v>
      </c>
      <c r="D2484" t="s">
        <v>38</v>
      </c>
      <c r="F2484">
        <v>3777468896</v>
      </c>
      <c r="G2484">
        <v>283509289</v>
      </c>
      <c r="H2484">
        <v>487439247</v>
      </c>
      <c r="I2484">
        <v>825182212</v>
      </c>
      <c r="J2484">
        <v>1334298003</v>
      </c>
      <c r="K2484">
        <v>574615574</v>
      </c>
      <c r="L2484">
        <v>163112051</v>
      </c>
      <c r="M2484">
        <v>201811776</v>
      </c>
      <c r="N2484">
        <v>279193286</v>
      </c>
      <c r="O2484">
        <v>129796409</v>
      </c>
      <c r="P2484">
        <v>237</v>
      </c>
      <c r="Q2484" t="s">
        <v>5298</v>
      </c>
    </row>
    <row r="2485" spans="1:17" x14ac:dyDescent="0.3">
      <c r="A2485" t="s">
        <v>4664</v>
      </c>
      <c r="B2485" t="str">
        <f>"000762"</f>
        <v>000762</v>
      </c>
      <c r="C2485" t="s">
        <v>5299</v>
      </c>
      <c r="D2485" t="s">
        <v>5300</v>
      </c>
      <c r="F2485">
        <v>127884650</v>
      </c>
      <c r="G2485">
        <v>-41922816</v>
      </c>
      <c r="H2485">
        <v>-21181929</v>
      </c>
      <c r="I2485">
        <v>-75592377</v>
      </c>
      <c r="J2485">
        <v>4434530</v>
      </c>
      <c r="K2485">
        <v>12889310</v>
      </c>
      <c r="L2485">
        <v>16377527</v>
      </c>
      <c r="M2485">
        <v>-12767218</v>
      </c>
      <c r="N2485">
        <v>33998468</v>
      </c>
      <c r="O2485">
        <v>-29525288</v>
      </c>
      <c r="P2485">
        <v>257</v>
      </c>
      <c r="Q2485" t="s">
        <v>5301</v>
      </c>
    </row>
    <row r="2486" spans="1:17" x14ac:dyDescent="0.3">
      <c r="A2486" t="s">
        <v>4664</v>
      </c>
      <c r="B2486" t="str">
        <f>"000765"</f>
        <v>000765</v>
      </c>
      <c r="C2486" t="s">
        <v>5302</v>
      </c>
      <c r="K2486">
        <v>61090242.229999997</v>
      </c>
      <c r="L2486">
        <v>646608844.21000004</v>
      </c>
      <c r="M2486">
        <v>-11385904.880000001</v>
      </c>
      <c r="N2486">
        <v>-11243116.09</v>
      </c>
      <c r="O2486">
        <v>-10072213.93</v>
      </c>
      <c r="P2486">
        <v>4</v>
      </c>
      <c r="Q2486" t="s">
        <v>5303</v>
      </c>
    </row>
    <row r="2487" spans="1:17" x14ac:dyDescent="0.3">
      <c r="A2487" t="s">
        <v>4664</v>
      </c>
      <c r="B2487" t="str">
        <f>"000766"</f>
        <v>000766</v>
      </c>
      <c r="C2487" t="s">
        <v>5304</v>
      </c>
      <c r="D2487" t="s">
        <v>143</v>
      </c>
      <c r="F2487">
        <v>15783389</v>
      </c>
      <c r="G2487">
        <v>-158387008</v>
      </c>
      <c r="H2487">
        <v>158286567</v>
      </c>
      <c r="I2487">
        <v>179441236</v>
      </c>
      <c r="J2487">
        <v>174486086</v>
      </c>
      <c r="K2487">
        <v>134181253</v>
      </c>
      <c r="L2487">
        <v>7161280</v>
      </c>
      <c r="M2487">
        <v>6136204</v>
      </c>
      <c r="N2487">
        <v>4583827</v>
      </c>
      <c r="O2487">
        <v>3181810</v>
      </c>
      <c r="P2487">
        <v>146</v>
      </c>
      <c r="Q2487" t="s">
        <v>5305</v>
      </c>
    </row>
    <row r="2488" spans="1:17" x14ac:dyDescent="0.3">
      <c r="A2488" t="s">
        <v>4664</v>
      </c>
      <c r="B2488" t="str">
        <f>"000767"</f>
        <v>000767</v>
      </c>
      <c r="C2488" t="s">
        <v>5306</v>
      </c>
      <c r="D2488" t="s">
        <v>41</v>
      </c>
      <c r="F2488">
        <v>4942679</v>
      </c>
      <c r="G2488">
        <v>175423410</v>
      </c>
      <c r="H2488">
        <v>57538990</v>
      </c>
      <c r="I2488">
        <v>190178011</v>
      </c>
      <c r="J2488">
        <v>-976402756</v>
      </c>
      <c r="K2488">
        <v>330699</v>
      </c>
      <c r="L2488">
        <v>537473783</v>
      </c>
      <c r="M2488">
        <v>319140437</v>
      </c>
      <c r="N2488">
        <v>227031916</v>
      </c>
      <c r="O2488">
        <v>-111869310</v>
      </c>
      <c r="P2488">
        <v>173</v>
      </c>
      <c r="Q2488" t="s">
        <v>5307</v>
      </c>
    </row>
    <row r="2489" spans="1:17" x14ac:dyDescent="0.3">
      <c r="A2489" t="s">
        <v>4664</v>
      </c>
      <c r="B2489" t="str">
        <f>"000768"</f>
        <v>000768</v>
      </c>
      <c r="C2489" t="s">
        <v>5308</v>
      </c>
      <c r="D2489" t="s">
        <v>98</v>
      </c>
      <c r="F2489">
        <v>608049753</v>
      </c>
      <c r="G2489">
        <v>455261526</v>
      </c>
      <c r="H2489">
        <v>342903048</v>
      </c>
      <c r="I2489">
        <v>232305123</v>
      </c>
      <c r="J2489">
        <v>127010475</v>
      </c>
      <c r="K2489">
        <v>118066772</v>
      </c>
      <c r="L2489">
        <v>-122042821</v>
      </c>
      <c r="M2489">
        <v>46533212</v>
      </c>
      <c r="N2489">
        <v>65646917</v>
      </c>
      <c r="O2489">
        <v>41051367</v>
      </c>
      <c r="P2489">
        <v>662</v>
      </c>
      <c r="Q2489" t="s">
        <v>5309</v>
      </c>
    </row>
    <row r="2490" spans="1:17" x14ac:dyDescent="0.3">
      <c r="A2490" t="s">
        <v>4664</v>
      </c>
      <c r="B2490" t="str">
        <f>"000776"</f>
        <v>000776</v>
      </c>
      <c r="C2490" t="s">
        <v>5310</v>
      </c>
      <c r="D2490" t="s">
        <v>80</v>
      </c>
      <c r="F2490">
        <v>8640843815</v>
      </c>
      <c r="G2490">
        <v>8140093972</v>
      </c>
      <c r="H2490">
        <v>5615657405</v>
      </c>
      <c r="I2490">
        <v>4113683274</v>
      </c>
      <c r="J2490">
        <v>6367235869</v>
      </c>
      <c r="K2490">
        <v>6185056526</v>
      </c>
      <c r="L2490">
        <v>10386017155</v>
      </c>
      <c r="M2490">
        <v>3040621503</v>
      </c>
      <c r="N2490">
        <v>2305790038</v>
      </c>
      <c r="O2490">
        <v>1811352001</v>
      </c>
      <c r="P2490">
        <v>3522</v>
      </c>
      <c r="Q2490" t="s">
        <v>5311</v>
      </c>
    </row>
    <row r="2491" spans="1:17" x14ac:dyDescent="0.3">
      <c r="A2491" t="s">
        <v>4664</v>
      </c>
      <c r="B2491" t="str">
        <f>"000777"</f>
        <v>000777</v>
      </c>
      <c r="C2491" t="s">
        <v>5312</v>
      </c>
      <c r="D2491" t="s">
        <v>274</v>
      </c>
      <c r="F2491">
        <v>51588636</v>
      </c>
      <c r="G2491">
        <v>52839256</v>
      </c>
      <c r="H2491">
        <v>90490349</v>
      </c>
      <c r="I2491">
        <v>53782268</v>
      </c>
      <c r="J2491">
        <v>4797845</v>
      </c>
      <c r="K2491">
        <v>47199542</v>
      </c>
      <c r="L2491">
        <v>51088335</v>
      </c>
      <c r="M2491">
        <v>52260322</v>
      </c>
      <c r="N2491">
        <v>45792431</v>
      </c>
      <c r="O2491">
        <v>39101747</v>
      </c>
      <c r="P2491">
        <v>131</v>
      </c>
      <c r="Q2491" t="s">
        <v>5313</v>
      </c>
    </row>
    <row r="2492" spans="1:17" x14ac:dyDescent="0.3">
      <c r="A2492" t="s">
        <v>4664</v>
      </c>
      <c r="B2492" t="str">
        <f>"000778"</f>
        <v>000778</v>
      </c>
      <c r="C2492" t="s">
        <v>5314</v>
      </c>
      <c r="D2492" t="s">
        <v>2229</v>
      </c>
      <c r="F2492">
        <v>1914470530</v>
      </c>
      <c r="G2492">
        <v>1444304471</v>
      </c>
      <c r="H2492">
        <v>1306468698</v>
      </c>
      <c r="I2492">
        <v>1810591276</v>
      </c>
      <c r="J2492">
        <v>808147155</v>
      </c>
      <c r="K2492">
        <v>226973088</v>
      </c>
      <c r="L2492">
        <v>293225520</v>
      </c>
      <c r="M2492">
        <v>670681434</v>
      </c>
      <c r="N2492">
        <v>461372700</v>
      </c>
      <c r="O2492">
        <v>802867640</v>
      </c>
      <c r="P2492">
        <v>674</v>
      </c>
      <c r="Q2492" t="s">
        <v>5315</v>
      </c>
    </row>
    <row r="2493" spans="1:17" x14ac:dyDescent="0.3">
      <c r="A2493" t="s">
        <v>4664</v>
      </c>
      <c r="B2493" t="str">
        <f>"000779"</f>
        <v>000779</v>
      </c>
      <c r="C2493" t="s">
        <v>5316</v>
      </c>
      <c r="D2493" t="s">
        <v>1272</v>
      </c>
      <c r="F2493">
        <v>216528053</v>
      </c>
      <c r="G2493">
        <v>213796877</v>
      </c>
      <c r="H2493">
        <v>241160316</v>
      </c>
      <c r="I2493">
        <v>-4879969</v>
      </c>
      <c r="J2493">
        <v>88721098</v>
      </c>
      <c r="K2493">
        <v>-48220102</v>
      </c>
      <c r="L2493">
        <v>-23058434</v>
      </c>
      <c r="M2493">
        <v>6070036</v>
      </c>
      <c r="N2493">
        <v>-19809639</v>
      </c>
      <c r="O2493">
        <v>-4358838</v>
      </c>
      <c r="P2493">
        <v>165</v>
      </c>
      <c r="Q2493" t="s">
        <v>5317</v>
      </c>
    </row>
    <row r="2494" spans="1:17" x14ac:dyDescent="0.3">
      <c r="A2494" t="s">
        <v>4664</v>
      </c>
      <c r="B2494" t="str">
        <f>"000780"</f>
        <v>000780</v>
      </c>
      <c r="C2494" t="s">
        <v>5318</v>
      </c>
      <c r="D2494" t="s">
        <v>292</v>
      </c>
      <c r="F2494">
        <v>-350946901</v>
      </c>
      <c r="G2494">
        <v>-228075261</v>
      </c>
      <c r="H2494">
        <v>-172346994</v>
      </c>
      <c r="I2494">
        <v>-51995735</v>
      </c>
      <c r="J2494">
        <v>231913317</v>
      </c>
      <c r="K2494">
        <v>-388845666</v>
      </c>
      <c r="L2494">
        <v>-211352640</v>
      </c>
      <c r="M2494">
        <v>-4613265</v>
      </c>
      <c r="N2494">
        <v>27035952</v>
      </c>
      <c r="O2494">
        <v>480547988</v>
      </c>
      <c r="P2494">
        <v>99</v>
      </c>
      <c r="Q2494" t="s">
        <v>5319</v>
      </c>
    </row>
    <row r="2495" spans="1:17" x14ac:dyDescent="0.3">
      <c r="A2495" t="s">
        <v>4664</v>
      </c>
      <c r="B2495" t="str">
        <f>"000782"</f>
        <v>000782</v>
      </c>
      <c r="C2495" t="s">
        <v>5320</v>
      </c>
      <c r="D2495" t="s">
        <v>1636</v>
      </c>
      <c r="F2495">
        <v>49112915</v>
      </c>
      <c r="G2495">
        <v>-39050526</v>
      </c>
      <c r="H2495">
        <v>-36713030</v>
      </c>
      <c r="I2495">
        <v>38559805</v>
      </c>
      <c r="J2495">
        <v>19584352</v>
      </c>
      <c r="K2495">
        <v>-34751496</v>
      </c>
      <c r="L2495">
        <v>82297612</v>
      </c>
      <c r="M2495">
        <v>-39217195</v>
      </c>
      <c r="N2495">
        <v>8409283</v>
      </c>
      <c r="O2495">
        <v>20118412</v>
      </c>
      <c r="P2495">
        <v>64</v>
      </c>
      <c r="Q2495" t="s">
        <v>5321</v>
      </c>
    </row>
    <row r="2496" spans="1:17" x14ac:dyDescent="0.3">
      <c r="A2496" t="s">
        <v>4664</v>
      </c>
      <c r="B2496" t="str">
        <f>"000783"</f>
        <v>000783</v>
      </c>
      <c r="C2496" t="s">
        <v>5322</v>
      </c>
      <c r="D2496" t="s">
        <v>80</v>
      </c>
      <c r="F2496">
        <v>2199197039</v>
      </c>
      <c r="G2496">
        <v>1931673246</v>
      </c>
      <c r="H2496">
        <v>1462709469</v>
      </c>
      <c r="I2496">
        <v>571136565</v>
      </c>
      <c r="J2496">
        <v>1485940162</v>
      </c>
      <c r="K2496">
        <v>1744090727</v>
      </c>
      <c r="L2496">
        <v>3181655497</v>
      </c>
      <c r="M2496">
        <v>1226640563</v>
      </c>
      <c r="N2496">
        <v>813800169</v>
      </c>
      <c r="O2496">
        <v>550624457</v>
      </c>
      <c r="P2496">
        <v>1208</v>
      </c>
      <c r="Q2496" t="s">
        <v>5323</v>
      </c>
    </row>
    <row r="2497" spans="1:17" x14ac:dyDescent="0.3">
      <c r="A2497" t="s">
        <v>4664</v>
      </c>
      <c r="B2497" t="str">
        <f>"000785"</f>
        <v>000785</v>
      </c>
      <c r="C2497" t="s">
        <v>5324</v>
      </c>
      <c r="D2497" t="s">
        <v>271</v>
      </c>
      <c r="F2497">
        <v>1718563534</v>
      </c>
      <c r="G2497">
        <v>914635687</v>
      </c>
      <c r="H2497">
        <v>135682572</v>
      </c>
      <c r="I2497">
        <v>94571322</v>
      </c>
      <c r="J2497">
        <v>34662264</v>
      </c>
      <c r="K2497">
        <v>18544752</v>
      </c>
      <c r="L2497">
        <v>7476743</v>
      </c>
      <c r="M2497">
        <v>25050926</v>
      </c>
      <c r="N2497">
        <v>34721503</v>
      </c>
      <c r="O2497">
        <v>48316695</v>
      </c>
      <c r="P2497">
        <v>333</v>
      </c>
      <c r="Q2497" t="s">
        <v>5325</v>
      </c>
    </row>
    <row r="2498" spans="1:17" x14ac:dyDescent="0.3">
      <c r="A2498" t="s">
        <v>4664</v>
      </c>
      <c r="B2498" t="str">
        <f>"000786"</f>
        <v>000786</v>
      </c>
      <c r="C2498" t="s">
        <v>5326</v>
      </c>
      <c r="D2498" t="s">
        <v>722</v>
      </c>
      <c r="F2498">
        <v>2723331440</v>
      </c>
      <c r="G2498">
        <v>2005759476</v>
      </c>
      <c r="H2498">
        <v>-10835395</v>
      </c>
      <c r="I2498">
        <v>2043047233</v>
      </c>
      <c r="J2498">
        <v>1564635001</v>
      </c>
      <c r="K2498">
        <v>782277533</v>
      </c>
      <c r="L2498">
        <v>623052923</v>
      </c>
      <c r="M2498">
        <v>712829221</v>
      </c>
      <c r="N2498">
        <v>567230091</v>
      </c>
      <c r="O2498">
        <v>438468735</v>
      </c>
      <c r="P2498">
        <v>2486</v>
      </c>
      <c r="Q2498" t="s">
        <v>5327</v>
      </c>
    </row>
    <row r="2499" spans="1:17" x14ac:dyDescent="0.3">
      <c r="A2499" t="s">
        <v>4664</v>
      </c>
      <c r="B2499" t="str">
        <f>"000787"</f>
        <v>000787</v>
      </c>
      <c r="C2499" t="s">
        <v>5328</v>
      </c>
      <c r="K2499">
        <v>252003656.52000001</v>
      </c>
      <c r="L2499">
        <v>280752523.72000003</v>
      </c>
      <c r="M2499">
        <v>559615.39</v>
      </c>
      <c r="N2499">
        <v>-1007783.49</v>
      </c>
      <c r="O2499">
        <v>-7396870.9100000001</v>
      </c>
      <c r="P2499">
        <v>3</v>
      </c>
      <c r="Q2499" t="s">
        <v>5329</v>
      </c>
    </row>
    <row r="2500" spans="1:17" x14ac:dyDescent="0.3">
      <c r="A2500" t="s">
        <v>4664</v>
      </c>
      <c r="B2500" t="str">
        <f>"000788"</f>
        <v>000788</v>
      </c>
      <c r="C2500" t="s">
        <v>5330</v>
      </c>
      <c r="D2500" t="s">
        <v>143</v>
      </c>
      <c r="F2500">
        <v>55512495</v>
      </c>
      <c r="G2500">
        <v>38318658</v>
      </c>
      <c r="H2500">
        <v>43372042</v>
      </c>
      <c r="I2500">
        <v>37952027</v>
      </c>
      <c r="J2500">
        <v>29461980</v>
      </c>
      <c r="K2500">
        <v>14975573</v>
      </c>
      <c r="L2500">
        <v>-185557613</v>
      </c>
      <c r="M2500">
        <v>55974780</v>
      </c>
      <c r="N2500">
        <v>77291068</v>
      </c>
      <c r="O2500">
        <v>67477180</v>
      </c>
      <c r="P2500">
        <v>137</v>
      </c>
      <c r="Q2500" t="s">
        <v>5331</v>
      </c>
    </row>
    <row r="2501" spans="1:17" x14ac:dyDescent="0.3">
      <c r="A2501" t="s">
        <v>4664</v>
      </c>
      <c r="B2501" t="str">
        <f>"000789"</f>
        <v>000789</v>
      </c>
      <c r="C2501" t="s">
        <v>5332</v>
      </c>
      <c r="D2501" t="s">
        <v>731</v>
      </c>
      <c r="F2501">
        <v>1129319382</v>
      </c>
      <c r="G2501">
        <v>1023347693</v>
      </c>
      <c r="H2501">
        <v>908950098</v>
      </c>
      <c r="I2501">
        <v>871940771</v>
      </c>
      <c r="J2501">
        <v>234029928</v>
      </c>
      <c r="K2501">
        <v>165771727</v>
      </c>
      <c r="L2501">
        <v>142743581</v>
      </c>
      <c r="M2501">
        <v>375012148</v>
      </c>
      <c r="N2501">
        <v>235633402</v>
      </c>
      <c r="O2501">
        <v>74119359</v>
      </c>
      <c r="P2501">
        <v>1139</v>
      </c>
      <c r="Q2501" t="s">
        <v>5333</v>
      </c>
    </row>
    <row r="2502" spans="1:17" x14ac:dyDescent="0.3">
      <c r="A2502" t="s">
        <v>4664</v>
      </c>
      <c r="B2502" t="str">
        <f>"000790"</f>
        <v>000790</v>
      </c>
      <c r="C2502" t="s">
        <v>5334</v>
      </c>
      <c r="D2502" t="s">
        <v>188</v>
      </c>
      <c r="F2502">
        <v>38903916</v>
      </c>
      <c r="G2502">
        <v>30846841</v>
      </c>
      <c r="H2502">
        <v>52991309</v>
      </c>
      <c r="I2502">
        <v>15834480</v>
      </c>
      <c r="J2502">
        <v>-52344998</v>
      </c>
      <c r="K2502">
        <v>20082052</v>
      </c>
      <c r="L2502">
        <v>-58299679</v>
      </c>
      <c r="M2502">
        <v>16300783</v>
      </c>
      <c r="N2502">
        <v>22894116</v>
      </c>
      <c r="O2502">
        <v>17956858</v>
      </c>
      <c r="P2502">
        <v>175</v>
      </c>
      <c r="Q2502" t="s">
        <v>5335</v>
      </c>
    </row>
    <row r="2503" spans="1:17" x14ac:dyDescent="0.3">
      <c r="A2503" t="s">
        <v>4664</v>
      </c>
      <c r="B2503" t="str">
        <f>"000791"</f>
        <v>000791</v>
      </c>
      <c r="C2503" t="s">
        <v>5336</v>
      </c>
      <c r="D2503" t="s">
        <v>66</v>
      </c>
      <c r="F2503">
        <v>308918086</v>
      </c>
      <c r="G2503">
        <v>482269594</v>
      </c>
      <c r="H2503">
        <v>488254659</v>
      </c>
      <c r="I2503">
        <v>493487383</v>
      </c>
      <c r="J2503">
        <v>236865507</v>
      </c>
      <c r="K2503">
        <v>6749761</v>
      </c>
      <c r="L2503">
        <v>103147577</v>
      </c>
      <c r="M2503">
        <v>175793335</v>
      </c>
      <c r="N2503">
        <v>403619577</v>
      </c>
      <c r="O2503">
        <v>14360048</v>
      </c>
      <c r="P2503">
        <v>219</v>
      </c>
      <c r="Q2503" t="s">
        <v>5337</v>
      </c>
    </row>
    <row r="2504" spans="1:17" x14ac:dyDescent="0.3">
      <c r="A2504" t="s">
        <v>4664</v>
      </c>
      <c r="B2504" t="str">
        <f>"000792"</f>
        <v>000792</v>
      </c>
      <c r="C2504" t="s">
        <v>5338</v>
      </c>
      <c r="D2504" t="s">
        <v>3431</v>
      </c>
      <c r="F2504">
        <v>3715329591</v>
      </c>
      <c r="G2504">
        <v>2118123418</v>
      </c>
      <c r="H2504">
        <v>-503704946</v>
      </c>
      <c r="I2504">
        <v>-1213345754</v>
      </c>
      <c r="J2504">
        <v>-859240001</v>
      </c>
      <c r="K2504">
        <v>260248410</v>
      </c>
      <c r="L2504">
        <v>542347749</v>
      </c>
      <c r="M2504">
        <v>652827654</v>
      </c>
      <c r="N2504">
        <v>736453421</v>
      </c>
      <c r="O2504">
        <v>1828168475</v>
      </c>
      <c r="P2504">
        <v>422</v>
      </c>
      <c r="Q2504" t="s">
        <v>5339</v>
      </c>
    </row>
    <row r="2505" spans="1:17" x14ac:dyDescent="0.3">
      <c r="A2505" t="s">
        <v>4664</v>
      </c>
      <c r="B2505" t="str">
        <f>"000793"</f>
        <v>000793</v>
      </c>
      <c r="C2505" t="s">
        <v>5340</v>
      </c>
      <c r="D2505" t="s">
        <v>525</v>
      </c>
      <c r="F2505">
        <v>15518791</v>
      </c>
      <c r="G2505">
        <v>-150633166</v>
      </c>
      <c r="H2505">
        <v>52715287</v>
      </c>
      <c r="I2505">
        <v>22946046</v>
      </c>
      <c r="J2505">
        <v>432545735</v>
      </c>
      <c r="K2505">
        <v>694913389</v>
      </c>
      <c r="L2505">
        <v>513411748</v>
      </c>
      <c r="M2505">
        <v>808984527</v>
      </c>
      <c r="N2505">
        <v>436871516</v>
      </c>
      <c r="O2505">
        <v>196061259</v>
      </c>
      <c r="P2505">
        <v>141</v>
      </c>
      <c r="Q2505" t="s">
        <v>5341</v>
      </c>
    </row>
    <row r="2506" spans="1:17" x14ac:dyDescent="0.3">
      <c r="A2506" t="s">
        <v>4664</v>
      </c>
      <c r="B2506" t="str">
        <f>"000795"</f>
        <v>000795</v>
      </c>
      <c r="C2506" t="s">
        <v>5342</v>
      </c>
      <c r="D2506" t="s">
        <v>808</v>
      </c>
      <c r="F2506">
        <v>143775224</v>
      </c>
      <c r="G2506">
        <v>108455005</v>
      </c>
      <c r="H2506">
        <v>99186438</v>
      </c>
      <c r="I2506">
        <v>68515593</v>
      </c>
      <c r="J2506">
        <v>93013624</v>
      </c>
      <c r="K2506">
        <v>43329057</v>
      </c>
      <c r="L2506">
        <v>-40124772</v>
      </c>
      <c r="M2506">
        <v>-47238913</v>
      </c>
      <c r="N2506">
        <v>-58761650</v>
      </c>
      <c r="O2506">
        <v>24088340</v>
      </c>
      <c r="P2506">
        <v>145</v>
      </c>
      <c r="Q2506" t="s">
        <v>5343</v>
      </c>
    </row>
    <row r="2507" spans="1:17" x14ac:dyDescent="0.3">
      <c r="A2507" t="s">
        <v>4664</v>
      </c>
      <c r="B2507" t="str">
        <f>"000796"</f>
        <v>000796</v>
      </c>
      <c r="C2507" t="s">
        <v>5344</v>
      </c>
      <c r="D2507" t="s">
        <v>1120</v>
      </c>
      <c r="F2507">
        <v>-258637639</v>
      </c>
      <c r="G2507">
        <v>-193020228</v>
      </c>
      <c r="H2507">
        <v>216159092</v>
      </c>
      <c r="I2507">
        <v>311698886</v>
      </c>
      <c r="J2507">
        <v>339603228</v>
      </c>
      <c r="K2507">
        <v>235644482</v>
      </c>
      <c r="L2507">
        <v>167007940</v>
      </c>
      <c r="M2507">
        <v>13934962</v>
      </c>
      <c r="N2507">
        <v>16078369</v>
      </c>
      <c r="O2507">
        <v>15059844</v>
      </c>
      <c r="P2507">
        <v>224</v>
      </c>
      <c r="Q2507" t="s">
        <v>5345</v>
      </c>
    </row>
    <row r="2508" spans="1:17" x14ac:dyDescent="0.3">
      <c r="A2508" t="s">
        <v>4664</v>
      </c>
      <c r="B2508" t="str">
        <f>"000797"</f>
        <v>000797</v>
      </c>
      <c r="C2508" t="s">
        <v>5346</v>
      </c>
      <c r="D2508" t="s">
        <v>104</v>
      </c>
      <c r="F2508">
        <v>41086902</v>
      </c>
      <c r="G2508">
        <v>-88451012</v>
      </c>
      <c r="H2508">
        <v>180683594</v>
      </c>
      <c r="I2508">
        <v>179434874</v>
      </c>
      <c r="J2508">
        <v>104790678</v>
      </c>
      <c r="K2508">
        <v>12754930</v>
      </c>
      <c r="L2508">
        <v>71855092</v>
      </c>
      <c r="M2508">
        <v>68083426</v>
      </c>
      <c r="N2508">
        <v>53378310</v>
      </c>
      <c r="O2508">
        <v>40878853</v>
      </c>
      <c r="P2508">
        <v>121</v>
      </c>
      <c r="Q2508" t="s">
        <v>5347</v>
      </c>
    </row>
    <row r="2509" spans="1:17" x14ac:dyDescent="0.3">
      <c r="A2509" t="s">
        <v>4664</v>
      </c>
      <c r="B2509" t="str">
        <f>"000798"</f>
        <v>000798</v>
      </c>
      <c r="C2509" t="s">
        <v>5348</v>
      </c>
      <c r="D2509" t="s">
        <v>228</v>
      </c>
      <c r="F2509">
        <v>-27890547</v>
      </c>
      <c r="G2509">
        <v>-55794622</v>
      </c>
      <c r="H2509">
        <v>12430640</v>
      </c>
      <c r="I2509">
        <v>60357820</v>
      </c>
      <c r="J2509">
        <v>85649418</v>
      </c>
      <c r="K2509">
        <v>-31578033</v>
      </c>
      <c r="L2509">
        <v>12464933</v>
      </c>
      <c r="M2509">
        <v>16572807</v>
      </c>
      <c r="N2509">
        <v>-14358761</v>
      </c>
      <c r="O2509">
        <v>50533702</v>
      </c>
      <c r="P2509">
        <v>83</v>
      </c>
      <c r="Q2509" t="s">
        <v>5349</v>
      </c>
    </row>
    <row r="2510" spans="1:17" x14ac:dyDescent="0.3">
      <c r="A2510" t="s">
        <v>4664</v>
      </c>
      <c r="B2510" t="str">
        <f>"000799"</f>
        <v>000799</v>
      </c>
      <c r="C2510" t="s">
        <v>5350</v>
      </c>
      <c r="D2510" t="s">
        <v>458</v>
      </c>
      <c r="F2510">
        <v>720078810</v>
      </c>
      <c r="G2510">
        <v>330774359</v>
      </c>
      <c r="H2510">
        <v>184005771</v>
      </c>
      <c r="I2510">
        <v>161044192</v>
      </c>
      <c r="J2510">
        <v>116405884</v>
      </c>
      <c r="K2510">
        <v>65516547</v>
      </c>
      <c r="L2510">
        <v>61013309</v>
      </c>
      <c r="M2510">
        <v>-76033587</v>
      </c>
      <c r="N2510">
        <v>20346519</v>
      </c>
      <c r="O2510">
        <v>458588272</v>
      </c>
      <c r="P2510">
        <v>1661</v>
      </c>
      <c r="Q2510" t="s">
        <v>5351</v>
      </c>
    </row>
    <row r="2511" spans="1:17" x14ac:dyDescent="0.3">
      <c r="A2511" t="s">
        <v>4664</v>
      </c>
      <c r="B2511" t="str">
        <f>"000800"</f>
        <v>000800</v>
      </c>
      <c r="C2511" t="s">
        <v>5352</v>
      </c>
      <c r="D2511" t="s">
        <v>27</v>
      </c>
      <c r="F2511">
        <v>3567874774</v>
      </c>
      <c r="G2511">
        <v>2650835939</v>
      </c>
      <c r="H2511">
        <v>-266630386</v>
      </c>
      <c r="I2511">
        <v>135120308</v>
      </c>
      <c r="J2511">
        <v>291229181</v>
      </c>
      <c r="K2511">
        <v>-715735823</v>
      </c>
      <c r="L2511">
        <v>22057371</v>
      </c>
      <c r="M2511">
        <v>246280873</v>
      </c>
      <c r="N2511">
        <v>778512069</v>
      </c>
      <c r="O2511">
        <v>-311057132</v>
      </c>
      <c r="P2511">
        <v>446</v>
      </c>
      <c r="Q2511" t="s">
        <v>5353</v>
      </c>
    </row>
    <row r="2512" spans="1:17" x14ac:dyDescent="0.3">
      <c r="A2512" t="s">
        <v>4664</v>
      </c>
      <c r="B2512" t="str">
        <f>"000801"</f>
        <v>000801</v>
      </c>
      <c r="C2512" t="s">
        <v>5354</v>
      </c>
      <c r="D2512" t="s">
        <v>4404</v>
      </c>
      <c r="F2512">
        <v>107604629</v>
      </c>
      <c r="G2512">
        <v>42517229</v>
      </c>
      <c r="H2512">
        <v>-5976373</v>
      </c>
      <c r="I2512">
        <v>23007078</v>
      </c>
      <c r="J2512">
        <v>-16358766</v>
      </c>
      <c r="K2512">
        <v>70004351</v>
      </c>
      <c r="L2512">
        <v>107024571</v>
      </c>
      <c r="M2512">
        <v>47813906</v>
      </c>
      <c r="N2512">
        <v>49748340</v>
      </c>
      <c r="O2512">
        <v>51017947</v>
      </c>
      <c r="P2512">
        <v>218</v>
      </c>
      <c r="Q2512" t="s">
        <v>5355</v>
      </c>
    </row>
    <row r="2513" spans="1:17" x14ac:dyDescent="0.3">
      <c r="A2513" t="s">
        <v>4664</v>
      </c>
      <c r="B2513" t="str">
        <f>"000802"</f>
        <v>000802</v>
      </c>
      <c r="C2513" t="s">
        <v>5356</v>
      </c>
      <c r="D2513" t="s">
        <v>113</v>
      </c>
      <c r="F2513">
        <v>-27723061</v>
      </c>
      <c r="G2513">
        <v>-116899528</v>
      </c>
      <c r="H2513">
        <v>116925857</v>
      </c>
      <c r="I2513">
        <v>46259100</v>
      </c>
      <c r="J2513">
        <v>18916200</v>
      </c>
      <c r="K2513">
        <v>14374499</v>
      </c>
      <c r="L2513">
        <v>3646516</v>
      </c>
      <c r="M2513">
        <v>19777087</v>
      </c>
      <c r="N2513">
        <v>19568541</v>
      </c>
      <c r="O2513">
        <v>13199605</v>
      </c>
      <c r="P2513">
        <v>205</v>
      </c>
      <c r="Q2513" t="s">
        <v>5357</v>
      </c>
    </row>
    <row r="2514" spans="1:17" x14ac:dyDescent="0.3">
      <c r="A2514" t="s">
        <v>4664</v>
      </c>
      <c r="B2514" t="str">
        <f>"000803"</f>
        <v>000803</v>
      </c>
      <c r="C2514" t="s">
        <v>5358</v>
      </c>
      <c r="D2514" t="s">
        <v>239</v>
      </c>
      <c r="F2514">
        <v>6025782</v>
      </c>
      <c r="G2514">
        <v>2405581</v>
      </c>
      <c r="H2514">
        <v>-62853545</v>
      </c>
      <c r="I2514">
        <v>-8467766</v>
      </c>
      <c r="J2514">
        <v>-36787407</v>
      </c>
      <c r="K2514">
        <v>-34606640</v>
      </c>
      <c r="L2514">
        <v>-11559827</v>
      </c>
      <c r="M2514">
        <v>2605679</v>
      </c>
      <c r="N2514">
        <v>-20667858</v>
      </c>
      <c r="O2514">
        <v>-9228980</v>
      </c>
      <c r="P2514">
        <v>79</v>
      </c>
      <c r="Q2514" t="s">
        <v>5359</v>
      </c>
    </row>
    <row r="2515" spans="1:17" x14ac:dyDescent="0.3">
      <c r="A2515" t="s">
        <v>4664</v>
      </c>
      <c r="B2515" t="str">
        <f>"000805"</f>
        <v>000805</v>
      </c>
      <c r="C2515" t="s">
        <v>5360</v>
      </c>
      <c r="K2515">
        <v>11051870.029999999</v>
      </c>
      <c r="L2515">
        <v>-3452050.7</v>
      </c>
      <c r="M2515">
        <v>-648370.53</v>
      </c>
      <c r="N2515">
        <v>8100.63</v>
      </c>
      <c r="O2515">
        <v>32123927.59</v>
      </c>
      <c r="P2515">
        <v>3</v>
      </c>
      <c r="Q2515" t="s">
        <v>5361</v>
      </c>
    </row>
    <row r="2516" spans="1:17" x14ac:dyDescent="0.3">
      <c r="A2516" t="s">
        <v>4664</v>
      </c>
      <c r="B2516" t="str">
        <f>"000806"</f>
        <v>000806</v>
      </c>
      <c r="C2516" t="s">
        <v>5362</v>
      </c>
      <c r="D2516" t="s">
        <v>210</v>
      </c>
      <c r="F2516">
        <v>-157695517</v>
      </c>
      <c r="G2516">
        <v>35300020</v>
      </c>
      <c r="H2516">
        <v>-108374888</v>
      </c>
      <c r="I2516">
        <v>-116376018</v>
      </c>
      <c r="J2516">
        <v>2536755</v>
      </c>
      <c r="K2516">
        <v>3513334</v>
      </c>
      <c r="L2516">
        <v>103333238</v>
      </c>
      <c r="M2516">
        <v>7022603</v>
      </c>
      <c r="N2516">
        <v>-13719845</v>
      </c>
      <c r="O2516">
        <v>5583526</v>
      </c>
      <c r="P2516">
        <v>123</v>
      </c>
      <c r="Q2516" t="s">
        <v>5363</v>
      </c>
    </row>
    <row r="2517" spans="1:17" x14ac:dyDescent="0.3">
      <c r="A2517" t="s">
        <v>4664</v>
      </c>
      <c r="B2517" t="str">
        <f>"000807"</f>
        <v>000807</v>
      </c>
      <c r="C2517" t="s">
        <v>5364</v>
      </c>
      <c r="D2517" t="s">
        <v>504</v>
      </c>
      <c r="F2517">
        <v>3231805560</v>
      </c>
      <c r="G2517">
        <v>570296313</v>
      </c>
      <c r="H2517">
        <v>292168814</v>
      </c>
      <c r="I2517">
        <v>110515760</v>
      </c>
      <c r="J2517">
        <v>423502232</v>
      </c>
      <c r="K2517">
        <v>181546891</v>
      </c>
      <c r="L2517">
        <v>-95165888</v>
      </c>
      <c r="M2517">
        <v>-291656522</v>
      </c>
      <c r="N2517">
        <v>-134592402</v>
      </c>
      <c r="O2517">
        <v>-21945691</v>
      </c>
      <c r="P2517">
        <v>551</v>
      </c>
      <c r="Q2517" t="s">
        <v>5365</v>
      </c>
    </row>
    <row r="2518" spans="1:17" x14ac:dyDescent="0.3">
      <c r="A2518" t="s">
        <v>4664</v>
      </c>
      <c r="B2518" t="str">
        <f>"000809"</f>
        <v>000809</v>
      </c>
      <c r="C2518" t="s">
        <v>5366</v>
      </c>
      <c r="D2518" t="s">
        <v>104</v>
      </c>
      <c r="F2518">
        <v>-75958364</v>
      </c>
      <c r="G2518">
        <v>-68818655</v>
      </c>
      <c r="H2518">
        <v>-50785500</v>
      </c>
      <c r="I2518">
        <v>11421058</v>
      </c>
      <c r="J2518">
        <v>36513151</v>
      </c>
      <c r="K2518">
        <v>-112280001</v>
      </c>
      <c r="L2518">
        <v>-76433464</v>
      </c>
      <c r="M2518">
        <v>1795088</v>
      </c>
      <c r="N2518">
        <v>83088936</v>
      </c>
      <c r="O2518">
        <v>72950939</v>
      </c>
      <c r="P2518">
        <v>72</v>
      </c>
      <c r="Q2518" t="s">
        <v>5367</v>
      </c>
    </row>
    <row r="2519" spans="1:17" x14ac:dyDescent="0.3">
      <c r="A2519" t="s">
        <v>4664</v>
      </c>
      <c r="B2519" t="str">
        <f>"000810"</f>
        <v>000810</v>
      </c>
      <c r="C2519" t="s">
        <v>5368</v>
      </c>
      <c r="D2519" t="s">
        <v>4404</v>
      </c>
      <c r="F2519">
        <v>268959809</v>
      </c>
      <c r="G2519">
        <v>281053111</v>
      </c>
      <c r="H2519">
        <v>497447857</v>
      </c>
      <c r="I2519">
        <v>230167796</v>
      </c>
      <c r="J2519">
        <v>48914430</v>
      </c>
      <c r="K2519">
        <v>346994296</v>
      </c>
      <c r="L2519">
        <v>229971629</v>
      </c>
      <c r="M2519">
        <v>276282975</v>
      </c>
      <c r="N2519">
        <v>8153889</v>
      </c>
      <c r="O2519">
        <v>-8216717</v>
      </c>
      <c r="P2519">
        <v>384</v>
      </c>
      <c r="Q2519" t="s">
        <v>5369</v>
      </c>
    </row>
    <row r="2520" spans="1:17" x14ac:dyDescent="0.3">
      <c r="A2520" t="s">
        <v>4664</v>
      </c>
      <c r="B2520" t="str">
        <f>"000811"</f>
        <v>000811</v>
      </c>
      <c r="C2520" t="s">
        <v>5370</v>
      </c>
      <c r="D2520" t="s">
        <v>988</v>
      </c>
      <c r="F2520">
        <v>232250226</v>
      </c>
      <c r="G2520">
        <v>175247917</v>
      </c>
      <c r="H2520">
        <v>295237625</v>
      </c>
      <c r="I2520">
        <v>195733073</v>
      </c>
      <c r="J2520">
        <v>218543150</v>
      </c>
      <c r="K2520">
        <v>244588309</v>
      </c>
      <c r="L2520">
        <v>247250170</v>
      </c>
      <c r="M2520">
        <v>99834437</v>
      </c>
      <c r="N2520">
        <v>150303588</v>
      </c>
      <c r="O2520">
        <v>127109968</v>
      </c>
      <c r="P2520">
        <v>224</v>
      </c>
      <c r="Q2520" t="s">
        <v>5371</v>
      </c>
    </row>
    <row r="2521" spans="1:17" x14ac:dyDescent="0.3">
      <c r="A2521" t="s">
        <v>4664</v>
      </c>
      <c r="B2521" t="str">
        <f>"000812"</f>
        <v>000812</v>
      </c>
      <c r="C2521" t="s">
        <v>5372</v>
      </c>
      <c r="D2521" t="s">
        <v>2156</v>
      </c>
      <c r="F2521">
        <v>11715007</v>
      </c>
      <c r="G2521">
        <v>9506782</v>
      </c>
      <c r="H2521">
        <v>25499341</v>
      </c>
      <c r="I2521">
        <v>25005735</v>
      </c>
      <c r="J2521">
        <v>7251007</v>
      </c>
      <c r="K2521">
        <v>21534518</v>
      </c>
      <c r="L2521">
        <v>19762063</v>
      </c>
      <c r="M2521">
        <v>46995038</v>
      </c>
      <c r="N2521">
        <v>55008251</v>
      </c>
      <c r="O2521">
        <v>44424077</v>
      </c>
      <c r="P2521">
        <v>111</v>
      </c>
      <c r="Q2521" t="s">
        <v>5373</v>
      </c>
    </row>
    <row r="2522" spans="1:17" x14ac:dyDescent="0.3">
      <c r="A2522" t="s">
        <v>4664</v>
      </c>
      <c r="B2522" t="str">
        <f>"000813"</f>
        <v>000813</v>
      </c>
      <c r="C2522" t="s">
        <v>5374</v>
      </c>
      <c r="D2522" t="s">
        <v>143</v>
      </c>
      <c r="F2522">
        <v>124478368</v>
      </c>
      <c r="G2522">
        <v>239399610</v>
      </c>
      <c r="H2522">
        <v>338232992</v>
      </c>
      <c r="I2522">
        <v>730112462</v>
      </c>
      <c r="J2522">
        <v>633572962</v>
      </c>
      <c r="K2522">
        <v>519964843</v>
      </c>
      <c r="L2522">
        <v>6921119</v>
      </c>
      <c r="M2522">
        <v>39186444</v>
      </c>
      <c r="N2522">
        <v>-26460939</v>
      </c>
      <c r="O2522">
        <v>-22037425</v>
      </c>
      <c r="P2522">
        <v>281</v>
      </c>
      <c r="Q2522" t="s">
        <v>5375</v>
      </c>
    </row>
    <row r="2523" spans="1:17" x14ac:dyDescent="0.3">
      <c r="A2523" t="s">
        <v>4664</v>
      </c>
      <c r="B2523" t="str">
        <f>"000815"</f>
        <v>000815</v>
      </c>
      <c r="C2523" t="s">
        <v>5376</v>
      </c>
      <c r="D2523" t="s">
        <v>694</v>
      </c>
      <c r="F2523">
        <v>14312747</v>
      </c>
      <c r="G2523">
        <v>18740465</v>
      </c>
      <c r="H2523">
        <v>19149565</v>
      </c>
      <c r="I2523">
        <v>32973199</v>
      </c>
      <c r="J2523">
        <v>3615809</v>
      </c>
      <c r="K2523">
        <v>-66746150</v>
      </c>
      <c r="L2523">
        <v>-211344936</v>
      </c>
      <c r="M2523">
        <v>-426813437</v>
      </c>
      <c r="N2523">
        <v>-129959277</v>
      </c>
      <c r="O2523">
        <v>-83929459</v>
      </c>
      <c r="P2523">
        <v>125</v>
      </c>
      <c r="Q2523" t="s">
        <v>5377</v>
      </c>
    </row>
    <row r="2524" spans="1:17" x14ac:dyDescent="0.3">
      <c r="A2524" t="s">
        <v>4664</v>
      </c>
      <c r="B2524" t="str">
        <f>"000816"</f>
        <v>000816</v>
      </c>
      <c r="C2524" t="s">
        <v>5378</v>
      </c>
      <c r="D2524" t="s">
        <v>348</v>
      </c>
      <c r="F2524">
        <v>30944121</v>
      </c>
      <c r="G2524">
        <v>44985175</v>
      </c>
      <c r="H2524">
        <v>-113335528</v>
      </c>
      <c r="I2524">
        <v>-89722028</v>
      </c>
      <c r="J2524">
        <v>-63978204</v>
      </c>
      <c r="K2524">
        <v>8241667</v>
      </c>
      <c r="L2524">
        <v>13780741</v>
      </c>
      <c r="M2524">
        <v>42128026</v>
      </c>
      <c r="N2524">
        <v>83506253</v>
      </c>
      <c r="O2524">
        <v>54379184</v>
      </c>
      <c r="P2524">
        <v>153</v>
      </c>
      <c r="Q2524" t="s">
        <v>5379</v>
      </c>
    </row>
    <row r="2525" spans="1:17" x14ac:dyDescent="0.3">
      <c r="A2525" t="s">
        <v>4664</v>
      </c>
      <c r="B2525" t="str">
        <f>"000818"</f>
        <v>000818</v>
      </c>
      <c r="C2525" t="s">
        <v>5380</v>
      </c>
      <c r="D2525" t="s">
        <v>175</v>
      </c>
      <c r="F2525">
        <v>635797042</v>
      </c>
      <c r="G2525">
        <v>181029716</v>
      </c>
      <c r="H2525">
        <v>240628071</v>
      </c>
      <c r="I2525">
        <v>330567977</v>
      </c>
      <c r="J2525">
        <v>119504558</v>
      </c>
      <c r="K2525">
        <v>41520955</v>
      </c>
      <c r="L2525">
        <v>58351536</v>
      </c>
      <c r="M2525">
        <v>42017157</v>
      </c>
      <c r="N2525">
        <v>-64807771</v>
      </c>
      <c r="O2525">
        <v>4331154</v>
      </c>
      <c r="P2525">
        <v>258</v>
      </c>
      <c r="Q2525" t="s">
        <v>5381</v>
      </c>
    </row>
    <row r="2526" spans="1:17" x14ac:dyDescent="0.3">
      <c r="A2526" t="s">
        <v>4664</v>
      </c>
      <c r="B2526" t="str">
        <f>"000819"</f>
        <v>000819</v>
      </c>
      <c r="C2526" t="s">
        <v>5382</v>
      </c>
      <c r="D2526" t="s">
        <v>1615</v>
      </c>
      <c r="F2526">
        <v>30744363</v>
      </c>
      <c r="G2526">
        <v>5267053</v>
      </c>
      <c r="H2526">
        <v>48221184</v>
      </c>
      <c r="I2526">
        <v>41699372</v>
      </c>
      <c r="J2526">
        <v>5774837</v>
      </c>
      <c r="K2526">
        <v>27828661</v>
      </c>
      <c r="L2526">
        <v>36445248</v>
      </c>
      <c r="M2526">
        <v>26153772</v>
      </c>
      <c r="N2526">
        <v>46989906</v>
      </c>
      <c r="O2526">
        <v>48592639</v>
      </c>
      <c r="P2526">
        <v>81</v>
      </c>
      <c r="Q2526" t="s">
        <v>5383</v>
      </c>
    </row>
    <row r="2527" spans="1:17" x14ac:dyDescent="0.3">
      <c r="A2527" t="s">
        <v>4664</v>
      </c>
      <c r="B2527" t="str">
        <f>"000820"</f>
        <v>000820</v>
      </c>
      <c r="C2527" t="s">
        <v>5384</v>
      </c>
      <c r="D2527" t="s">
        <v>499</v>
      </c>
      <c r="F2527">
        <v>1977583289</v>
      </c>
      <c r="G2527">
        <v>-181416063</v>
      </c>
      <c r="H2527">
        <v>-144191291</v>
      </c>
      <c r="I2527">
        <v>-127209166</v>
      </c>
      <c r="J2527">
        <v>304978638</v>
      </c>
      <c r="K2527">
        <v>150375125</v>
      </c>
      <c r="L2527">
        <v>-15306006</v>
      </c>
      <c r="M2527">
        <v>883388</v>
      </c>
      <c r="N2527">
        <v>9151786</v>
      </c>
      <c r="O2527">
        <v>31245333</v>
      </c>
      <c r="P2527">
        <v>156</v>
      </c>
      <c r="Q2527" t="s">
        <v>5385</v>
      </c>
    </row>
    <row r="2528" spans="1:17" x14ac:dyDescent="0.3">
      <c r="A2528" t="s">
        <v>4664</v>
      </c>
      <c r="B2528" t="str">
        <f>"000821"</f>
        <v>000821</v>
      </c>
      <c r="C2528" t="s">
        <v>5386</v>
      </c>
      <c r="D2528" t="s">
        <v>3388</v>
      </c>
      <c r="F2528">
        <v>144379025</v>
      </c>
      <c r="G2528">
        <v>90674523</v>
      </c>
      <c r="H2528">
        <v>142398837</v>
      </c>
      <c r="I2528">
        <v>268534428</v>
      </c>
      <c r="J2528">
        <v>105863297</v>
      </c>
      <c r="K2528">
        <v>44728753</v>
      </c>
      <c r="L2528">
        <v>18427083</v>
      </c>
      <c r="M2528">
        <v>-2184557</v>
      </c>
      <c r="N2528">
        <v>-6058431</v>
      </c>
      <c r="O2528">
        <v>-35044953</v>
      </c>
      <c r="P2528">
        <v>166</v>
      </c>
      <c r="Q2528" t="s">
        <v>5387</v>
      </c>
    </row>
    <row r="2529" spans="1:17" x14ac:dyDescent="0.3">
      <c r="A2529" t="s">
        <v>4664</v>
      </c>
      <c r="B2529" t="str">
        <f>"000822"</f>
        <v>000822</v>
      </c>
      <c r="C2529" t="s">
        <v>5388</v>
      </c>
      <c r="D2529" t="s">
        <v>2516</v>
      </c>
      <c r="F2529">
        <v>420879592</v>
      </c>
      <c r="G2529">
        <v>-108808481</v>
      </c>
      <c r="H2529">
        <v>244620615</v>
      </c>
      <c r="I2529">
        <v>473196867</v>
      </c>
      <c r="J2529">
        <v>526359240</v>
      </c>
      <c r="K2529">
        <v>66622241</v>
      </c>
      <c r="L2529">
        <v>102687514</v>
      </c>
      <c r="M2529">
        <v>79346475</v>
      </c>
      <c r="N2529">
        <v>-440691066</v>
      </c>
      <c r="O2529">
        <v>-316916003</v>
      </c>
      <c r="P2529">
        <v>211</v>
      </c>
      <c r="Q2529" t="s">
        <v>5389</v>
      </c>
    </row>
    <row r="2530" spans="1:17" x14ac:dyDescent="0.3">
      <c r="A2530" t="s">
        <v>4664</v>
      </c>
      <c r="B2530" t="str">
        <f>"000823"</f>
        <v>000823</v>
      </c>
      <c r="C2530" t="s">
        <v>5390</v>
      </c>
      <c r="D2530" t="s">
        <v>425</v>
      </c>
      <c r="F2530">
        <v>295374143</v>
      </c>
      <c r="G2530">
        <v>210317096</v>
      </c>
      <c r="H2530">
        <v>205130790</v>
      </c>
      <c r="I2530">
        <v>181922656</v>
      </c>
      <c r="J2530">
        <v>132541220</v>
      </c>
      <c r="K2530">
        <v>112258563</v>
      </c>
      <c r="L2530">
        <v>88230165</v>
      </c>
      <c r="M2530">
        <v>122218345</v>
      </c>
      <c r="N2530">
        <v>87685820</v>
      </c>
      <c r="O2530">
        <v>158466359</v>
      </c>
      <c r="P2530">
        <v>354</v>
      </c>
      <c r="Q2530" t="s">
        <v>5391</v>
      </c>
    </row>
    <row r="2531" spans="1:17" x14ac:dyDescent="0.3">
      <c r="A2531" t="s">
        <v>4664</v>
      </c>
      <c r="B2531" t="str">
        <f>"000825"</f>
        <v>000825</v>
      </c>
      <c r="C2531" t="s">
        <v>5392</v>
      </c>
      <c r="D2531" t="s">
        <v>281</v>
      </c>
      <c r="F2531">
        <v>6796781816</v>
      </c>
      <c r="G2531">
        <v>1070385668</v>
      </c>
      <c r="H2531">
        <v>1846360967</v>
      </c>
      <c r="I2531">
        <v>4060794787</v>
      </c>
      <c r="J2531">
        <v>2157717653</v>
      </c>
      <c r="K2531">
        <v>842267068</v>
      </c>
      <c r="L2531">
        <v>-766539120</v>
      </c>
      <c r="M2531">
        <v>551956370</v>
      </c>
      <c r="N2531">
        <v>445410422</v>
      </c>
      <c r="O2531">
        <v>682529137</v>
      </c>
      <c r="P2531">
        <v>581</v>
      </c>
      <c r="Q2531" t="s">
        <v>5393</v>
      </c>
    </row>
    <row r="2532" spans="1:17" x14ac:dyDescent="0.3">
      <c r="A2532" t="s">
        <v>4664</v>
      </c>
      <c r="B2532" t="str">
        <f>"000826"</f>
        <v>000826</v>
      </c>
      <c r="C2532" t="s">
        <v>5394</v>
      </c>
      <c r="D2532" t="s">
        <v>3548</v>
      </c>
      <c r="F2532">
        <v>-4166582505</v>
      </c>
      <c r="G2532">
        <v>228489894</v>
      </c>
      <c r="H2532">
        <v>438716972</v>
      </c>
      <c r="I2532">
        <v>848033965</v>
      </c>
      <c r="J2532">
        <v>830797707</v>
      </c>
      <c r="K2532">
        <v>716060494</v>
      </c>
      <c r="L2532">
        <v>616757130</v>
      </c>
      <c r="M2532">
        <v>512226237</v>
      </c>
      <c r="N2532">
        <v>367955241</v>
      </c>
      <c r="O2532">
        <v>271269425</v>
      </c>
      <c r="P2532">
        <v>559</v>
      </c>
      <c r="Q2532" t="s">
        <v>5395</v>
      </c>
    </row>
    <row r="2533" spans="1:17" x14ac:dyDescent="0.3">
      <c r="A2533" t="s">
        <v>4664</v>
      </c>
      <c r="B2533" t="str">
        <f>"000828"</f>
        <v>000828</v>
      </c>
      <c r="C2533" t="s">
        <v>5396</v>
      </c>
      <c r="D2533" t="s">
        <v>44</v>
      </c>
      <c r="F2533">
        <v>787760208</v>
      </c>
      <c r="G2533">
        <v>664918556</v>
      </c>
      <c r="H2533">
        <v>833418982</v>
      </c>
      <c r="I2533">
        <v>710706552</v>
      </c>
      <c r="J2533">
        <v>714859097</v>
      </c>
      <c r="K2533">
        <v>626540604</v>
      </c>
      <c r="L2533">
        <v>609186960</v>
      </c>
      <c r="M2533">
        <v>426062398</v>
      </c>
      <c r="N2533">
        <v>317423209</v>
      </c>
      <c r="O2533">
        <v>283081791</v>
      </c>
      <c r="P2533">
        <v>961</v>
      </c>
      <c r="Q2533" t="s">
        <v>5397</v>
      </c>
    </row>
    <row r="2534" spans="1:17" x14ac:dyDescent="0.3">
      <c r="A2534" t="s">
        <v>4664</v>
      </c>
      <c r="B2534" t="str">
        <f>"000829"</f>
        <v>000829</v>
      </c>
      <c r="C2534" t="s">
        <v>5398</v>
      </c>
      <c r="D2534" t="s">
        <v>295</v>
      </c>
      <c r="F2534">
        <v>109333820</v>
      </c>
      <c r="G2534">
        <v>86061192</v>
      </c>
      <c r="H2534">
        <v>30549601</v>
      </c>
      <c r="I2534">
        <v>8550816</v>
      </c>
      <c r="J2534">
        <v>31343599</v>
      </c>
      <c r="K2534">
        <v>61372203</v>
      </c>
      <c r="L2534">
        <v>-142303584</v>
      </c>
      <c r="M2534">
        <v>135376088</v>
      </c>
      <c r="N2534">
        <v>-28021310</v>
      </c>
      <c r="O2534">
        <v>-13161458</v>
      </c>
      <c r="P2534">
        <v>187</v>
      </c>
      <c r="Q2534" t="s">
        <v>5399</v>
      </c>
    </row>
    <row r="2535" spans="1:17" x14ac:dyDescent="0.3">
      <c r="A2535" t="s">
        <v>4664</v>
      </c>
      <c r="B2535" t="str">
        <f>"000830"</f>
        <v>000830</v>
      </c>
      <c r="C2535" t="s">
        <v>5400</v>
      </c>
      <c r="D2535" t="s">
        <v>914</v>
      </c>
      <c r="F2535">
        <v>3605745569</v>
      </c>
      <c r="G2535">
        <v>470362555</v>
      </c>
      <c r="H2535">
        <v>864133911</v>
      </c>
      <c r="I2535">
        <v>2351426685</v>
      </c>
      <c r="J2535">
        <v>1071790155</v>
      </c>
      <c r="K2535">
        <v>179480040</v>
      </c>
      <c r="L2535">
        <v>350303949</v>
      </c>
      <c r="M2535">
        <v>302147149</v>
      </c>
      <c r="N2535">
        <v>271229497</v>
      </c>
      <c r="O2535">
        <v>280522269</v>
      </c>
      <c r="P2535">
        <v>891</v>
      </c>
      <c r="Q2535" t="s">
        <v>5401</v>
      </c>
    </row>
    <row r="2536" spans="1:17" x14ac:dyDescent="0.3">
      <c r="A2536" t="s">
        <v>4664</v>
      </c>
      <c r="B2536" t="str">
        <f>"000831"</f>
        <v>000831</v>
      </c>
      <c r="C2536" t="s">
        <v>5402</v>
      </c>
      <c r="D2536" t="s">
        <v>266</v>
      </c>
      <c r="F2536">
        <v>197894974</v>
      </c>
      <c r="G2536">
        <v>134642092</v>
      </c>
      <c r="H2536">
        <v>61533279</v>
      </c>
      <c r="I2536">
        <v>79983234</v>
      </c>
      <c r="J2536">
        <v>36982587</v>
      </c>
      <c r="K2536">
        <v>-43072555</v>
      </c>
      <c r="L2536">
        <v>-72230716</v>
      </c>
      <c r="M2536">
        <v>-3681525</v>
      </c>
      <c r="N2536">
        <v>34151326</v>
      </c>
      <c r="O2536">
        <v>-268806667</v>
      </c>
      <c r="P2536">
        <v>458</v>
      </c>
      <c r="Q2536" t="s">
        <v>5403</v>
      </c>
    </row>
    <row r="2537" spans="1:17" x14ac:dyDescent="0.3">
      <c r="A2537" t="s">
        <v>4664</v>
      </c>
      <c r="B2537" t="str">
        <f>"000832"</f>
        <v>000832</v>
      </c>
      <c r="C2537" t="s">
        <v>5404</v>
      </c>
      <c r="K2537">
        <v>-14312499.220000001</v>
      </c>
      <c r="L2537">
        <v>-23932333.030000001</v>
      </c>
      <c r="M2537">
        <v>-22750329.719999999</v>
      </c>
      <c r="N2537">
        <v>-33595405.899999999</v>
      </c>
      <c r="O2537">
        <v>-30732513.920000002</v>
      </c>
      <c r="P2537">
        <v>6</v>
      </c>
      <c r="Q2537" t="s">
        <v>5405</v>
      </c>
    </row>
    <row r="2538" spans="1:17" x14ac:dyDescent="0.3">
      <c r="A2538" t="s">
        <v>4664</v>
      </c>
      <c r="B2538" t="str">
        <f>"000833"</f>
        <v>000833</v>
      </c>
      <c r="C2538" t="s">
        <v>5406</v>
      </c>
      <c r="D2538" t="s">
        <v>110</v>
      </c>
      <c r="F2538">
        <v>278372511</v>
      </c>
      <c r="G2538">
        <v>-52948702</v>
      </c>
      <c r="H2538">
        <v>51766439</v>
      </c>
      <c r="I2538">
        <v>97918893</v>
      </c>
      <c r="J2538">
        <v>60224613</v>
      </c>
      <c r="K2538">
        <v>-5226543</v>
      </c>
      <c r="L2538">
        <v>85216364</v>
      </c>
      <c r="M2538">
        <v>-23849556</v>
      </c>
      <c r="N2538">
        <v>-55076109</v>
      </c>
      <c r="O2538">
        <v>10812230</v>
      </c>
      <c r="P2538">
        <v>88</v>
      </c>
      <c r="Q2538" t="s">
        <v>5407</v>
      </c>
    </row>
    <row r="2539" spans="1:17" x14ac:dyDescent="0.3">
      <c r="A2539" t="s">
        <v>4664</v>
      </c>
      <c r="B2539" t="str">
        <f>"000835"</f>
        <v>000835</v>
      </c>
      <c r="C2539" t="s">
        <v>5408</v>
      </c>
      <c r="D2539" t="s">
        <v>517</v>
      </c>
      <c r="F2539">
        <v>-126664760</v>
      </c>
      <c r="G2539">
        <v>-119664965</v>
      </c>
      <c r="H2539">
        <v>-39101195</v>
      </c>
      <c r="I2539">
        <v>-19620963</v>
      </c>
      <c r="J2539">
        <v>34669356</v>
      </c>
      <c r="K2539">
        <v>-93373570</v>
      </c>
      <c r="L2539">
        <v>9155497</v>
      </c>
      <c r="M2539">
        <v>17739212</v>
      </c>
      <c r="N2539">
        <v>1609761</v>
      </c>
      <c r="O2539">
        <v>-28539620</v>
      </c>
      <c r="P2539">
        <v>69</v>
      </c>
      <c r="Q2539" t="s">
        <v>5409</v>
      </c>
    </row>
    <row r="2540" spans="1:17" x14ac:dyDescent="0.3">
      <c r="A2540" t="s">
        <v>4664</v>
      </c>
      <c r="B2540" t="str">
        <f>"000836"</f>
        <v>000836</v>
      </c>
      <c r="C2540" t="s">
        <v>5410</v>
      </c>
      <c r="D2540" t="s">
        <v>250</v>
      </c>
      <c r="F2540">
        <v>-46753335</v>
      </c>
      <c r="G2540">
        <v>1852358</v>
      </c>
      <c r="H2540">
        <v>41560786</v>
      </c>
      <c r="I2540">
        <v>79703120</v>
      </c>
      <c r="J2540">
        <v>63663205</v>
      </c>
      <c r="K2540">
        <v>28975384</v>
      </c>
      <c r="L2540">
        <v>-78037932</v>
      </c>
      <c r="M2540">
        <v>-85417034</v>
      </c>
      <c r="N2540">
        <v>30881431</v>
      </c>
      <c r="O2540">
        <v>1191174</v>
      </c>
      <c r="P2540">
        <v>135</v>
      </c>
      <c r="Q2540" t="s">
        <v>5411</v>
      </c>
    </row>
    <row r="2541" spans="1:17" x14ac:dyDescent="0.3">
      <c r="A2541" t="s">
        <v>4664</v>
      </c>
      <c r="B2541" t="str">
        <f>"000837"</f>
        <v>000837</v>
      </c>
      <c r="C2541" t="s">
        <v>5412</v>
      </c>
      <c r="D2541" t="s">
        <v>2312</v>
      </c>
      <c r="F2541">
        <v>256985501</v>
      </c>
      <c r="G2541">
        <v>121105646</v>
      </c>
      <c r="H2541">
        <v>-5732980</v>
      </c>
      <c r="I2541">
        <v>-21586629</v>
      </c>
      <c r="J2541">
        <v>9718300</v>
      </c>
      <c r="K2541">
        <v>-23854800</v>
      </c>
      <c r="L2541">
        <v>-109653905</v>
      </c>
      <c r="M2541">
        <v>2442100</v>
      </c>
      <c r="N2541">
        <v>-20495318</v>
      </c>
      <c r="O2541">
        <v>5732008</v>
      </c>
      <c r="P2541">
        <v>129</v>
      </c>
      <c r="Q2541" t="s">
        <v>5413</v>
      </c>
    </row>
    <row r="2542" spans="1:17" x14ac:dyDescent="0.3">
      <c r="A2542" t="s">
        <v>4664</v>
      </c>
      <c r="B2542" t="str">
        <f>"000838"</f>
        <v>000838</v>
      </c>
      <c r="C2542" t="s">
        <v>5414</v>
      </c>
      <c r="D2542" t="s">
        <v>104</v>
      </c>
      <c r="F2542">
        <v>-33631416</v>
      </c>
      <c r="G2542">
        <v>53771137</v>
      </c>
      <c r="H2542">
        <v>30267433</v>
      </c>
      <c r="I2542">
        <v>23328951</v>
      </c>
      <c r="J2542">
        <v>86408275</v>
      </c>
      <c r="K2542">
        <v>84552356</v>
      </c>
      <c r="L2542">
        <v>76197373</v>
      </c>
      <c r="M2542">
        <v>41865184</v>
      </c>
      <c r="N2542">
        <v>-24698564</v>
      </c>
      <c r="O2542">
        <v>-24864678</v>
      </c>
      <c r="P2542">
        <v>98</v>
      </c>
      <c r="Q2542" t="s">
        <v>5415</v>
      </c>
    </row>
    <row r="2543" spans="1:17" x14ac:dyDescent="0.3">
      <c r="A2543" t="s">
        <v>4664</v>
      </c>
      <c r="B2543" t="str">
        <f>"000839"</f>
        <v>000839</v>
      </c>
      <c r="C2543" t="s">
        <v>5416</v>
      </c>
      <c r="D2543" t="s">
        <v>110</v>
      </c>
      <c r="F2543">
        <v>-412452769</v>
      </c>
      <c r="G2543">
        <v>-139461323</v>
      </c>
      <c r="H2543">
        <v>81470603</v>
      </c>
      <c r="I2543">
        <v>5444967</v>
      </c>
      <c r="J2543">
        <v>247860681</v>
      </c>
      <c r="K2543">
        <v>218951382</v>
      </c>
      <c r="L2543">
        <v>253619045</v>
      </c>
      <c r="M2543">
        <v>94773810</v>
      </c>
      <c r="N2543">
        <v>86094368</v>
      </c>
      <c r="O2543">
        <v>110209314</v>
      </c>
      <c r="P2543">
        <v>219</v>
      </c>
      <c r="Q2543" t="s">
        <v>5417</v>
      </c>
    </row>
    <row r="2544" spans="1:17" x14ac:dyDescent="0.3">
      <c r="A2544" t="s">
        <v>4664</v>
      </c>
      <c r="B2544" t="str">
        <f>"000848"</f>
        <v>000848</v>
      </c>
      <c r="C2544" t="s">
        <v>5418</v>
      </c>
      <c r="D2544" t="s">
        <v>440</v>
      </c>
      <c r="F2544">
        <v>400351873</v>
      </c>
      <c r="G2544">
        <v>300196219</v>
      </c>
      <c r="H2544">
        <v>362827743</v>
      </c>
      <c r="I2544">
        <v>350212336</v>
      </c>
      <c r="J2544">
        <v>319074004</v>
      </c>
      <c r="K2544">
        <v>364003742</v>
      </c>
      <c r="L2544">
        <v>344391534</v>
      </c>
      <c r="M2544">
        <v>342807973</v>
      </c>
      <c r="N2544">
        <v>271048221</v>
      </c>
      <c r="O2544">
        <v>166128574</v>
      </c>
      <c r="P2544">
        <v>41202</v>
      </c>
      <c r="Q2544" t="s">
        <v>5419</v>
      </c>
    </row>
    <row r="2545" spans="1:17" x14ac:dyDescent="0.3">
      <c r="A2545" t="s">
        <v>4664</v>
      </c>
      <c r="B2545" t="str">
        <f>"000850"</f>
        <v>000850</v>
      </c>
      <c r="C2545" t="s">
        <v>5420</v>
      </c>
      <c r="D2545" t="s">
        <v>1009</v>
      </c>
      <c r="F2545">
        <v>343939191</v>
      </c>
      <c r="G2545">
        <v>253716872</v>
      </c>
      <c r="H2545">
        <v>276713598</v>
      </c>
      <c r="I2545">
        <v>133831650</v>
      </c>
      <c r="J2545">
        <v>23748273</v>
      </c>
      <c r="K2545">
        <v>61937977</v>
      </c>
      <c r="L2545">
        <v>114977269</v>
      </c>
      <c r="M2545">
        <v>26849020</v>
      </c>
      <c r="N2545">
        <v>177790645</v>
      </c>
      <c r="O2545">
        <v>272311569</v>
      </c>
      <c r="P2545">
        <v>121</v>
      </c>
      <c r="Q2545" t="s">
        <v>5421</v>
      </c>
    </row>
    <row r="2546" spans="1:17" x14ac:dyDescent="0.3">
      <c r="A2546" t="s">
        <v>4664</v>
      </c>
      <c r="B2546" t="str">
        <f>"000851"</f>
        <v>000851</v>
      </c>
      <c r="C2546" t="s">
        <v>5422</v>
      </c>
      <c r="D2546" t="s">
        <v>1019</v>
      </c>
      <c r="F2546">
        <v>24633895</v>
      </c>
      <c r="G2546">
        <v>-113252042</v>
      </c>
      <c r="H2546">
        <v>26401664</v>
      </c>
      <c r="I2546">
        <v>35733220</v>
      </c>
      <c r="J2546">
        <v>44841163</v>
      </c>
      <c r="K2546">
        <v>40867434</v>
      </c>
      <c r="L2546">
        <v>32123775</v>
      </c>
      <c r="M2546">
        <v>20143079</v>
      </c>
      <c r="N2546">
        <v>27549956</v>
      </c>
      <c r="O2546">
        <v>19527583</v>
      </c>
      <c r="P2546">
        <v>224</v>
      </c>
      <c r="Q2546" t="s">
        <v>5423</v>
      </c>
    </row>
    <row r="2547" spans="1:17" x14ac:dyDescent="0.3">
      <c r="A2547" t="s">
        <v>4664</v>
      </c>
      <c r="B2547" t="str">
        <f>"000852"</f>
        <v>000852</v>
      </c>
      <c r="C2547" t="s">
        <v>5424</v>
      </c>
      <c r="D2547" t="s">
        <v>395</v>
      </c>
      <c r="F2547">
        <v>24167569</v>
      </c>
      <c r="G2547">
        <v>5534255</v>
      </c>
      <c r="H2547">
        <v>34657312</v>
      </c>
      <c r="I2547">
        <v>-36517739</v>
      </c>
      <c r="J2547">
        <v>-125956150</v>
      </c>
      <c r="K2547">
        <v>-340696824</v>
      </c>
      <c r="L2547">
        <v>-54501933</v>
      </c>
      <c r="M2547">
        <v>31358585</v>
      </c>
      <c r="N2547">
        <v>60423739</v>
      </c>
      <c r="O2547">
        <v>87334565</v>
      </c>
      <c r="P2547">
        <v>155</v>
      </c>
      <c r="Q2547" t="s">
        <v>5425</v>
      </c>
    </row>
    <row r="2548" spans="1:17" x14ac:dyDescent="0.3">
      <c r="A2548" t="s">
        <v>4664</v>
      </c>
      <c r="B2548" t="str">
        <f>"000856"</f>
        <v>000856</v>
      </c>
      <c r="C2548" t="s">
        <v>5426</v>
      </c>
      <c r="D2548" t="s">
        <v>741</v>
      </c>
      <c r="F2548">
        <v>22823693</v>
      </c>
      <c r="G2548">
        <v>3800700</v>
      </c>
      <c r="H2548">
        <v>6154265</v>
      </c>
      <c r="I2548">
        <v>15941811</v>
      </c>
      <c r="J2548">
        <v>517888</v>
      </c>
      <c r="K2548">
        <v>57419939</v>
      </c>
      <c r="L2548">
        <v>-101919173</v>
      </c>
      <c r="M2548">
        <v>-30316661</v>
      </c>
      <c r="N2548">
        <v>-19931042</v>
      </c>
      <c r="O2548">
        <v>-14806247</v>
      </c>
      <c r="P2548">
        <v>101</v>
      </c>
      <c r="Q2548" t="s">
        <v>5427</v>
      </c>
    </row>
    <row r="2549" spans="1:17" x14ac:dyDescent="0.3">
      <c r="A2549" t="s">
        <v>4664</v>
      </c>
      <c r="B2549" t="str">
        <f>"000858"</f>
        <v>000858</v>
      </c>
      <c r="C2549" t="s">
        <v>5428</v>
      </c>
      <c r="D2549" t="s">
        <v>458</v>
      </c>
      <c r="F2549">
        <v>17327440999</v>
      </c>
      <c r="G2549">
        <v>14545454675</v>
      </c>
      <c r="H2549">
        <v>12543547316</v>
      </c>
      <c r="I2549">
        <v>9494416490</v>
      </c>
      <c r="J2549">
        <v>6964763243</v>
      </c>
      <c r="K2549">
        <v>5101313178</v>
      </c>
      <c r="L2549">
        <v>4603019814</v>
      </c>
      <c r="M2549">
        <v>4707288392</v>
      </c>
      <c r="N2549">
        <v>7103846987</v>
      </c>
      <c r="O2549">
        <v>7801870233</v>
      </c>
      <c r="P2549">
        <v>11635</v>
      </c>
      <c r="Q2549" t="s">
        <v>5429</v>
      </c>
    </row>
    <row r="2550" spans="1:17" x14ac:dyDescent="0.3">
      <c r="A2550" t="s">
        <v>4664</v>
      </c>
      <c r="B2550" t="str">
        <f>"000859"</f>
        <v>000859</v>
      </c>
      <c r="C2550" t="s">
        <v>5430</v>
      </c>
      <c r="D2550" t="s">
        <v>324</v>
      </c>
      <c r="F2550">
        <v>223423597</v>
      </c>
      <c r="G2550">
        <v>56678483</v>
      </c>
      <c r="H2550">
        <v>73789431</v>
      </c>
      <c r="I2550">
        <v>74620733</v>
      </c>
      <c r="J2550">
        <v>18189459</v>
      </c>
      <c r="K2550">
        <v>-11890649</v>
      </c>
      <c r="L2550">
        <v>-17483315</v>
      </c>
      <c r="M2550">
        <v>1066930</v>
      </c>
      <c r="N2550">
        <v>-32714619</v>
      </c>
      <c r="O2550">
        <v>6050970</v>
      </c>
      <c r="P2550">
        <v>118</v>
      </c>
      <c r="Q2550" t="s">
        <v>5431</v>
      </c>
    </row>
    <row r="2551" spans="1:17" x14ac:dyDescent="0.3">
      <c r="A2551" t="s">
        <v>4664</v>
      </c>
      <c r="B2551" t="str">
        <f>"000860"</f>
        <v>000860</v>
      </c>
      <c r="C2551" t="s">
        <v>5432</v>
      </c>
      <c r="D2551" t="s">
        <v>458</v>
      </c>
      <c r="F2551">
        <v>371854460</v>
      </c>
      <c r="G2551">
        <v>433529142</v>
      </c>
      <c r="H2551">
        <v>664692566</v>
      </c>
      <c r="I2551">
        <v>536328496</v>
      </c>
      <c r="J2551">
        <v>272204677</v>
      </c>
      <c r="K2551">
        <v>246785436</v>
      </c>
      <c r="L2551">
        <v>287953995</v>
      </c>
      <c r="M2551">
        <v>282427762</v>
      </c>
      <c r="N2551">
        <v>158947081</v>
      </c>
      <c r="O2551">
        <v>110611842</v>
      </c>
      <c r="P2551">
        <v>1515</v>
      </c>
      <c r="Q2551" t="s">
        <v>5433</v>
      </c>
    </row>
    <row r="2552" spans="1:17" x14ac:dyDescent="0.3">
      <c r="A2552" t="s">
        <v>4664</v>
      </c>
      <c r="B2552" t="str">
        <f>"000861"</f>
        <v>000861</v>
      </c>
      <c r="C2552" t="s">
        <v>5434</v>
      </c>
      <c r="D2552" t="s">
        <v>271</v>
      </c>
      <c r="F2552">
        <v>78547929</v>
      </c>
      <c r="G2552">
        <v>141483273</v>
      </c>
      <c r="H2552">
        <v>119022227</v>
      </c>
      <c r="I2552">
        <v>130707537</v>
      </c>
      <c r="J2552">
        <v>116047293</v>
      </c>
      <c r="K2552">
        <v>130010600</v>
      </c>
      <c r="L2552">
        <v>123044982</v>
      </c>
      <c r="M2552">
        <v>130472194</v>
      </c>
      <c r="N2552">
        <v>257081425</v>
      </c>
      <c r="O2552">
        <v>307039919</v>
      </c>
      <c r="P2552">
        <v>184</v>
      </c>
      <c r="Q2552" t="s">
        <v>5435</v>
      </c>
    </row>
    <row r="2553" spans="1:17" x14ac:dyDescent="0.3">
      <c r="A2553" t="s">
        <v>4664</v>
      </c>
      <c r="B2553" t="str">
        <f>"000862"</f>
        <v>000862</v>
      </c>
      <c r="C2553" t="s">
        <v>5436</v>
      </c>
      <c r="D2553" t="s">
        <v>383</v>
      </c>
      <c r="F2553">
        <v>143798815</v>
      </c>
      <c r="G2553">
        <v>29870457</v>
      </c>
      <c r="H2553">
        <v>23371598</v>
      </c>
      <c r="I2553">
        <v>59736154</v>
      </c>
      <c r="J2553">
        <v>-67368291</v>
      </c>
      <c r="K2553">
        <v>-47718594</v>
      </c>
      <c r="L2553">
        <v>-22032988</v>
      </c>
      <c r="M2553">
        <v>-26237044</v>
      </c>
      <c r="N2553">
        <v>-53658686</v>
      </c>
      <c r="O2553">
        <v>34983498</v>
      </c>
      <c r="P2553">
        <v>171</v>
      </c>
      <c r="Q2553" t="s">
        <v>5437</v>
      </c>
    </row>
    <row r="2554" spans="1:17" x14ac:dyDescent="0.3">
      <c r="A2554" t="s">
        <v>4664</v>
      </c>
      <c r="B2554" t="str">
        <f>"000863"</f>
        <v>000863</v>
      </c>
      <c r="C2554" t="s">
        <v>5438</v>
      </c>
      <c r="D2554" t="s">
        <v>104</v>
      </c>
      <c r="F2554">
        <v>321951457</v>
      </c>
      <c r="G2554">
        <v>174643664</v>
      </c>
      <c r="H2554">
        <v>345582340</v>
      </c>
      <c r="I2554">
        <v>110682700</v>
      </c>
      <c r="J2554">
        <v>61490609</v>
      </c>
      <c r="K2554">
        <v>449428729</v>
      </c>
      <c r="L2554">
        <v>13042987</v>
      </c>
      <c r="M2554">
        <v>32698455</v>
      </c>
      <c r="N2554">
        <v>42158690</v>
      </c>
      <c r="O2554">
        <v>144560599</v>
      </c>
      <c r="P2554">
        <v>171</v>
      </c>
      <c r="Q2554" t="s">
        <v>5439</v>
      </c>
    </row>
    <row r="2555" spans="1:17" x14ac:dyDescent="0.3">
      <c r="A2555" t="s">
        <v>4664</v>
      </c>
      <c r="B2555" t="str">
        <f>"000868"</f>
        <v>000868</v>
      </c>
      <c r="C2555" t="s">
        <v>5440</v>
      </c>
      <c r="D2555" t="s">
        <v>153</v>
      </c>
      <c r="F2555">
        <v>-89548822</v>
      </c>
      <c r="G2555">
        <v>266536529</v>
      </c>
      <c r="H2555">
        <v>134989054</v>
      </c>
      <c r="I2555">
        <v>-258076723</v>
      </c>
      <c r="J2555">
        <v>-83822214</v>
      </c>
      <c r="K2555">
        <v>25785962</v>
      </c>
      <c r="L2555">
        <v>31717280</v>
      </c>
      <c r="M2555">
        <v>18515997</v>
      </c>
      <c r="N2555">
        <v>-24351468</v>
      </c>
      <c r="O2555">
        <v>59182392</v>
      </c>
      <c r="P2555">
        <v>171</v>
      </c>
      <c r="Q2555" t="s">
        <v>5441</v>
      </c>
    </row>
    <row r="2556" spans="1:17" x14ac:dyDescent="0.3">
      <c r="A2556" t="s">
        <v>4664</v>
      </c>
      <c r="B2556" t="str">
        <f>"000869"</f>
        <v>000869</v>
      </c>
      <c r="C2556" t="s">
        <v>5442</v>
      </c>
      <c r="D2556" t="s">
        <v>134</v>
      </c>
      <c r="F2556">
        <v>451564279</v>
      </c>
      <c r="G2556">
        <v>403760926</v>
      </c>
      <c r="H2556">
        <v>728961623</v>
      </c>
      <c r="I2556">
        <v>769753655</v>
      </c>
      <c r="J2556">
        <v>816184462</v>
      </c>
      <c r="K2556">
        <v>824770637</v>
      </c>
      <c r="L2556">
        <v>882858457</v>
      </c>
      <c r="M2556">
        <v>799011450</v>
      </c>
      <c r="N2556">
        <v>868785925</v>
      </c>
      <c r="O2556">
        <v>1162758082</v>
      </c>
      <c r="P2556">
        <v>833</v>
      </c>
      <c r="Q2556" t="s">
        <v>5443</v>
      </c>
    </row>
    <row r="2557" spans="1:17" x14ac:dyDescent="0.3">
      <c r="A2557" t="s">
        <v>4664</v>
      </c>
      <c r="B2557" t="str">
        <f>"000875"</f>
        <v>000875</v>
      </c>
      <c r="C2557" t="s">
        <v>5444</v>
      </c>
      <c r="D2557" t="s">
        <v>239</v>
      </c>
      <c r="F2557">
        <v>676744186</v>
      </c>
      <c r="G2557">
        <v>428661611</v>
      </c>
      <c r="H2557">
        <v>296073153</v>
      </c>
      <c r="I2557">
        <v>937582</v>
      </c>
      <c r="J2557">
        <v>-109177494</v>
      </c>
      <c r="K2557">
        <v>60059415</v>
      </c>
      <c r="L2557">
        <v>58786216</v>
      </c>
      <c r="M2557">
        <v>10151637</v>
      </c>
      <c r="N2557">
        <v>34670895</v>
      </c>
      <c r="O2557">
        <v>-329195561</v>
      </c>
      <c r="P2557">
        <v>278</v>
      </c>
      <c r="Q2557" t="s">
        <v>5445</v>
      </c>
    </row>
    <row r="2558" spans="1:17" x14ac:dyDescent="0.3">
      <c r="A2558" t="s">
        <v>4664</v>
      </c>
      <c r="B2558" t="str">
        <f>"000876"</f>
        <v>000876</v>
      </c>
      <c r="C2558" t="s">
        <v>5446</v>
      </c>
      <c r="D2558" t="s">
        <v>1894</v>
      </c>
      <c r="F2558">
        <v>-6401188107</v>
      </c>
      <c r="G2558">
        <v>5084582826</v>
      </c>
      <c r="H2558">
        <v>3071592608</v>
      </c>
      <c r="I2558">
        <v>1450739720</v>
      </c>
      <c r="J2558">
        <v>1939613277</v>
      </c>
      <c r="K2558">
        <v>2113508301</v>
      </c>
      <c r="L2558">
        <v>1775113592</v>
      </c>
      <c r="M2558">
        <v>1572941267</v>
      </c>
      <c r="N2558">
        <v>1391326442</v>
      </c>
      <c r="O2558">
        <v>1473616134</v>
      </c>
      <c r="P2558">
        <v>2609</v>
      </c>
      <c r="Q2558" t="s">
        <v>5447</v>
      </c>
    </row>
    <row r="2559" spans="1:17" x14ac:dyDescent="0.3">
      <c r="A2559" t="s">
        <v>4664</v>
      </c>
      <c r="B2559" t="str">
        <f>"000877"</f>
        <v>000877</v>
      </c>
      <c r="C2559" t="s">
        <v>5448</v>
      </c>
      <c r="D2559" t="s">
        <v>731</v>
      </c>
      <c r="F2559">
        <v>9885174057</v>
      </c>
      <c r="G2559">
        <v>1144021272</v>
      </c>
      <c r="H2559">
        <v>1180982628</v>
      </c>
      <c r="I2559">
        <v>765432447</v>
      </c>
      <c r="J2559">
        <v>313834282</v>
      </c>
      <c r="K2559">
        <v>4327951</v>
      </c>
      <c r="L2559">
        <v>-323597475</v>
      </c>
      <c r="M2559">
        <v>307198441</v>
      </c>
      <c r="N2559">
        <v>302975451</v>
      </c>
      <c r="O2559">
        <v>343985313</v>
      </c>
      <c r="P2559">
        <v>742</v>
      </c>
      <c r="Q2559" t="s">
        <v>5449</v>
      </c>
    </row>
    <row r="2560" spans="1:17" x14ac:dyDescent="0.3">
      <c r="A2560" t="s">
        <v>4664</v>
      </c>
      <c r="B2560" t="str">
        <f>"000878"</f>
        <v>000878</v>
      </c>
      <c r="C2560" t="s">
        <v>5450</v>
      </c>
      <c r="D2560" t="s">
        <v>263</v>
      </c>
      <c r="F2560">
        <v>521494568</v>
      </c>
      <c r="G2560">
        <v>445926266</v>
      </c>
      <c r="H2560">
        <v>616934312</v>
      </c>
      <c r="I2560">
        <v>394263447</v>
      </c>
      <c r="J2560">
        <v>224974414</v>
      </c>
      <c r="K2560">
        <v>44544663</v>
      </c>
      <c r="L2560">
        <v>-427452380</v>
      </c>
      <c r="M2560">
        <v>92829031</v>
      </c>
      <c r="N2560">
        <v>-1515057114</v>
      </c>
      <c r="O2560">
        <v>-40448081</v>
      </c>
      <c r="P2560">
        <v>418</v>
      </c>
      <c r="Q2560" t="s">
        <v>5451</v>
      </c>
    </row>
    <row r="2561" spans="1:17" x14ac:dyDescent="0.3">
      <c r="A2561" t="s">
        <v>4664</v>
      </c>
      <c r="B2561" t="str">
        <f>"000880"</f>
        <v>000880</v>
      </c>
      <c r="C2561" t="s">
        <v>5452</v>
      </c>
      <c r="D2561" t="s">
        <v>348</v>
      </c>
      <c r="F2561">
        <v>113964708</v>
      </c>
      <c r="G2561">
        <v>86731836</v>
      </c>
      <c r="H2561">
        <v>62940584</v>
      </c>
      <c r="I2561">
        <v>60802528</v>
      </c>
      <c r="J2561">
        <v>28797058</v>
      </c>
      <c r="K2561">
        <v>20785292</v>
      </c>
      <c r="L2561">
        <v>23731982</v>
      </c>
      <c r="M2561">
        <v>40564314</v>
      </c>
      <c r="N2561">
        <v>37816116</v>
      </c>
      <c r="O2561">
        <v>67527132</v>
      </c>
      <c r="P2561">
        <v>102</v>
      </c>
      <c r="Q2561" t="s">
        <v>5453</v>
      </c>
    </row>
    <row r="2562" spans="1:17" x14ac:dyDescent="0.3">
      <c r="A2562" t="s">
        <v>4664</v>
      </c>
      <c r="B2562" t="str">
        <f>"000881"</f>
        <v>000881</v>
      </c>
      <c r="C2562" t="s">
        <v>5454</v>
      </c>
      <c r="D2562" t="s">
        <v>386</v>
      </c>
      <c r="F2562">
        <v>204150656</v>
      </c>
      <c r="G2562">
        <v>253606691</v>
      </c>
      <c r="H2562">
        <v>75610932</v>
      </c>
      <c r="I2562">
        <v>188596261</v>
      </c>
      <c r="J2562">
        <v>233346483</v>
      </c>
      <c r="K2562">
        <v>595663</v>
      </c>
      <c r="L2562">
        <v>-818741788</v>
      </c>
      <c r="M2562">
        <v>70704856</v>
      </c>
      <c r="N2562">
        <v>85441479</v>
      </c>
      <c r="O2562">
        <v>153502906</v>
      </c>
      <c r="P2562">
        <v>169</v>
      </c>
      <c r="Q2562" t="s">
        <v>5455</v>
      </c>
    </row>
    <row r="2563" spans="1:17" x14ac:dyDescent="0.3">
      <c r="A2563" t="s">
        <v>4664</v>
      </c>
      <c r="B2563" t="str">
        <f>"000882"</f>
        <v>000882</v>
      </c>
      <c r="C2563" t="s">
        <v>5456</v>
      </c>
      <c r="D2563" t="s">
        <v>633</v>
      </c>
      <c r="F2563">
        <v>10882568</v>
      </c>
      <c r="G2563">
        <v>51786675</v>
      </c>
      <c r="H2563">
        <v>217634965</v>
      </c>
      <c r="I2563">
        <v>310815519</v>
      </c>
      <c r="J2563">
        <v>29818329</v>
      </c>
      <c r="K2563">
        <v>124841437</v>
      </c>
      <c r="L2563">
        <v>233539953</v>
      </c>
      <c r="M2563">
        <v>48497011</v>
      </c>
      <c r="N2563">
        <v>42342533</v>
      </c>
      <c r="O2563">
        <v>35856465</v>
      </c>
      <c r="P2563">
        <v>114</v>
      </c>
      <c r="Q2563" t="s">
        <v>5457</v>
      </c>
    </row>
    <row r="2564" spans="1:17" x14ac:dyDescent="0.3">
      <c r="A2564" t="s">
        <v>4664</v>
      </c>
      <c r="B2564" t="str">
        <f>"000883"</f>
        <v>000883</v>
      </c>
      <c r="C2564" t="s">
        <v>5458</v>
      </c>
      <c r="D2564" t="s">
        <v>239</v>
      </c>
      <c r="F2564">
        <v>2714979695</v>
      </c>
      <c r="G2564">
        <v>2485537693</v>
      </c>
      <c r="H2564">
        <v>1514292547</v>
      </c>
      <c r="I2564">
        <v>1739528183</v>
      </c>
      <c r="J2564">
        <v>2036418767</v>
      </c>
      <c r="K2564">
        <v>1829183329</v>
      </c>
      <c r="L2564">
        <v>1783278698</v>
      </c>
      <c r="M2564">
        <v>1136410356</v>
      </c>
      <c r="N2564">
        <v>967073540</v>
      </c>
      <c r="O2564">
        <v>387458148</v>
      </c>
      <c r="P2564">
        <v>419</v>
      </c>
      <c r="Q2564" t="s">
        <v>5459</v>
      </c>
    </row>
    <row r="2565" spans="1:17" x14ac:dyDescent="0.3">
      <c r="A2565" t="s">
        <v>4664</v>
      </c>
      <c r="B2565" t="str">
        <f>"000885"</f>
        <v>000885</v>
      </c>
      <c r="C2565" t="s">
        <v>5460</v>
      </c>
      <c r="D2565" t="s">
        <v>44</v>
      </c>
      <c r="F2565">
        <v>756584051</v>
      </c>
      <c r="G2565">
        <v>297127827</v>
      </c>
      <c r="H2565">
        <v>556460594</v>
      </c>
      <c r="I2565">
        <v>436813029</v>
      </c>
      <c r="J2565">
        <v>592223026</v>
      </c>
      <c r="K2565">
        <v>2143319</v>
      </c>
      <c r="L2565">
        <v>76127703</v>
      </c>
      <c r="M2565">
        <v>105836960</v>
      </c>
      <c r="N2565">
        <v>39108912</v>
      </c>
      <c r="O2565">
        <v>138159390</v>
      </c>
      <c r="P2565">
        <v>236</v>
      </c>
      <c r="Q2565" t="s">
        <v>5461</v>
      </c>
    </row>
    <row r="2566" spans="1:17" x14ac:dyDescent="0.3">
      <c r="A2566" t="s">
        <v>4664</v>
      </c>
      <c r="B2566" t="str">
        <f>"000886"</f>
        <v>000886</v>
      </c>
      <c r="C2566" t="s">
        <v>5462</v>
      </c>
      <c r="D2566" t="s">
        <v>44</v>
      </c>
      <c r="F2566">
        <v>61925820</v>
      </c>
      <c r="G2566">
        <v>84427543</v>
      </c>
      <c r="H2566">
        <v>54518611</v>
      </c>
      <c r="I2566">
        <v>155962763</v>
      </c>
      <c r="J2566">
        <v>110696375</v>
      </c>
      <c r="K2566">
        <v>47154852</v>
      </c>
      <c r="L2566">
        <v>64686144</v>
      </c>
      <c r="M2566">
        <v>67888561</v>
      </c>
      <c r="N2566">
        <v>79869152</v>
      </c>
      <c r="O2566">
        <v>87663714</v>
      </c>
      <c r="P2566">
        <v>130</v>
      </c>
      <c r="Q2566" t="s">
        <v>5463</v>
      </c>
    </row>
    <row r="2567" spans="1:17" x14ac:dyDescent="0.3">
      <c r="A2567" t="s">
        <v>4664</v>
      </c>
      <c r="B2567" t="str">
        <f>"000887"</f>
        <v>000887</v>
      </c>
      <c r="C2567" t="s">
        <v>5464</v>
      </c>
      <c r="D2567" t="s">
        <v>985</v>
      </c>
      <c r="F2567">
        <v>818313090</v>
      </c>
      <c r="G2567">
        <v>301772727</v>
      </c>
      <c r="H2567">
        <v>600308631</v>
      </c>
      <c r="I2567">
        <v>1050585306</v>
      </c>
      <c r="J2567">
        <v>951151584</v>
      </c>
      <c r="K2567">
        <v>798662394</v>
      </c>
      <c r="L2567">
        <v>613621489</v>
      </c>
      <c r="M2567">
        <v>447378054</v>
      </c>
      <c r="N2567">
        <v>354414029</v>
      </c>
      <c r="O2567">
        <v>290901868</v>
      </c>
      <c r="P2567">
        <v>7118</v>
      </c>
      <c r="Q2567" t="s">
        <v>5465</v>
      </c>
    </row>
    <row r="2568" spans="1:17" x14ac:dyDescent="0.3">
      <c r="A2568" t="s">
        <v>4664</v>
      </c>
      <c r="B2568" t="str">
        <f>"000888"</f>
        <v>000888</v>
      </c>
      <c r="C2568" t="s">
        <v>5466</v>
      </c>
      <c r="D2568" t="s">
        <v>119</v>
      </c>
      <c r="F2568">
        <v>45307075</v>
      </c>
      <c r="G2568">
        <v>-77690398</v>
      </c>
      <c r="H2568">
        <v>186299648</v>
      </c>
      <c r="I2568">
        <v>168834244</v>
      </c>
      <c r="J2568">
        <v>151497771</v>
      </c>
      <c r="K2568">
        <v>144704540</v>
      </c>
      <c r="L2568">
        <v>141562859</v>
      </c>
      <c r="M2568">
        <v>141298006</v>
      </c>
      <c r="N2568">
        <v>110681784</v>
      </c>
      <c r="O2568">
        <v>127609410</v>
      </c>
      <c r="P2568">
        <v>218</v>
      </c>
      <c r="Q2568" t="s">
        <v>5467</v>
      </c>
    </row>
    <row r="2569" spans="1:17" x14ac:dyDescent="0.3">
      <c r="A2569" t="s">
        <v>4664</v>
      </c>
      <c r="B2569" t="str">
        <f>"000889"</f>
        <v>000889</v>
      </c>
      <c r="C2569" t="s">
        <v>5468</v>
      </c>
      <c r="D2569" t="s">
        <v>654</v>
      </c>
      <c r="F2569">
        <v>-44189283</v>
      </c>
      <c r="G2569">
        <v>28591361</v>
      </c>
      <c r="H2569">
        <v>110969136</v>
      </c>
      <c r="I2569">
        <v>161486869</v>
      </c>
      <c r="J2569">
        <v>177417975</v>
      </c>
      <c r="K2569">
        <v>172689370</v>
      </c>
      <c r="L2569">
        <v>114970228</v>
      </c>
      <c r="M2569">
        <v>77602348</v>
      </c>
      <c r="N2569">
        <v>75939398</v>
      </c>
      <c r="O2569">
        <v>60572077</v>
      </c>
      <c r="P2569">
        <v>157</v>
      </c>
      <c r="Q2569" t="s">
        <v>5469</v>
      </c>
    </row>
    <row r="2570" spans="1:17" x14ac:dyDescent="0.3">
      <c r="A2570" t="s">
        <v>4664</v>
      </c>
      <c r="B2570" t="str">
        <f>"000890"</f>
        <v>000890</v>
      </c>
      <c r="C2570" t="s">
        <v>5470</v>
      </c>
      <c r="D2570" t="s">
        <v>274</v>
      </c>
      <c r="F2570">
        <v>-15942590</v>
      </c>
      <c r="G2570">
        <v>15022756</v>
      </c>
      <c r="H2570">
        <v>-155158842</v>
      </c>
      <c r="I2570">
        <v>39457068</v>
      </c>
      <c r="J2570">
        <v>18783959</v>
      </c>
      <c r="K2570">
        <v>135909665</v>
      </c>
      <c r="L2570">
        <v>2975417</v>
      </c>
      <c r="M2570">
        <v>4102062</v>
      </c>
      <c r="N2570">
        <v>5522046</v>
      </c>
      <c r="O2570">
        <v>4518880</v>
      </c>
      <c r="P2570">
        <v>133</v>
      </c>
      <c r="Q2570" t="s">
        <v>5471</v>
      </c>
    </row>
    <row r="2571" spans="1:17" x14ac:dyDescent="0.3">
      <c r="A2571" t="s">
        <v>4664</v>
      </c>
      <c r="B2571" t="str">
        <f>"000892"</f>
        <v>000892</v>
      </c>
      <c r="C2571" t="s">
        <v>5472</v>
      </c>
      <c r="D2571" t="s">
        <v>113</v>
      </c>
      <c r="F2571">
        <v>59836711</v>
      </c>
      <c r="G2571">
        <v>-148303724</v>
      </c>
      <c r="H2571">
        <v>5668536</v>
      </c>
      <c r="I2571">
        <v>172680981</v>
      </c>
      <c r="J2571">
        <v>-20534222</v>
      </c>
      <c r="K2571">
        <v>-588126</v>
      </c>
      <c r="L2571">
        <v>-2582659</v>
      </c>
      <c r="M2571">
        <v>-1832203</v>
      </c>
      <c r="N2571">
        <v>-549981</v>
      </c>
      <c r="O2571">
        <v>562952</v>
      </c>
      <c r="P2571">
        <v>109</v>
      </c>
      <c r="Q2571" t="s">
        <v>5473</v>
      </c>
    </row>
    <row r="2572" spans="1:17" x14ac:dyDescent="0.3">
      <c r="A2572" t="s">
        <v>4664</v>
      </c>
      <c r="B2572" t="str">
        <f>"000893"</f>
        <v>000893</v>
      </c>
      <c r="C2572" t="s">
        <v>5474</v>
      </c>
      <c r="D2572" t="s">
        <v>3431</v>
      </c>
      <c r="F2572">
        <v>716492240</v>
      </c>
      <c r="G2572">
        <v>4531184</v>
      </c>
      <c r="H2572">
        <v>34240129</v>
      </c>
      <c r="I2572">
        <v>-1419544</v>
      </c>
      <c r="J2572">
        <v>-36327504</v>
      </c>
      <c r="K2572">
        <v>18308397</v>
      </c>
      <c r="L2572">
        <v>-232480077</v>
      </c>
      <c r="M2572">
        <v>-250436342</v>
      </c>
      <c r="N2572">
        <v>72649325</v>
      </c>
      <c r="O2572">
        <v>37351288</v>
      </c>
      <c r="P2572">
        <v>159</v>
      </c>
      <c r="Q2572" t="s">
        <v>5475</v>
      </c>
    </row>
    <row r="2573" spans="1:17" x14ac:dyDescent="0.3">
      <c r="A2573" t="s">
        <v>4664</v>
      </c>
      <c r="B2573" t="str">
        <f>"000895"</f>
        <v>000895</v>
      </c>
      <c r="C2573" t="s">
        <v>5476</v>
      </c>
      <c r="D2573" t="s">
        <v>170</v>
      </c>
      <c r="F2573">
        <v>3452886928</v>
      </c>
      <c r="G2573">
        <v>4938309157</v>
      </c>
      <c r="H2573">
        <v>3943102020</v>
      </c>
      <c r="I2573">
        <v>3652275949</v>
      </c>
      <c r="J2573">
        <v>3151038717</v>
      </c>
      <c r="K2573">
        <v>3277067650</v>
      </c>
      <c r="L2573">
        <v>3119281875</v>
      </c>
      <c r="M2573">
        <v>3162494901</v>
      </c>
      <c r="N2573">
        <v>2834887793</v>
      </c>
      <c r="O2573">
        <v>2098567218</v>
      </c>
      <c r="P2573">
        <v>37259</v>
      </c>
      <c r="Q2573" t="s">
        <v>5477</v>
      </c>
    </row>
    <row r="2574" spans="1:17" x14ac:dyDescent="0.3">
      <c r="A2574" t="s">
        <v>4664</v>
      </c>
      <c r="B2574" t="str">
        <f>"000897"</f>
        <v>000897</v>
      </c>
      <c r="C2574" t="s">
        <v>5478</v>
      </c>
      <c r="D2574" t="s">
        <v>104</v>
      </c>
      <c r="F2574">
        <v>510505944</v>
      </c>
      <c r="G2574">
        <v>182079287</v>
      </c>
      <c r="H2574">
        <v>-33496874</v>
      </c>
      <c r="I2574">
        <v>-36841876</v>
      </c>
      <c r="J2574">
        <v>-48419888</v>
      </c>
      <c r="K2574">
        <v>52166978</v>
      </c>
      <c r="L2574">
        <v>-58741485</v>
      </c>
      <c r="M2574">
        <v>22703408</v>
      </c>
      <c r="N2574">
        <v>-163528528</v>
      </c>
      <c r="O2574">
        <v>-36118033</v>
      </c>
      <c r="P2574">
        <v>170</v>
      </c>
      <c r="Q2574" t="s">
        <v>5479</v>
      </c>
    </row>
    <row r="2575" spans="1:17" x14ac:dyDescent="0.3">
      <c r="A2575" t="s">
        <v>4664</v>
      </c>
      <c r="B2575" t="str">
        <f>"000898"</f>
        <v>000898</v>
      </c>
      <c r="C2575" t="s">
        <v>5480</v>
      </c>
      <c r="D2575" t="s">
        <v>38</v>
      </c>
      <c r="F2575">
        <v>7489000000</v>
      </c>
      <c r="G2575">
        <v>1325000000</v>
      </c>
      <c r="H2575">
        <v>1722000000</v>
      </c>
      <c r="I2575">
        <v>6855000000</v>
      </c>
      <c r="J2575">
        <v>3285000000</v>
      </c>
      <c r="K2575">
        <v>977000000</v>
      </c>
      <c r="L2575">
        <v>-888000000</v>
      </c>
      <c r="M2575">
        <v>923000000</v>
      </c>
      <c r="N2575">
        <v>765000000</v>
      </c>
      <c r="O2575">
        <v>-3170000000</v>
      </c>
      <c r="P2575">
        <v>646</v>
      </c>
      <c r="Q2575" t="s">
        <v>5481</v>
      </c>
    </row>
    <row r="2576" spans="1:17" x14ac:dyDescent="0.3">
      <c r="A2576" t="s">
        <v>4664</v>
      </c>
      <c r="B2576" t="str">
        <f>"000899"</f>
        <v>000899</v>
      </c>
      <c r="C2576" t="s">
        <v>5482</v>
      </c>
      <c r="D2576" t="s">
        <v>41</v>
      </c>
      <c r="F2576">
        <v>-8608790</v>
      </c>
      <c r="G2576">
        <v>283093576</v>
      </c>
      <c r="H2576">
        <v>281567188</v>
      </c>
      <c r="I2576">
        <v>187155450</v>
      </c>
      <c r="J2576">
        <v>161859051</v>
      </c>
      <c r="K2576">
        <v>392758620</v>
      </c>
      <c r="L2576">
        <v>435241075</v>
      </c>
      <c r="M2576">
        <v>281718275</v>
      </c>
      <c r="N2576">
        <v>354241890</v>
      </c>
      <c r="O2576">
        <v>117815948</v>
      </c>
      <c r="P2576">
        <v>174</v>
      </c>
      <c r="Q2576" t="s">
        <v>5483</v>
      </c>
    </row>
    <row r="2577" spans="1:17" x14ac:dyDescent="0.3">
      <c r="A2577" t="s">
        <v>4664</v>
      </c>
      <c r="B2577" t="str">
        <f>"000900"</f>
        <v>000900</v>
      </c>
      <c r="C2577" t="s">
        <v>5484</v>
      </c>
      <c r="D2577" t="s">
        <v>44</v>
      </c>
      <c r="F2577">
        <v>596837962</v>
      </c>
      <c r="G2577">
        <v>442868011</v>
      </c>
      <c r="H2577">
        <v>822027791</v>
      </c>
      <c r="I2577">
        <v>800273390</v>
      </c>
      <c r="J2577">
        <v>655468086</v>
      </c>
      <c r="K2577">
        <v>540793205</v>
      </c>
      <c r="L2577">
        <v>332608988</v>
      </c>
      <c r="M2577">
        <v>291701185</v>
      </c>
      <c r="N2577">
        <v>397142012</v>
      </c>
      <c r="O2577">
        <v>453175548</v>
      </c>
      <c r="P2577">
        <v>570</v>
      </c>
      <c r="Q2577" t="s">
        <v>5485</v>
      </c>
    </row>
    <row r="2578" spans="1:17" x14ac:dyDescent="0.3">
      <c r="A2578" t="s">
        <v>4664</v>
      </c>
      <c r="B2578" t="str">
        <f>"000901"</f>
        <v>000901</v>
      </c>
      <c r="C2578" t="s">
        <v>5486</v>
      </c>
      <c r="D2578" t="s">
        <v>1136</v>
      </c>
      <c r="F2578">
        <v>19280149</v>
      </c>
      <c r="G2578">
        <v>-94687090</v>
      </c>
      <c r="H2578">
        <v>60274955</v>
      </c>
      <c r="I2578">
        <v>56602789</v>
      </c>
      <c r="J2578">
        <v>85053083</v>
      </c>
      <c r="K2578">
        <v>27910200</v>
      </c>
      <c r="L2578">
        <v>28838971</v>
      </c>
      <c r="M2578">
        <v>15885660</v>
      </c>
      <c r="N2578">
        <v>20878377</v>
      </c>
      <c r="O2578">
        <v>13188678</v>
      </c>
      <c r="P2578">
        <v>224</v>
      </c>
      <c r="Q2578" t="s">
        <v>5487</v>
      </c>
    </row>
    <row r="2579" spans="1:17" x14ac:dyDescent="0.3">
      <c r="A2579" t="s">
        <v>4664</v>
      </c>
      <c r="B2579" t="str">
        <f>"000902"</f>
        <v>000902</v>
      </c>
      <c r="C2579" t="s">
        <v>5488</v>
      </c>
      <c r="D2579" t="s">
        <v>5489</v>
      </c>
      <c r="F2579">
        <v>1050942562</v>
      </c>
      <c r="G2579">
        <v>795790478</v>
      </c>
      <c r="H2579">
        <v>642302679</v>
      </c>
      <c r="I2579">
        <v>735801885</v>
      </c>
      <c r="J2579">
        <v>593246123</v>
      </c>
      <c r="K2579">
        <v>536884474</v>
      </c>
      <c r="L2579">
        <v>627021559</v>
      </c>
      <c r="M2579">
        <v>430272958</v>
      </c>
      <c r="N2579">
        <v>-37572337</v>
      </c>
      <c r="O2579">
        <v>-27918198</v>
      </c>
      <c r="P2579">
        <v>406</v>
      </c>
      <c r="Q2579" t="s">
        <v>5490</v>
      </c>
    </row>
    <row r="2580" spans="1:17" x14ac:dyDescent="0.3">
      <c r="A2580" t="s">
        <v>4664</v>
      </c>
      <c r="B2580" t="str">
        <f>"000903"</f>
        <v>000903</v>
      </c>
      <c r="C2580" t="s">
        <v>5491</v>
      </c>
      <c r="D2580" t="s">
        <v>348</v>
      </c>
      <c r="F2580">
        <v>159975915</v>
      </c>
      <c r="G2580">
        <v>169613062</v>
      </c>
      <c r="H2580">
        <v>141162512</v>
      </c>
      <c r="I2580">
        <v>190377512</v>
      </c>
      <c r="J2580">
        <v>181678135</v>
      </c>
      <c r="K2580">
        <v>151905775</v>
      </c>
      <c r="L2580">
        <v>136079467</v>
      </c>
      <c r="M2580">
        <v>104563811</v>
      </c>
      <c r="N2580">
        <v>110486272</v>
      </c>
      <c r="O2580">
        <v>50151335</v>
      </c>
      <c r="P2580">
        <v>155</v>
      </c>
      <c r="Q2580" t="s">
        <v>5492</v>
      </c>
    </row>
    <row r="2581" spans="1:17" x14ac:dyDescent="0.3">
      <c r="A2581" t="s">
        <v>4664</v>
      </c>
      <c r="B2581" t="str">
        <f>"000905"</f>
        <v>000905</v>
      </c>
      <c r="C2581" t="s">
        <v>5493</v>
      </c>
      <c r="D2581" t="s">
        <v>51</v>
      </c>
      <c r="F2581">
        <v>189790035</v>
      </c>
      <c r="G2581">
        <v>88236862</v>
      </c>
      <c r="H2581">
        <v>71271122</v>
      </c>
      <c r="I2581">
        <v>22771835</v>
      </c>
      <c r="J2581">
        <v>93554673</v>
      </c>
      <c r="K2581">
        <v>123252667</v>
      </c>
      <c r="L2581">
        <v>142857198</v>
      </c>
      <c r="M2581">
        <v>130777507</v>
      </c>
      <c r="N2581">
        <v>152866714</v>
      </c>
      <c r="O2581">
        <v>122045961</v>
      </c>
      <c r="P2581">
        <v>213</v>
      </c>
      <c r="Q2581" t="s">
        <v>5494</v>
      </c>
    </row>
    <row r="2582" spans="1:17" x14ac:dyDescent="0.3">
      <c r="A2582" t="s">
        <v>4664</v>
      </c>
      <c r="B2582" t="str">
        <f>"000906"</f>
        <v>000906</v>
      </c>
      <c r="C2582" t="s">
        <v>5495</v>
      </c>
      <c r="D2582" t="s">
        <v>128</v>
      </c>
      <c r="F2582">
        <v>610247940</v>
      </c>
      <c r="G2582">
        <v>406449792</v>
      </c>
      <c r="H2582">
        <v>395455825</v>
      </c>
      <c r="I2582">
        <v>208675934</v>
      </c>
      <c r="J2582">
        <v>124115158</v>
      </c>
      <c r="K2582">
        <v>96058285</v>
      </c>
      <c r="L2582">
        <v>67890856</v>
      </c>
      <c r="M2582">
        <v>71241315</v>
      </c>
      <c r="N2582">
        <v>53571410</v>
      </c>
      <c r="O2582">
        <v>7217653</v>
      </c>
      <c r="P2582">
        <v>238</v>
      </c>
      <c r="Q2582" t="s">
        <v>5496</v>
      </c>
    </row>
    <row r="2583" spans="1:17" x14ac:dyDescent="0.3">
      <c r="A2583" t="s">
        <v>4664</v>
      </c>
      <c r="B2583" t="str">
        <f>"000908"</f>
        <v>000908</v>
      </c>
      <c r="C2583" t="s">
        <v>5497</v>
      </c>
      <c r="D2583" t="s">
        <v>143</v>
      </c>
      <c r="F2583">
        <v>14659045</v>
      </c>
      <c r="G2583">
        <v>75815227</v>
      </c>
      <c r="H2583">
        <v>-142943426</v>
      </c>
      <c r="I2583">
        <v>116706265</v>
      </c>
      <c r="J2583">
        <v>102967381</v>
      </c>
      <c r="K2583">
        <v>167193005</v>
      </c>
      <c r="L2583">
        <v>172337319</v>
      </c>
      <c r="M2583">
        <v>-17899649</v>
      </c>
      <c r="N2583">
        <v>-9109867</v>
      </c>
      <c r="O2583">
        <v>-28435854</v>
      </c>
      <c r="P2583">
        <v>186</v>
      </c>
      <c r="Q2583" t="s">
        <v>5498</v>
      </c>
    </row>
    <row r="2584" spans="1:17" x14ac:dyDescent="0.3">
      <c r="A2584" t="s">
        <v>4664</v>
      </c>
      <c r="B2584" t="str">
        <f>"000909"</f>
        <v>000909</v>
      </c>
      <c r="C2584" t="s">
        <v>5499</v>
      </c>
      <c r="D2584" t="s">
        <v>104</v>
      </c>
      <c r="F2584">
        <v>37998690</v>
      </c>
      <c r="G2584">
        <v>20533696</v>
      </c>
      <c r="H2584">
        <v>20248476</v>
      </c>
      <c r="I2584">
        <v>27856610</v>
      </c>
      <c r="J2584">
        <v>27220574</v>
      </c>
      <c r="K2584">
        <v>22647969</v>
      </c>
      <c r="L2584">
        <v>22486993</v>
      </c>
      <c r="M2584">
        <v>25416225</v>
      </c>
      <c r="N2584">
        <v>21740316</v>
      </c>
      <c r="O2584">
        <v>40066679</v>
      </c>
      <c r="P2584">
        <v>206</v>
      </c>
      <c r="Q2584" t="s">
        <v>5500</v>
      </c>
    </row>
    <row r="2585" spans="1:17" x14ac:dyDescent="0.3">
      <c r="A2585" t="s">
        <v>4664</v>
      </c>
      <c r="B2585" t="str">
        <f>"000910"</f>
        <v>000910</v>
      </c>
      <c r="C2585" t="s">
        <v>5501</v>
      </c>
      <c r="D2585" t="s">
        <v>178</v>
      </c>
      <c r="F2585">
        <v>479383259</v>
      </c>
      <c r="G2585">
        <v>427761460</v>
      </c>
      <c r="H2585">
        <v>467707243</v>
      </c>
      <c r="I2585">
        <v>442032553</v>
      </c>
      <c r="J2585">
        <v>363217920</v>
      </c>
      <c r="K2585">
        <v>282037487</v>
      </c>
      <c r="L2585">
        <v>154937187</v>
      </c>
      <c r="M2585">
        <v>81193076</v>
      </c>
      <c r="N2585">
        <v>60218670</v>
      </c>
      <c r="O2585">
        <v>66327901</v>
      </c>
      <c r="P2585">
        <v>813</v>
      </c>
      <c r="Q2585" t="s">
        <v>5502</v>
      </c>
    </row>
    <row r="2586" spans="1:17" x14ac:dyDescent="0.3">
      <c r="A2586" t="s">
        <v>4664</v>
      </c>
      <c r="B2586" t="str">
        <f>"000911"</f>
        <v>000911</v>
      </c>
      <c r="C2586" t="s">
        <v>5503</v>
      </c>
      <c r="D2586" t="s">
        <v>445</v>
      </c>
      <c r="F2586">
        <v>10201653</v>
      </c>
      <c r="G2586">
        <v>41592011</v>
      </c>
      <c r="H2586">
        <v>-538710335</v>
      </c>
      <c r="I2586">
        <v>-647709264</v>
      </c>
      <c r="J2586">
        <v>-99906606</v>
      </c>
      <c r="K2586">
        <v>-258392530</v>
      </c>
      <c r="L2586">
        <v>39710789</v>
      </c>
      <c r="M2586">
        <v>-145811417</v>
      </c>
      <c r="N2586">
        <v>-145586857</v>
      </c>
      <c r="O2586">
        <v>-133460268</v>
      </c>
      <c r="P2586">
        <v>334</v>
      </c>
      <c r="Q2586" t="s">
        <v>5504</v>
      </c>
    </row>
    <row r="2587" spans="1:17" x14ac:dyDescent="0.3">
      <c r="A2587" t="s">
        <v>4664</v>
      </c>
      <c r="B2587" t="str">
        <f>"000912"</f>
        <v>000912</v>
      </c>
      <c r="C2587" t="s">
        <v>5505</v>
      </c>
      <c r="D2587" t="s">
        <v>909</v>
      </c>
      <c r="F2587">
        <v>453846479</v>
      </c>
      <c r="G2587">
        <v>178237956</v>
      </c>
      <c r="H2587">
        <v>204177143</v>
      </c>
      <c r="I2587">
        <v>378329823</v>
      </c>
      <c r="J2587">
        <v>-119287025</v>
      </c>
      <c r="K2587">
        <v>-376193289</v>
      </c>
      <c r="L2587">
        <v>5188946</v>
      </c>
      <c r="M2587">
        <v>-349531731</v>
      </c>
      <c r="N2587">
        <v>-16836643</v>
      </c>
      <c r="O2587">
        <v>56111645</v>
      </c>
      <c r="P2587">
        <v>109</v>
      </c>
      <c r="Q2587" t="s">
        <v>5506</v>
      </c>
    </row>
    <row r="2588" spans="1:17" x14ac:dyDescent="0.3">
      <c r="A2588" t="s">
        <v>4664</v>
      </c>
      <c r="B2588" t="str">
        <f>"000913"</f>
        <v>000913</v>
      </c>
      <c r="C2588" t="s">
        <v>5507</v>
      </c>
      <c r="D2588" t="s">
        <v>1654</v>
      </c>
      <c r="F2588">
        <v>275011887</v>
      </c>
      <c r="G2588">
        <v>259760598</v>
      </c>
      <c r="H2588">
        <v>299387355</v>
      </c>
      <c r="I2588">
        <v>73529950</v>
      </c>
      <c r="J2588">
        <v>51076341</v>
      </c>
      <c r="K2588">
        <v>55136053</v>
      </c>
      <c r="L2588">
        <v>-31688884</v>
      </c>
      <c r="M2588">
        <v>-100854750</v>
      </c>
      <c r="N2588">
        <v>29840174</v>
      </c>
      <c r="O2588">
        <v>22021919</v>
      </c>
      <c r="P2588">
        <v>176</v>
      </c>
      <c r="Q2588" t="s">
        <v>5508</v>
      </c>
    </row>
    <row r="2589" spans="1:17" x14ac:dyDescent="0.3">
      <c r="A2589" t="s">
        <v>4664</v>
      </c>
      <c r="B2589" t="str">
        <f>"000915"</f>
        <v>000915</v>
      </c>
      <c r="C2589" t="s">
        <v>5509</v>
      </c>
      <c r="D2589" t="s">
        <v>143</v>
      </c>
      <c r="F2589">
        <v>318686319</v>
      </c>
      <c r="G2589">
        <v>227469810</v>
      </c>
      <c r="H2589">
        <v>154486939</v>
      </c>
      <c r="I2589">
        <v>143276543</v>
      </c>
      <c r="J2589">
        <v>216237657</v>
      </c>
      <c r="K2589">
        <v>159527022</v>
      </c>
      <c r="L2589">
        <v>83084177</v>
      </c>
      <c r="M2589">
        <v>138434506</v>
      </c>
      <c r="N2589">
        <v>113890221</v>
      </c>
      <c r="O2589">
        <v>83958013</v>
      </c>
      <c r="P2589">
        <v>648</v>
      </c>
      <c r="Q2589" t="s">
        <v>5510</v>
      </c>
    </row>
    <row r="2590" spans="1:17" x14ac:dyDescent="0.3">
      <c r="A2590" t="s">
        <v>4664</v>
      </c>
      <c r="B2590" t="str">
        <f>"000916"</f>
        <v>000916</v>
      </c>
      <c r="C2590" t="s">
        <v>5511</v>
      </c>
      <c r="J2590">
        <v>280697401</v>
      </c>
      <c r="K2590">
        <v>267879925.47999999</v>
      </c>
      <c r="L2590">
        <v>174546253.06</v>
      </c>
      <c r="M2590">
        <v>219687393.90000001</v>
      </c>
      <c r="N2590">
        <v>205001193.09999999</v>
      </c>
      <c r="O2590">
        <v>177626994.31999999</v>
      </c>
      <c r="P2590">
        <v>27</v>
      </c>
      <c r="Q2590" t="s">
        <v>5512</v>
      </c>
    </row>
    <row r="2591" spans="1:17" x14ac:dyDescent="0.3">
      <c r="A2591" t="s">
        <v>4664</v>
      </c>
      <c r="B2591" t="str">
        <f>"000917"</f>
        <v>000917</v>
      </c>
      <c r="C2591" t="s">
        <v>5513</v>
      </c>
      <c r="D2591" t="s">
        <v>95</v>
      </c>
      <c r="F2591">
        <v>461603965</v>
      </c>
      <c r="G2591">
        <v>-909304419</v>
      </c>
      <c r="H2591">
        <v>68283521</v>
      </c>
      <c r="I2591">
        <v>-135306655</v>
      </c>
      <c r="J2591">
        <v>109916201</v>
      </c>
      <c r="K2591">
        <v>214193488</v>
      </c>
      <c r="L2591">
        <v>343239484</v>
      </c>
      <c r="M2591">
        <v>325140298</v>
      </c>
      <c r="N2591">
        <v>402110539</v>
      </c>
      <c r="O2591">
        <v>416386304</v>
      </c>
      <c r="P2591">
        <v>266</v>
      </c>
      <c r="Q2591" t="s">
        <v>5514</v>
      </c>
    </row>
    <row r="2592" spans="1:17" x14ac:dyDescent="0.3">
      <c r="A2592" t="s">
        <v>4664</v>
      </c>
      <c r="B2592" t="str">
        <f>"000918"</f>
        <v>000918</v>
      </c>
      <c r="C2592" t="s">
        <v>5515</v>
      </c>
      <c r="D2592" t="s">
        <v>104</v>
      </c>
      <c r="F2592">
        <v>-563581742</v>
      </c>
      <c r="G2592">
        <v>-1001850736</v>
      </c>
      <c r="H2592">
        <v>-439983345</v>
      </c>
      <c r="I2592">
        <v>-539261256</v>
      </c>
      <c r="J2592">
        <v>-992677281</v>
      </c>
      <c r="K2592">
        <v>-1249081642</v>
      </c>
      <c r="L2592">
        <v>-586061827</v>
      </c>
      <c r="M2592">
        <v>-58276779</v>
      </c>
      <c r="N2592">
        <v>50741229</v>
      </c>
      <c r="O2592">
        <v>-155589385</v>
      </c>
      <c r="P2592">
        <v>123</v>
      </c>
      <c r="Q2592" t="s">
        <v>5516</v>
      </c>
    </row>
    <row r="2593" spans="1:17" x14ac:dyDescent="0.3">
      <c r="A2593" t="s">
        <v>4664</v>
      </c>
      <c r="B2593" t="str">
        <f>"000919"</f>
        <v>000919</v>
      </c>
      <c r="C2593" t="s">
        <v>5517</v>
      </c>
      <c r="D2593" t="s">
        <v>188</v>
      </c>
      <c r="F2593">
        <v>97517500</v>
      </c>
      <c r="G2593">
        <v>77601424</v>
      </c>
      <c r="H2593">
        <v>236375813</v>
      </c>
      <c r="I2593">
        <v>119325420</v>
      </c>
      <c r="J2593">
        <v>143087250</v>
      </c>
      <c r="K2593">
        <v>153359725</v>
      </c>
      <c r="L2593">
        <v>161946158</v>
      </c>
      <c r="M2593">
        <v>161699532</v>
      </c>
      <c r="N2593">
        <v>121513135</v>
      </c>
      <c r="O2593">
        <v>101470672</v>
      </c>
      <c r="P2593">
        <v>179</v>
      </c>
      <c r="Q2593" t="s">
        <v>5518</v>
      </c>
    </row>
    <row r="2594" spans="1:17" x14ac:dyDescent="0.3">
      <c r="A2594" t="s">
        <v>4664</v>
      </c>
      <c r="B2594" t="str">
        <f>"000920"</f>
        <v>000920</v>
      </c>
      <c r="C2594" t="s">
        <v>5519</v>
      </c>
      <c r="D2594" t="s">
        <v>33</v>
      </c>
      <c r="F2594">
        <v>102985832</v>
      </c>
      <c r="G2594">
        <v>63970698</v>
      </c>
      <c r="H2594">
        <v>69667553</v>
      </c>
      <c r="I2594">
        <v>66640808</v>
      </c>
      <c r="J2594">
        <v>91335767</v>
      </c>
      <c r="K2594">
        <v>80946213</v>
      </c>
      <c r="L2594">
        <v>54453634</v>
      </c>
      <c r="M2594">
        <v>132930327</v>
      </c>
      <c r="N2594">
        <v>37474257</v>
      </c>
      <c r="O2594">
        <v>50843965</v>
      </c>
      <c r="P2594">
        <v>122</v>
      </c>
      <c r="Q2594" t="s">
        <v>5520</v>
      </c>
    </row>
    <row r="2595" spans="1:17" x14ac:dyDescent="0.3">
      <c r="A2595" t="s">
        <v>4664</v>
      </c>
      <c r="B2595" t="str">
        <f>"000921"</f>
        <v>000921</v>
      </c>
      <c r="C2595" t="s">
        <v>5521</v>
      </c>
      <c r="D2595" t="s">
        <v>1723</v>
      </c>
      <c r="F2595">
        <v>926433145</v>
      </c>
      <c r="G2595">
        <v>1002247434</v>
      </c>
      <c r="H2595">
        <v>1348955620</v>
      </c>
      <c r="I2595">
        <v>1170523001</v>
      </c>
      <c r="J2595">
        <v>1729646162</v>
      </c>
      <c r="K2595">
        <v>863374128</v>
      </c>
      <c r="L2595">
        <v>459700621</v>
      </c>
      <c r="M2595">
        <v>711872415</v>
      </c>
      <c r="N2595">
        <v>1178214684</v>
      </c>
      <c r="O2595">
        <v>594995891</v>
      </c>
      <c r="P2595">
        <v>13182</v>
      </c>
      <c r="Q2595" t="s">
        <v>5522</v>
      </c>
    </row>
    <row r="2596" spans="1:17" x14ac:dyDescent="0.3">
      <c r="A2596" t="s">
        <v>4664</v>
      </c>
      <c r="B2596" t="str">
        <f>"000922"</f>
        <v>000922</v>
      </c>
      <c r="C2596" t="s">
        <v>5523</v>
      </c>
      <c r="D2596" t="s">
        <v>1171</v>
      </c>
      <c r="F2596">
        <v>185417202</v>
      </c>
      <c r="G2596">
        <v>390715126</v>
      </c>
      <c r="H2596">
        <v>273543704</v>
      </c>
      <c r="I2596">
        <v>258239466</v>
      </c>
      <c r="J2596">
        <v>52810536</v>
      </c>
      <c r="K2596">
        <v>-274627738</v>
      </c>
      <c r="L2596">
        <v>-163604897</v>
      </c>
      <c r="M2596">
        <v>141182472</v>
      </c>
      <c r="N2596">
        <v>94087354</v>
      </c>
      <c r="O2596">
        <v>156928635</v>
      </c>
      <c r="P2596">
        <v>261</v>
      </c>
      <c r="Q2596" t="s">
        <v>5524</v>
      </c>
    </row>
    <row r="2597" spans="1:17" x14ac:dyDescent="0.3">
      <c r="A2597" t="s">
        <v>4664</v>
      </c>
      <c r="B2597" t="str">
        <f>"000923"</f>
        <v>000923</v>
      </c>
      <c r="C2597" t="s">
        <v>5525</v>
      </c>
      <c r="D2597" t="s">
        <v>2367</v>
      </c>
      <c r="F2597">
        <v>1335775291</v>
      </c>
      <c r="G2597">
        <v>611743734</v>
      </c>
      <c r="H2597">
        <v>407277768</v>
      </c>
      <c r="I2597">
        <v>71930297</v>
      </c>
      <c r="J2597">
        <v>299886574</v>
      </c>
      <c r="K2597">
        <v>-31212601</v>
      </c>
      <c r="L2597">
        <v>-31956370</v>
      </c>
      <c r="M2597">
        <v>1417567</v>
      </c>
      <c r="N2597">
        <v>1988677</v>
      </c>
      <c r="O2597">
        <v>2148806</v>
      </c>
      <c r="P2597">
        <v>224</v>
      </c>
      <c r="Q2597" t="s">
        <v>5526</v>
      </c>
    </row>
    <row r="2598" spans="1:17" x14ac:dyDescent="0.3">
      <c r="A2598" t="s">
        <v>4664</v>
      </c>
      <c r="B2598" t="str">
        <f>"000925"</f>
        <v>000925</v>
      </c>
      <c r="C2598" t="s">
        <v>5527</v>
      </c>
      <c r="D2598" t="s">
        <v>1012</v>
      </c>
      <c r="F2598">
        <v>106923071</v>
      </c>
      <c r="G2598">
        <v>1380654</v>
      </c>
      <c r="H2598">
        <v>83876312</v>
      </c>
      <c r="I2598">
        <v>40912886</v>
      </c>
      <c r="J2598">
        <v>29628852</v>
      </c>
      <c r="K2598">
        <v>-26224160</v>
      </c>
      <c r="L2598">
        <v>8003024</v>
      </c>
      <c r="M2598">
        <v>-23767968</v>
      </c>
      <c r="N2598">
        <v>-2219449</v>
      </c>
      <c r="O2598">
        <v>27389373</v>
      </c>
      <c r="P2598">
        <v>188</v>
      </c>
      <c r="Q2598" t="s">
        <v>5528</v>
      </c>
    </row>
    <row r="2599" spans="1:17" x14ac:dyDescent="0.3">
      <c r="A2599" t="s">
        <v>4664</v>
      </c>
      <c r="B2599" t="str">
        <f>"000926"</f>
        <v>000926</v>
      </c>
      <c r="C2599" t="s">
        <v>5529</v>
      </c>
      <c r="D2599" t="s">
        <v>104</v>
      </c>
      <c r="F2599">
        <v>116015102</v>
      </c>
      <c r="G2599">
        <v>209016163</v>
      </c>
      <c r="H2599">
        <v>406452934</v>
      </c>
      <c r="I2599">
        <v>670954204</v>
      </c>
      <c r="J2599">
        <v>820182764</v>
      </c>
      <c r="K2599">
        <v>668469093</v>
      </c>
      <c r="L2599">
        <v>509486713</v>
      </c>
      <c r="M2599">
        <v>579820974</v>
      </c>
      <c r="N2599">
        <v>492002152</v>
      </c>
      <c r="O2599">
        <v>395227273</v>
      </c>
      <c r="P2599">
        <v>239</v>
      </c>
      <c r="Q2599" t="s">
        <v>5530</v>
      </c>
    </row>
    <row r="2600" spans="1:17" x14ac:dyDescent="0.3">
      <c r="A2600" t="s">
        <v>4664</v>
      </c>
      <c r="B2600" t="str">
        <f>"000927"</f>
        <v>000927</v>
      </c>
      <c r="C2600" t="s">
        <v>5531</v>
      </c>
      <c r="D2600" t="s">
        <v>247</v>
      </c>
      <c r="F2600">
        <v>760031210</v>
      </c>
      <c r="G2600">
        <v>329747667</v>
      </c>
      <c r="H2600">
        <v>-700523733</v>
      </c>
      <c r="I2600">
        <v>-1002942706</v>
      </c>
      <c r="J2600">
        <v>-1123453958</v>
      </c>
      <c r="K2600">
        <v>-825224059</v>
      </c>
      <c r="L2600">
        <v>-853978704</v>
      </c>
      <c r="M2600">
        <v>-694951670</v>
      </c>
      <c r="N2600">
        <v>-99297666</v>
      </c>
      <c r="O2600">
        <v>83187031</v>
      </c>
      <c r="P2600">
        <v>131</v>
      </c>
      <c r="Q2600" t="s">
        <v>5532</v>
      </c>
    </row>
    <row r="2601" spans="1:17" x14ac:dyDescent="0.3">
      <c r="A2601" t="s">
        <v>4664</v>
      </c>
      <c r="B2601" t="str">
        <f>"000928"</f>
        <v>000928</v>
      </c>
      <c r="C2601" t="s">
        <v>5533</v>
      </c>
      <c r="D2601" t="s">
        <v>1887</v>
      </c>
      <c r="F2601">
        <v>516173965</v>
      </c>
      <c r="G2601">
        <v>297007073</v>
      </c>
      <c r="H2601">
        <v>302335313</v>
      </c>
      <c r="I2601">
        <v>281687546</v>
      </c>
      <c r="J2601">
        <v>323419816</v>
      </c>
      <c r="K2601">
        <v>368995152</v>
      </c>
      <c r="L2601">
        <v>368008119</v>
      </c>
      <c r="M2601">
        <v>72124054</v>
      </c>
      <c r="N2601">
        <v>-289744488</v>
      </c>
      <c r="O2601">
        <v>-102424630</v>
      </c>
      <c r="P2601">
        <v>271</v>
      </c>
      <c r="Q2601" t="s">
        <v>5534</v>
      </c>
    </row>
    <row r="2602" spans="1:17" x14ac:dyDescent="0.3">
      <c r="A2602" t="s">
        <v>4664</v>
      </c>
      <c r="B2602" t="str">
        <f>"000929"</f>
        <v>000929</v>
      </c>
      <c r="C2602" t="s">
        <v>5535</v>
      </c>
      <c r="D2602" t="s">
        <v>319</v>
      </c>
      <c r="F2602">
        <v>39565345</v>
      </c>
      <c r="G2602">
        <v>-20214230</v>
      </c>
      <c r="H2602">
        <v>16649726</v>
      </c>
      <c r="I2602">
        <v>-33902357</v>
      </c>
      <c r="J2602">
        <v>21409893</v>
      </c>
      <c r="K2602">
        <v>-19135588</v>
      </c>
      <c r="L2602">
        <v>79788286</v>
      </c>
      <c r="M2602">
        <v>45097808</v>
      </c>
      <c r="N2602">
        <v>27059539</v>
      </c>
      <c r="O2602">
        <v>9638293</v>
      </c>
      <c r="P2602">
        <v>144</v>
      </c>
      <c r="Q2602" t="s">
        <v>5536</v>
      </c>
    </row>
    <row r="2603" spans="1:17" x14ac:dyDescent="0.3">
      <c r="A2603" t="s">
        <v>4664</v>
      </c>
      <c r="B2603" t="str">
        <f>"000930"</f>
        <v>000930</v>
      </c>
      <c r="C2603" t="s">
        <v>5537</v>
      </c>
      <c r="D2603" t="s">
        <v>445</v>
      </c>
      <c r="F2603">
        <v>940838022</v>
      </c>
      <c r="G2603">
        <v>533746977</v>
      </c>
      <c r="H2603">
        <v>389164440</v>
      </c>
      <c r="I2603">
        <v>339580090</v>
      </c>
      <c r="J2603">
        <v>215477402</v>
      </c>
      <c r="K2603">
        <v>105952746</v>
      </c>
      <c r="L2603">
        <v>-511570027</v>
      </c>
      <c r="M2603">
        <v>32458497</v>
      </c>
      <c r="N2603">
        <v>58976809</v>
      </c>
      <c r="O2603">
        <v>111660906</v>
      </c>
      <c r="P2603">
        <v>378</v>
      </c>
      <c r="Q2603" t="s">
        <v>5538</v>
      </c>
    </row>
    <row r="2604" spans="1:17" x14ac:dyDescent="0.3">
      <c r="A2604" t="s">
        <v>4664</v>
      </c>
      <c r="B2604" t="str">
        <f>"000931"</f>
        <v>000931</v>
      </c>
      <c r="C2604" t="s">
        <v>5539</v>
      </c>
      <c r="D2604" t="s">
        <v>143</v>
      </c>
      <c r="F2604">
        <v>-49955956</v>
      </c>
      <c r="G2604">
        <v>22473107</v>
      </c>
      <c r="H2604">
        <v>101777367</v>
      </c>
      <c r="I2604">
        <v>98256579</v>
      </c>
      <c r="J2604">
        <v>-29306994</v>
      </c>
      <c r="K2604">
        <v>5643703</v>
      </c>
      <c r="L2604">
        <v>163167570</v>
      </c>
      <c r="M2604">
        <v>-29594779</v>
      </c>
      <c r="N2604">
        <v>-16971638</v>
      </c>
      <c r="O2604">
        <v>50834107</v>
      </c>
      <c r="P2604">
        <v>142</v>
      </c>
      <c r="Q2604" t="s">
        <v>5540</v>
      </c>
    </row>
    <row r="2605" spans="1:17" x14ac:dyDescent="0.3">
      <c r="A2605" t="s">
        <v>4664</v>
      </c>
      <c r="B2605" t="str">
        <f>"000932"</f>
        <v>000932</v>
      </c>
      <c r="C2605" t="s">
        <v>5541</v>
      </c>
      <c r="D2605" t="s">
        <v>38</v>
      </c>
      <c r="F2605">
        <v>7763899489</v>
      </c>
      <c r="G2605">
        <v>4837457117</v>
      </c>
      <c r="H2605">
        <v>3393579094</v>
      </c>
      <c r="I2605">
        <v>5475815323</v>
      </c>
      <c r="J2605">
        <v>2571545653</v>
      </c>
      <c r="K2605">
        <v>-1096237057</v>
      </c>
      <c r="L2605">
        <v>-1096445956</v>
      </c>
      <c r="M2605">
        <v>43059568</v>
      </c>
      <c r="N2605">
        <v>-274884272</v>
      </c>
      <c r="O2605">
        <v>-2549988451</v>
      </c>
      <c r="P2605">
        <v>1039</v>
      </c>
      <c r="Q2605" t="s">
        <v>5542</v>
      </c>
    </row>
    <row r="2606" spans="1:17" x14ac:dyDescent="0.3">
      <c r="A2606" t="s">
        <v>4664</v>
      </c>
      <c r="B2606" t="str">
        <f>"000933"</f>
        <v>000933</v>
      </c>
      <c r="C2606" t="s">
        <v>5543</v>
      </c>
      <c r="D2606" t="s">
        <v>504</v>
      </c>
      <c r="F2606">
        <v>2299254792</v>
      </c>
      <c r="G2606">
        <v>492749089</v>
      </c>
      <c r="H2606">
        <v>2523361851</v>
      </c>
      <c r="I2606">
        <v>291627084</v>
      </c>
      <c r="J2606">
        <v>888586151</v>
      </c>
      <c r="K2606">
        <v>825743928</v>
      </c>
      <c r="L2606">
        <v>-849821553</v>
      </c>
      <c r="M2606">
        <v>-351392646</v>
      </c>
      <c r="N2606">
        <v>257062010</v>
      </c>
      <c r="O2606">
        <v>439233653</v>
      </c>
      <c r="P2606">
        <v>461</v>
      </c>
      <c r="Q2606" t="s">
        <v>5544</v>
      </c>
    </row>
    <row r="2607" spans="1:17" x14ac:dyDescent="0.3">
      <c r="A2607" t="s">
        <v>4664</v>
      </c>
      <c r="B2607" t="str">
        <f>"000935"</f>
        <v>000935</v>
      </c>
      <c r="C2607" t="s">
        <v>5545</v>
      </c>
      <c r="D2607" t="s">
        <v>731</v>
      </c>
      <c r="F2607">
        <v>649769121</v>
      </c>
      <c r="G2607">
        <v>696255709</v>
      </c>
      <c r="H2607">
        <v>560642242</v>
      </c>
      <c r="I2607">
        <v>497701296</v>
      </c>
      <c r="J2607">
        <v>93686303</v>
      </c>
      <c r="K2607">
        <v>46379027</v>
      </c>
      <c r="L2607">
        <v>-86490747</v>
      </c>
      <c r="M2607">
        <v>26061620</v>
      </c>
      <c r="N2607">
        <v>6868853</v>
      </c>
      <c r="O2607">
        <v>-8630787</v>
      </c>
      <c r="P2607">
        <v>230</v>
      </c>
      <c r="Q2607" t="s">
        <v>5546</v>
      </c>
    </row>
    <row r="2608" spans="1:17" x14ac:dyDescent="0.3">
      <c r="A2608" t="s">
        <v>4664</v>
      </c>
      <c r="B2608" t="str">
        <f>"000936"</f>
        <v>000936</v>
      </c>
      <c r="C2608" t="s">
        <v>5547</v>
      </c>
      <c r="D2608" t="s">
        <v>2708</v>
      </c>
      <c r="F2608">
        <v>311840673</v>
      </c>
      <c r="G2608">
        <v>-327899553</v>
      </c>
      <c r="H2608">
        <v>476206106</v>
      </c>
      <c r="I2608">
        <v>293193182</v>
      </c>
      <c r="J2608">
        <v>129775612</v>
      </c>
      <c r="K2608">
        <v>536151586</v>
      </c>
      <c r="L2608">
        <v>66305617</v>
      </c>
      <c r="M2608">
        <v>29454591</v>
      </c>
      <c r="N2608">
        <v>23527777</v>
      </c>
      <c r="O2608">
        <v>119690477</v>
      </c>
      <c r="P2608">
        <v>226</v>
      </c>
      <c r="Q2608" t="s">
        <v>5548</v>
      </c>
    </row>
    <row r="2609" spans="1:17" x14ac:dyDescent="0.3">
      <c r="A2609" t="s">
        <v>4664</v>
      </c>
      <c r="B2609" t="str">
        <f>"000937"</f>
        <v>000937</v>
      </c>
      <c r="C2609" t="s">
        <v>5549</v>
      </c>
      <c r="D2609" t="s">
        <v>298</v>
      </c>
      <c r="F2609">
        <v>1366915396</v>
      </c>
      <c r="G2609">
        <v>820092622</v>
      </c>
      <c r="H2609">
        <v>731611294</v>
      </c>
      <c r="I2609">
        <v>848727434</v>
      </c>
      <c r="J2609">
        <v>841378030</v>
      </c>
      <c r="K2609">
        <v>81116809</v>
      </c>
      <c r="L2609">
        <v>1690171</v>
      </c>
      <c r="M2609">
        <v>40786562</v>
      </c>
      <c r="N2609">
        <v>840809008</v>
      </c>
      <c r="O2609">
        <v>1834807191</v>
      </c>
      <c r="P2609">
        <v>350</v>
      </c>
      <c r="Q2609" t="s">
        <v>5550</v>
      </c>
    </row>
    <row r="2610" spans="1:17" x14ac:dyDescent="0.3">
      <c r="A2610" t="s">
        <v>4664</v>
      </c>
      <c r="B2610" t="str">
        <f>"000938"</f>
        <v>000938</v>
      </c>
      <c r="C2610" t="s">
        <v>5551</v>
      </c>
      <c r="D2610" t="s">
        <v>316</v>
      </c>
      <c r="F2610">
        <v>1601605638</v>
      </c>
      <c r="G2610">
        <v>1295501168</v>
      </c>
      <c r="H2610">
        <v>1241820950</v>
      </c>
      <c r="I2610">
        <v>1162221567</v>
      </c>
      <c r="J2610">
        <v>1126124996</v>
      </c>
      <c r="K2610">
        <v>519734600</v>
      </c>
      <c r="L2610">
        <v>116296872</v>
      </c>
      <c r="M2610">
        <v>76095939</v>
      </c>
      <c r="N2610">
        <v>60101176</v>
      </c>
      <c r="O2610">
        <v>46348209</v>
      </c>
      <c r="P2610">
        <v>3894</v>
      </c>
      <c r="Q2610" t="s">
        <v>5552</v>
      </c>
    </row>
    <row r="2611" spans="1:17" x14ac:dyDescent="0.3">
      <c r="A2611" t="s">
        <v>4664</v>
      </c>
      <c r="B2611" t="str">
        <f>"000939"</f>
        <v>000939</v>
      </c>
      <c r="C2611" t="s">
        <v>5553</v>
      </c>
      <c r="G2611">
        <v>-1100178935</v>
      </c>
      <c r="H2611">
        <v>-1423883237</v>
      </c>
      <c r="I2611">
        <v>-1734197683</v>
      </c>
      <c r="J2611">
        <v>174977616</v>
      </c>
      <c r="K2611">
        <v>169034148</v>
      </c>
      <c r="L2611">
        <v>235961263</v>
      </c>
      <c r="M2611">
        <v>130808487</v>
      </c>
      <c r="N2611">
        <v>56208752</v>
      </c>
      <c r="O2611">
        <v>43188660</v>
      </c>
      <c r="P2611">
        <v>61</v>
      </c>
      <c r="Q2611" t="s">
        <v>5554</v>
      </c>
    </row>
    <row r="2612" spans="1:17" x14ac:dyDescent="0.3">
      <c r="A2612" t="s">
        <v>4664</v>
      </c>
      <c r="B2612" t="str">
        <f>"000948"</f>
        <v>000948</v>
      </c>
      <c r="C2612" t="s">
        <v>5555</v>
      </c>
      <c r="D2612" t="s">
        <v>945</v>
      </c>
      <c r="F2612">
        <v>33309516</v>
      </c>
      <c r="G2612">
        <v>2449095</v>
      </c>
      <c r="H2612">
        <v>-19533014</v>
      </c>
      <c r="I2612">
        <v>19958939</v>
      </c>
      <c r="J2612">
        <v>-50352647</v>
      </c>
      <c r="K2612">
        <v>-49069951</v>
      </c>
      <c r="L2612">
        <v>-49246764</v>
      </c>
      <c r="M2612">
        <v>-34893417</v>
      </c>
      <c r="N2612">
        <v>-45566317</v>
      </c>
      <c r="O2612">
        <v>419434</v>
      </c>
      <c r="P2612">
        <v>213</v>
      </c>
      <c r="Q2612" t="s">
        <v>5556</v>
      </c>
    </row>
    <row r="2613" spans="1:17" x14ac:dyDescent="0.3">
      <c r="A2613" t="s">
        <v>4664</v>
      </c>
      <c r="B2613" t="str">
        <f>"000949"</f>
        <v>000949</v>
      </c>
      <c r="C2613" t="s">
        <v>5557</v>
      </c>
      <c r="D2613" t="s">
        <v>5558</v>
      </c>
      <c r="F2613">
        <v>1289353577</v>
      </c>
      <c r="G2613">
        <v>25377874</v>
      </c>
      <c r="H2613">
        <v>100548137</v>
      </c>
      <c r="I2613">
        <v>87498773</v>
      </c>
      <c r="J2613">
        <v>60417230</v>
      </c>
      <c r="K2613">
        <v>109324251</v>
      </c>
      <c r="L2613">
        <v>114933106</v>
      </c>
      <c r="M2613">
        <v>73179150</v>
      </c>
      <c r="N2613">
        <v>14521285</v>
      </c>
      <c r="O2613">
        <v>-134723169</v>
      </c>
      <c r="P2613">
        <v>157</v>
      </c>
      <c r="Q2613" t="s">
        <v>5559</v>
      </c>
    </row>
    <row r="2614" spans="1:17" x14ac:dyDescent="0.3">
      <c r="A2614" t="s">
        <v>4664</v>
      </c>
      <c r="B2614" t="str">
        <f>"000950"</f>
        <v>000950</v>
      </c>
      <c r="C2614" t="s">
        <v>5560</v>
      </c>
      <c r="D2614" t="s">
        <v>125</v>
      </c>
      <c r="F2614">
        <v>681536778</v>
      </c>
      <c r="G2614">
        <v>611798690</v>
      </c>
      <c r="H2614">
        <v>645139122</v>
      </c>
      <c r="I2614">
        <v>448008482</v>
      </c>
      <c r="J2614">
        <v>915097944</v>
      </c>
      <c r="K2614">
        <v>-548219578</v>
      </c>
      <c r="L2614">
        <v>-219542177</v>
      </c>
      <c r="M2614">
        <v>-276322530</v>
      </c>
      <c r="N2614">
        <v>9931712</v>
      </c>
      <c r="O2614">
        <v>63332857</v>
      </c>
      <c r="P2614">
        <v>145</v>
      </c>
      <c r="Q2614" t="s">
        <v>5561</v>
      </c>
    </row>
    <row r="2615" spans="1:17" x14ac:dyDescent="0.3">
      <c r="A2615" t="s">
        <v>4664</v>
      </c>
      <c r="B2615" t="str">
        <f>"000951"</f>
        <v>000951</v>
      </c>
      <c r="C2615" t="s">
        <v>5562</v>
      </c>
      <c r="D2615" t="s">
        <v>27</v>
      </c>
      <c r="F2615">
        <v>1150653256</v>
      </c>
      <c r="G2615">
        <v>1311390309</v>
      </c>
      <c r="H2615">
        <v>820154265</v>
      </c>
      <c r="I2615">
        <v>732070556</v>
      </c>
      <c r="J2615">
        <v>712141216</v>
      </c>
      <c r="K2615">
        <v>226477990</v>
      </c>
      <c r="L2615">
        <v>199841085</v>
      </c>
      <c r="M2615">
        <v>369970304</v>
      </c>
      <c r="N2615">
        <v>264753853</v>
      </c>
      <c r="O2615">
        <v>22392105</v>
      </c>
      <c r="P2615">
        <v>856</v>
      </c>
      <c r="Q2615" t="s">
        <v>5563</v>
      </c>
    </row>
    <row r="2616" spans="1:17" x14ac:dyDescent="0.3">
      <c r="A2616" t="s">
        <v>4664</v>
      </c>
      <c r="B2616" t="str">
        <f>"000952"</f>
        <v>000952</v>
      </c>
      <c r="C2616" t="s">
        <v>5564</v>
      </c>
      <c r="D2616" t="s">
        <v>496</v>
      </c>
      <c r="F2616">
        <v>74183482</v>
      </c>
      <c r="G2616">
        <v>47818950</v>
      </c>
      <c r="H2616">
        <v>104199098</v>
      </c>
      <c r="I2616">
        <v>132248598</v>
      </c>
      <c r="J2616">
        <v>82045827</v>
      </c>
      <c r="K2616">
        <v>124807667</v>
      </c>
      <c r="L2616">
        <v>-19624477</v>
      </c>
      <c r="M2616">
        <v>-61216799</v>
      </c>
      <c r="N2616">
        <v>153867</v>
      </c>
      <c r="O2616">
        <v>-47076043</v>
      </c>
      <c r="P2616">
        <v>169</v>
      </c>
      <c r="Q2616" t="s">
        <v>5565</v>
      </c>
    </row>
    <row r="2617" spans="1:17" x14ac:dyDescent="0.3">
      <c r="A2617" t="s">
        <v>4664</v>
      </c>
      <c r="B2617" t="str">
        <f>"000953"</f>
        <v>000953</v>
      </c>
      <c r="C2617" t="s">
        <v>5566</v>
      </c>
      <c r="D2617" t="s">
        <v>909</v>
      </c>
      <c r="F2617">
        <v>3280557</v>
      </c>
      <c r="G2617">
        <v>46602756</v>
      </c>
      <c r="H2617">
        <v>-50402237</v>
      </c>
      <c r="I2617">
        <v>-97594108</v>
      </c>
      <c r="J2617">
        <v>-298117</v>
      </c>
      <c r="K2617">
        <v>-101076826</v>
      </c>
      <c r="L2617">
        <v>-63095121</v>
      </c>
      <c r="M2617">
        <v>44223216</v>
      </c>
      <c r="N2617">
        <v>-78795237</v>
      </c>
      <c r="O2617">
        <v>21513724</v>
      </c>
      <c r="P2617">
        <v>90</v>
      </c>
      <c r="Q2617" t="s">
        <v>5567</v>
      </c>
    </row>
    <row r="2618" spans="1:17" x14ac:dyDescent="0.3">
      <c r="A2618" t="s">
        <v>4664</v>
      </c>
      <c r="B2618" t="str">
        <f>"000955"</f>
        <v>000955</v>
      </c>
      <c r="C2618" t="s">
        <v>5568</v>
      </c>
      <c r="D2618" t="s">
        <v>366</v>
      </c>
      <c r="F2618">
        <v>6591003</v>
      </c>
      <c r="G2618">
        <v>212214166</v>
      </c>
      <c r="H2618">
        <v>-11215941</v>
      </c>
      <c r="I2618">
        <v>-34756762</v>
      </c>
      <c r="J2618">
        <v>-45640753</v>
      </c>
      <c r="K2618">
        <v>-17841897</v>
      </c>
      <c r="L2618">
        <v>-26644990</v>
      </c>
      <c r="M2618">
        <v>-8906969</v>
      </c>
      <c r="N2618">
        <v>-18910977</v>
      </c>
      <c r="O2618">
        <v>-8632586</v>
      </c>
      <c r="P2618">
        <v>241</v>
      </c>
      <c r="Q2618" t="s">
        <v>5569</v>
      </c>
    </row>
    <row r="2619" spans="1:17" x14ac:dyDescent="0.3">
      <c r="A2619" t="s">
        <v>4664</v>
      </c>
      <c r="B2619" t="str">
        <f>"000957"</f>
        <v>000957</v>
      </c>
      <c r="C2619" t="s">
        <v>5570</v>
      </c>
      <c r="D2619" t="s">
        <v>153</v>
      </c>
      <c r="F2619">
        <v>-220666226</v>
      </c>
      <c r="G2619">
        <v>11164221</v>
      </c>
      <c r="H2619">
        <v>55373958</v>
      </c>
      <c r="I2619">
        <v>33688728</v>
      </c>
      <c r="J2619">
        <v>121920861</v>
      </c>
      <c r="K2619">
        <v>455240193</v>
      </c>
      <c r="L2619">
        <v>188505739</v>
      </c>
      <c r="M2619">
        <v>277602465</v>
      </c>
      <c r="N2619">
        <v>85568554</v>
      </c>
      <c r="O2619">
        <v>30944354</v>
      </c>
      <c r="P2619">
        <v>227</v>
      </c>
      <c r="Q2619" t="s">
        <v>5571</v>
      </c>
    </row>
    <row r="2620" spans="1:17" x14ac:dyDescent="0.3">
      <c r="A2620" t="s">
        <v>4664</v>
      </c>
      <c r="B2620" t="str">
        <f>"000958"</f>
        <v>000958</v>
      </c>
      <c r="C2620" t="s">
        <v>5572</v>
      </c>
      <c r="D2620" t="s">
        <v>41</v>
      </c>
      <c r="F2620">
        <v>947239986</v>
      </c>
      <c r="G2620">
        <v>948925805</v>
      </c>
      <c r="H2620">
        <v>194056777</v>
      </c>
      <c r="I2620">
        <v>134541485</v>
      </c>
      <c r="J2620">
        <v>55792754</v>
      </c>
      <c r="K2620">
        <v>284445651</v>
      </c>
      <c r="L2620">
        <v>212900975</v>
      </c>
      <c r="M2620">
        <v>163938192</v>
      </c>
      <c r="N2620">
        <v>65583377</v>
      </c>
      <c r="O2620">
        <v>-72353620</v>
      </c>
      <c r="P2620">
        <v>162</v>
      </c>
      <c r="Q2620" t="s">
        <v>5573</v>
      </c>
    </row>
    <row r="2621" spans="1:17" x14ac:dyDescent="0.3">
      <c r="A2621" t="s">
        <v>4664</v>
      </c>
      <c r="B2621" t="str">
        <f>"000959"</f>
        <v>000959</v>
      </c>
      <c r="C2621" t="s">
        <v>5574</v>
      </c>
      <c r="D2621" t="s">
        <v>38</v>
      </c>
      <c r="F2621">
        <v>5823606259</v>
      </c>
      <c r="G2621">
        <v>1174691891</v>
      </c>
      <c r="H2621">
        <v>1236372375</v>
      </c>
      <c r="I2621">
        <v>2140804225</v>
      </c>
      <c r="J2621">
        <v>1762405125</v>
      </c>
      <c r="K2621">
        <v>136822969</v>
      </c>
      <c r="L2621">
        <v>-567199714</v>
      </c>
      <c r="M2621">
        <v>10792348</v>
      </c>
      <c r="N2621">
        <v>-390849924</v>
      </c>
      <c r="O2621">
        <v>-308104437</v>
      </c>
      <c r="P2621">
        <v>254</v>
      </c>
      <c r="Q2621" t="s">
        <v>5575</v>
      </c>
    </row>
    <row r="2622" spans="1:17" x14ac:dyDescent="0.3">
      <c r="A2622" t="s">
        <v>4664</v>
      </c>
      <c r="B2622" t="str">
        <f>"000960"</f>
        <v>000960</v>
      </c>
      <c r="C2622" t="s">
        <v>5576</v>
      </c>
      <c r="D2622" t="s">
        <v>636</v>
      </c>
      <c r="F2622">
        <v>1795649673</v>
      </c>
      <c r="G2622">
        <v>456901371</v>
      </c>
      <c r="H2622">
        <v>581453980</v>
      </c>
      <c r="I2622">
        <v>727907490</v>
      </c>
      <c r="J2622">
        <v>539219769</v>
      </c>
      <c r="K2622">
        <v>56497412</v>
      </c>
      <c r="L2622">
        <v>-723373528</v>
      </c>
      <c r="M2622">
        <v>223537781</v>
      </c>
      <c r="N2622">
        <v>-1005136934</v>
      </c>
      <c r="O2622">
        <v>85425944</v>
      </c>
      <c r="P2622">
        <v>356</v>
      </c>
      <c r="Q2622" t="s">
        <v>5577</v>
      </c>
    </row>
    <row r="2623" spans="1:17" x14ac:dyDescent="0.3">
      <c r="A2623" t="s">
        <v>4664</v>
      </c>
      <c r="B2623" t="str">
        <f>"000961"</f>
        <v>000961</v>
      </c>
      <c r="C2623" t="s">
        <v>5578</v>
      </c>
      <c r="D2623" t="s">
        <v>104</v>
      </c>
      <c r="F2623">
        <v>2765017735</v>
      </c>
      <c r="G2623">
        <v>3684530516</v>
      </c>
      <c r="H2623">
        <v>2264151286</v>
      </c>
      <c r="I2623">
        <v>1267205063</v>
      </c>
      <c r="J2623">
        <v>403836411</v>
      </c>
      <c r="K2623">
        <v>488163026</v>
      </c>
      <c r="L2623">
        <v>467119811</v>
      </c>
      <c r="M2623">
        <v>615493368</v>
      </c>
      <c r="N2623">
        <v>601890427</v>
      </c>
      <c r="O2623">
        <v>709267336</v>
      </c>
      <c r="P2623">
        <v>898</v>
      </c>
      <c r="Q2623" t="s">
        <v>5579</v>
      </c>
    </row>
    <row r="2624" spans="1:17" x14ac:dyDescent="0.3">
      <c r="A2624" t="s">
        <v>4664</v>
      </c>
      <c r="B2624" t="str">
        <f>"000962"</f>
        <v>000962</v>
      </c>
      <c r="C2624" t="s">
        <v>5580</v>
      </c>
      <c r="D2624" t="s">
        <v>636</v>
      </c>
      <c r="F2624">
        <v>92976761</v>
      </c>
      <c r="G2624">
        <v>22816381</v>
      </c>
      <c r="H2624">
        <v>16634345</v>
      </c>
      <c r="I2624">
        <v>3310815</v>
      </c>
      <c r="J2624">
        <v>-140801683</v>
      </c>
      <c r="K2624">
        <v>-152391601</v>
      </c>
      <c r="L2624">
        <v>-319401909</v>
      </c>
      <c r="M2624">
        <v>-146276197</v>
      </c>
      <c r="N2624">
        <v>23233745</v>
      </c>
      <c r="O2624">
        <v>76391978</v>
      </c>
      <c r="P2624">
        <v>131</v>
      </c>
      <c r="Q2624" t="s">
        <v>5581</v>
      </c>
    </row>
    <row r="2625" spans="1:17" x14ac:dyDescent="0.3">
      <c r="A2625" t="s">
        <v>4664</v>
      </c>
      <c r="B2625" t="str">
        <f>"000963"</f>
        <v>000963</v>
      </c>
      <c r="C2625" t="s">
        <v>5582</v>
      </c>
      <c r="D2625" t="s">
        <v>143</v>
      </c>
      <c r="F2625">
        <v>1895384579</v>
      </c>
      <c r="G2625">
        <v>2391466605</v>
      </c>
      <c r="H2625">
        <v>2213114054</v>
      </c>
      <c r="I2625">
        <v>1809081209</v>
      </c>
      <c r="J2625">
        <v>1489159038</v>
      </c>
      <c r="K2625">
        <v>1195311814</v>
      </c>
      <c r="L2625">
        <v>927415229</v>
      </c>
      <c r="M2625">
        <v>548551459</v>
      </c>
      <c r="N2625">
        <v>468526247</v>
      </c>
      <c r="O2625">
        <v>378449523</v>
      </c>
      <c r="P2625">
        <v>59262</v>
      </c>
      <c r="Q2625" t="s">
        <v>5583</v>
      </c>
    </row>
    <row r="2626" spans="1:17" x14ac:dyDescent="0.3">
      <c r="A2626" t="s">
        <v>4664</v>
      </c>
      <c r="B2626" t="str">
        <f>"000965"</f>
        <v>000965</v>
      </c>
      <c r="C2626" t="s">
        <v>5584</v>
      </c>
      <c r="D2626" t="s">
        <v>104</v>
      </c>
      <c r="F2626">
        <v>-73453357</v>
      </c>
      <c r="G2626">
        <v>101100880</v>
      </c>
      <c r="H2626">
        <v>-30134928</v>
      </c>
      <c r="I2626">
        <v>379477303</v>
      </c>
      <c r="J2626">
        <v>165303208</v>
      </c>
      <c r="K2626">
        <v>116460829</v>
      </c>
      <c r="L2626">
        <v>82122358</v>
      </c>
      <c r="M2626">
        <v>262557138</v>
      </c>
      <c r="N2626">
        <v>91861637</v>
      </c>
      <c r="O2626">
        <v>128999022</v>
      </c>
      <c r="P2626">
        <v>116</v>
      </c>
      <c r="Q2626" t="s">
        <v>5585</v>
      </c>
    </row>
    <row r="2627" spans="1:17" x14ac:dyDescent="0.3">
      <c r="A2627" t="s">
        <v>4664</v>
      </c>
      <c r="B2627" t="str">
        <f>"000966"</f>
        <v>000966</v>
      </c>
      <c r="C2627" t="s">
        <v>5586</v>
      </c>
      <c r="D2627" t="s">
        <v>41</v>
      </c>
      <c r="F2627">
        <v>280779846</v>
      </c>
      <c r="G2627">
        <v>227435436</v>
      </c>
      <c r="H2627">
        <v>494832863</v>
      </c>
      <c r="I2627">
        <v>169637442</v>
      </c>
      <c r="J2627">
        <v>57732671</v>
      </c>
      <c r="K2627">
        <v>531980360</v>
      </c>
      <c r="L2627">
        <v>777936818</v>
      </c>
      <c r="M2627">
        <v>621921376</v>
      </c>
      <c r="N2627">
        <v>541415927</v>
      </c>
      <c r="O2627">
        <v>-94863659</v>
      </c>
      <c r="P2627">
        <v>398</v>
      </c>
      <c r="Q2627" t="s">
        <v>5587</v>
      </c>
    </row>
    <row r="2628" spans="1:17" x14ac:dyDescent="0.3">
      <c r="A2628" t="s">
        <v>4664</v>
      </c>
      <c r="B2628" t="str">
        <f>"000967"</f>
        <v>000967</v>
      </c>
      <c r="C2628" t="s">
        <v>5588</v>
      </c>
      <c r="D2628" t="s">
        <v>1070</v>
      </c>
      <c r="F2628">
        <v>560683595</v>
      </c>
      <c r="G2628">
        <v>897817813</v>
      </c>
      <c r="H2628">
        <v>964262592</v>
      </c>
      <c r="I2628">
        <v>268701856</v>
      </c>
      <c r="J2628">
        <v>247291360</v>
      </c>
      <c r="K2628">
        <v>162544648</v>
      </c>
      <c r="L2628">
        <v>45363728</v>
      </c>
      <c r="M2628">
        <v>30505060</v>
      </c>
      <c r="N2628">
        <v>42256920</v>
      </c>
      <c r="O2628">
        <v>42336342</v>
      </c>
      <c r="P2628">
        <v>329</v>
      </c>
      <c r="Q2628" t="s">
        <v>5589</v>
      </c>
    </row>
    <row r="2629" spans="1:17" x14ac:dyDescent="0.3">
      <c r="A2629" t="s">
        <v>4664</v>
      </c>
      <c r="B2629" t="str">
        <f>"000968"</f>
        <v>000968</v>
      </c>
      <c r="C2629" t="s">
        <v>5590</v>
      </c>
      <c r="D2629" t="s">
        <v>1541</v>
      </c>
      <c r="F2629">
        <v>230295951</v>
      </c>
      <c r="G2629">
        <v>229165041</v>
      </c>
      <c r="H2629">
        <v>506308917</v>
      </c>
      <c r="I2629">
        <v>478100561</v>
      </c>
      <c r="J2629">
        <v>317016293</v>
      </c>
      <c r="K2629">
        <v>-732382665</v>
      </c>
      <c r="L2629">
        <v>-1055518013</v>
      </c>
      <c r="M2629">
        <v>-524880459</v>
      </c>
      <c r="N2629">
        <v>-309412117</v>
      </c>
      <c r="O2629">
        <v>-228495017</v>
      </c>
      <c r="P2629">
        <v>244</v>
      </c>
      <c r="Q2629" t="s">
        <v>5591</v>
      </c>
    </row>
    <row r="2630" spans="1:17" x14ac:dyDescent="0.3">
      <c r="A2630" t="s">
        <v>4664</v>
      </c>
      <c r="B2630" t="str">
        <f>"000969"</f>
        <v>000969</v>
      </c>
      <c r="C2630" t="s">
        <v>5592</v>
      </c>
      <c r="D2630" t="s">
        <v>581</v>
      </c>
      <c r="F2630">
        <v>156494950</v>
      </c>
      <c r="G2630">
        <v>72171122</v>
      </c>
      <c r="H2630">
        <v>112836394</v>
      </c>
      <c r="I2630">
        <v>-80432618</v>
      </c>
      <c r="J2630">
        <v>60899774</v>
      </c>
      <c r="K2630">
        <v>70373885</v>
      </c>
      <c r="L2630">
        <v>84260372</v>
      </c>
      <c r="M2630">
        <v>5961471</v>
      </c>
      <c r="N2630">
        <v>43177505</v>
      </c>
      <c r="O2630">
        <v>138536905</v>
      </c>
      <c r="P2630">
        <v>224</v>
      </c>
      <c r="Q2630" t="s">
        <v>5593</v>
      </c>
    </row>
    <row r="2631" spans="1:17" x14ac:dyDescent="0.3">
      <c r="A2631" t="s">
        <v>4664</v>
      </c>
      <c r="B2631" t="str">
        <f>"000970"</f>
        <v>000970</v>
      </c>
      <c r="C2631" t="s">
        <v>5594</v>
      </c>
      <c r="D2631" t="s">
        <v>808</v>
      </c>
      <c r="F2631">
        <v>205489644</v>
      </c>
      <c r="G2631">
        <v>62622921</v>
      </c>
      <c r="H2631">
        <v>156077256</v>
      </c>
      <c r="I2631">
        <v>187709746</v>
      </c>
      <c r="J2631">
        <v>201271956</v>
      </c>
      <c r="K2631">
        <v>231480487</v>
      </c>
      <c r="L2631">
        <v>184838930</v>
      </c>
      <c r="M2631">
        <v>232547353</v>
      </c>
      <c r="N2631">
        <v>264106734</v>
      </c>
      <c r="O2631">
        <v>568331037</v>
      </c>
      <c r="P2631">
        <v>364</v>
      </c>
      <c r="Q2631" t="s">
        <v>5595</v>
      </c>
    </row>
    <row r="2632" spans="1:17" x14ac:dyDescent="0.3">
      <c r="A2632" t="s">
        <v>4664</v>
      </c>
      <c r="B2632" t="str">
        <f>"000971"</f>
        <v>000971</v>
      </c>
      <c r="C2632" t="s">
        <v>5596</v>
      </c>
      <c r="D2632" t="s">
        <v>5597</v>
      </c>
      <c r="F2632">
        <v>-82557609</v>
      </c>
      <c r="G2632">
        <v>11399363</v>
      </c>
      <c r="H2632">
        <v>-10540904</v>
      </c>
      <c r="I2632">
        <v>22456229</v>
      </c>
      <c r="J2632">
        <v>124310888</v>
      </c>
      <c r="K2632">
        <v>56072186</v>
      </c>
      <c r="L2632">
        <v>-21792723</v>
      </c>
      <c r="M2632">
        <v>-14785450</v>
      </c>
      <c r="N2632">
        <v>-23248693</v>
      </c>
      <c r="O2632">
        <v>-35737331</v>
      </c>
      <c r="P2632">
        <v>74</v>
      </c>
      <c r="Q2632" t="s">
        <v>5598</v>
      </c>
    </row>
    <row r="2633" spans="1:17" x14ac:dyDescent="0.3">
      <c r="A2633" t="s">
        <v>4664</v>
      </c>
      <c r="B2633" t="str">
        <f>"000972"</f>
        <v>000972</v>
      </c>
      <c r="C2633" t="s">
        <v>5599</v>
      </c>
      <c r="D2633" t="s">
        <v>574</v>
      </c>
      <c r="F2633">
        <v>-54849068</v>
      </c>
      <c r="G2633">
        <v>-42077087</v>
      </c>
      <c r="H2633">
        <v>22860512</v>
      </c>
      <c r="I2633">
        <v>-117220862</v>
      </c>
      <c r="J2633">
        <v>79901514</v>
      </c>
      <c r="K2633">
        <v>-91255014</v>
      </c>
      <c r="L2633">
        <v>-64553942</v>
      </c>
      <c r="M2633">
        <v>-49106032</v>
      </c>
      <c r="N2633">
        <v>-153853632</v>
      </c>
      <c r="O2633">
        <v>-327662081</v>
      </c>
      <c r="P2633">
        <v>78</v>
      </c>
      <c r="Q2633" t="s">
        <v>5600</v>
      </c>
    </row>
    <row r="2634" spans="1:17" x14ac:dyDescent="0.3">
      <c r="A2634" t="s">
        <v>4664</v>
      </c>
      <c r="B2634" t="str">
        <f>"000973"</f>
        <v>000973</v>
      </c>
      <c r="C2634" t="s">
        <v>5601</v>
      </c>
      <c r="D2634" t="s">
        <v>324</v>
      </c>
      <c r="F2634">
        <v>102725432</v>
      </c>
      <c r="G2634">
        <v>48261308</v>
      </c>
      <c r="H2634">
        <v>99892600</v>
      </c>
      <c r="I2634">
        <v>41620694</v>
      </c>
      <c r="J2634">
        <v>62784273</v>
      </c>
      <c r="K2634">
        <v>52838488</v>
      </c>
      <c r="L2634">
        <v>36393027</v>
      </c>
      <c r="M2634">
        <v>61292886</v>
      </c>
      <c r="N2634">
        <v>30130573</v>
      </c>
      <c r="O2634">
        <v>30062124</v>
      </c>
      <c r="P2634">
        <v>123</v>
      </c>
      <c r="Q2634" t="s">
        <v>5602</v>
      </c>
    </row>
    <row r="2635" spans="1:17" x14ac:dyDescent="0.3">
      <c r="A2635" t="s">
        <v>4664</v>
      </c>
      <c r="B2635" t="str">
        <f>"000975"</f>
        <v>000975</v>
      </c>
      <c r="C2635" t="s">
        <v>5603</v>
      </c>
      <c r="D2635" t="s">
        <v>701</v>
      </c>
      <c r="F2635">
        <v>1037941076</v>
      </c>
      <c r="G2635">
        <v>955779633</v>
      </c>
      <c r="H2635">
        <v>658351245</v>
      </c>
      <c r="I2635">
        <v>479433822</v>
      </c>
      <c r="J2635">
        <v>229508692</v>
      </c>
      <c r="K2635">
        <v>163922716</v>
      </c>
      <c r="L2635">
        <v>166584465</v>
      </c>
      <c r="M2635">
        <v>177433932</v>
      </c>
      <c r="N2635">
        <v>310531313</v>
      </c>
      <c r="O2635">
        <v>14150120</v>
      </c>
      <c r="P2635">
        <v>391</v>
      </c>
      <c r="Q2635" t="s">
        <v>5604</v>
      </c>
    </row>
    <row r="2636" spans="1:17" x14ac:dyDescent="0.3">
      <c r="A2636" t="s">
        <v>4664</v>
      </c>
      <c r="B2636" t="str">
        <f>"000976"</f>
        <v>000976</v>
      </c>
      <c r="C2636" t="s">
        <v>5605</v>
      </c>
      <c r="D2636" t="s">
        <v>1012</v>
      </c>
      <c r="F2636">
        <v>365172498</v>
      </c>
      <c r="G2636">
        <v>280348493</v>
      </c>
      <c r="H2636">
        <v>215242643</v>
      </c>
      <c r="I2636">
        <v>213331253</v>
      </c>
      <c r="J2636">
        <v>220734922</v>
      </c>
      <c r="K2636">
        <v>112255601</v>
      </c>
      <c r="L2636">
        <v>-8183808</v>
      </c>
      <c r="M2636">
        <v>-82350735</v>
      </c>
      <c r="N2636">
        <v>-63010317</v>
      </c>
      <c r="O2636">
        <v>-67806173</v>
      </c>
      <c r="P2636">
        <v>145</v>
      </c>
      <c r="Q2636" t="s">
        <v>5606</v>
      </c>
    </row>
    <row r="2637" spans="1:17" x14ac:dyDescent="0.3">
      <c r="A2637" t="s">
        <v>4664</v>
      </c>
      <c r="B2637" t="str">
        <f>"000977"</f>
        <v>000977</v>
      </c>
      <c r="C2637" t="s">
        <v>5607</v>
      </c>
      <c r="D2637" t="s">
        <v>236</v>
      </c>
      <c r="F2637">
        <v>1350766718</v>
      </c>
      <c r="G2637">
        <v>628320561</v>
      </c>
      <c r="H2637">
        <v>517689445</v>
      </c>
      <c r="I2637">
        <v>372200891</v>
      </c>
      <c r="J2637">
        <v>250199895</v>
      </c>
      <c r="K2637">
        <v>349186010</v>
      </c>
      <c r="L2637">
        <v>308655104</v>
      </c>
      <c r="M2637">
        <v>192413235</v>
      </c>
      <c r="N2637">
        <v>96297468</v>
      </c>
      <c r="O2637">
        <v>42136841</v>
      </c>
      <c r="P2637">
        <v>4425</v>
      </c>
      <c r="Q2637" t="s">
        <v>5608</v>
      </c>
    </row>
    <row r="2638" spans="1:17" x14ac:dyDescent="0.3">
      <c r="A2638" t="s">
        <v>4664</v>
      </c>
      <c r="B2638" t="str">
        <f>"000978"</f>
        <v>000978</v>
      </c>
      <c r="C2638" t="s">
        <v>5609</v>
      </c>
      <c r="D2638" t="s">
        <v>119</v>
      </c>
      <c r="F2638">
        <v>-97664887</v>
      </c>
      <c r="G2638">
        <v>-128192233</v>
      </c>
      <c r="H2638">
        <v>54972230</v>
      </c>
      <c r="I2638">
        <v>79042979</v>
      </c>
      <c r="J2638">
        <v>69527843</v>
      </c>
      <c r="K2638">
        <v>49187043</v>
      </c>
      <c r="L2638">
        <v>31771287</v>
      </c>
      <c r="M2638">
        <v>-9252026</v>
      </c>
      <c r="N2638">
        <v>-589093</v>
      </c>
      <c r="O2638">
        <v>36945704</v>
      </c>
      <c r="P2638">
        <v>140</v>
      </c>
      <c r="Q2638" t="s">
        <v>5610</v>
      </c>
    </row>
    <row r="2639" spans="1:17" x14ac:dyDescent="0.3">
      <c r="A2639" t="s">
        <v>4664</v>
      </c>
      <c r="B2639" t="str">
        <f>"000979"</f>
        <v>000979</v>
      </c>
      <c r="C2639" t="s">
        <v>5611</v>
      </c>
      <c r="I2639">
        <v>-1884858669</v>
      </c>
      <c r="J2639">
        <v>82683216</v>
      </c>
      <c r="K2639">
        <v>161340490.71000001</v>
      </c>
      <c r="L2639">
        <v>620996706.58000004</v>
      </c>
      <c r="M2639">
        <v>362737232.45999998</v>
      </c>
      <c r="N2639">
        <v>279273131.92000002</v>
      </c>
      <c r="O2639">
        <v>533515584.62</v>
      </c>
      <c r="P2639">
        <v>30</v>
      </c>
      <c r="Q2639" t="s">
        <v>5612</v>
      </c>
    </row>
    <row r="2640" spans="1:17" x14ac:dyDescent="0.3">
      <c r="A2640" t="s">
        <v>4664</v>
      </c>
      <c r="B2640" t="str">
        <f>"000980"</f>
        <v>000980</v>
      </c>
      <c r="C2640" t="s">
        <v>5613</v>
      </c>
      <c r="D2640" t="s">
        <v>1415</v>
      </c>
      <c r="F2640">
        <v>-990171702</v>
      </c>
      <c r="G2640">
        <v>-1563007362</v>
      </c>
      <c r="H2640">
        <v>-759976906</v>
      </c>
      <c r="I2640">
        <v>415238702</v>
      </c>
      <c r="J2640">
        <v>480294511</v>
      </c>
      <c r="K2640">
        <v>44354746</v>
      </c>
      <c r="L2640">
        <v>31135344</v>
      </c>
      <c r="M2640">
        <v>34848041</v>
      </c>
      <c r="N2640">
        <v>32163462</v>
      </c>
      <c r="O2640">
        <v>19925212</v>
      </c>
      <c r="P2640">
        <v>161</v>
      </c>
      <c r="Q2640" t="s">
        <v>5614</v>
      </c>
    </row>
    <row r="2641" spans="1:17" x14ac:dyDescent="0.3">
      <c r="A2641" t="s">
        <v>4664</v>
      </c>
      <c r="B2641" t="str">
        <f>"000981"</f>
        <v>000981</v>
      </c>
      <c r="C2641" t="s">
        <v>5615</v>
      </c>
      <c r="D2641" t="s">
        <v>104</v>
      </c>
      <c r="F2641">
        <v>-656004246</v>
      </c>
      <c r="G2641">
        <v>35360430</v>
      </c>
      <c r="H2641">
        <v>-656551097</v>
      </c>
      <c r="I2641">
        <v>853227721</v>
      </c>
      <c r="J2641">
        <v>548326658</v>
      </c>
      <c r="K2641">
        <v>528716193</v>
      </c>
      <c r="L2641">
        <v>352696042</v>
      </c>
      <c r="M2641">
        <v>351623070</v>
      </c>
      <c r="N2641">
        <v>351522479</v>
      </c>
      <c r="O2641">
        <v>324022821</v>
      </c>
      <c r="P2641">
        <v>118</v>
      </c>
      <c r="Q2641" t="s">
        <v>5616</v>
      </c>
    </row>
    <row r="2642" spans="1:17" x14ac:dyDescent="0.3">
      <c r="A2642" t="s">
        <v>4664</v>
      </c>
      <c r="B2642" t="str">
        <f>"000982"</f>
        <v>000982</v>
      </c>
      <c r="C2642" t="s">
        <v>5617</v>
      </c>
      <c r="D2642" t="s">
        <v>366</v>
      </c>
      <c r="F2642">
        <v>38600028</v>
      </c>
      <c r="G2642">
        <v>16168988</v>
      </c>
      <c r="H2642">
        <v>-687657387</v>
      </c>
      <c r="I2642">
        <v>-523933992</v>
      </c>
      <c r="J2642">
        <v>-384999182</v>
      </c>
      <c r="K2642">
        <v>-322557497</v>
      </c>
      <c r="L2642">
        <v>19229602</v>
      </c>
      <c r="M2642">
        <v>152063638</v>
      </c>
      <c r="N2642">
        <v>280927141</v>
      </c>
      <c r="O2642">
        <v>210724023</v>
      </c>
      <c r="P2642">
        <v>83</v>
      </c>
      <c r="Q2642" t="s">
        <v>5618</v>
      </c>
    </row>
    <row r="2643" spans="1:17" x14ac:dyDescent="0.3">
      <c r="A2643" t="s">
        <v>4664</v>
      </c>
      <c r="B2643" t="str">
        <f>"000983"</f>
        <v>000983</v>
      </c>
      <c r="C2643" t="s">
        <v>5619</v>
      </c>
      <c r="D2643" t="s">
        <v>298</v>
      </c>
      <c r="F2643">
        <v>3174215363</v>
      </c>
      <c r="G2643">
        <v>1601661114</v>
      </c>
      <c r="H2643">
        <v>1806217156</v>
      </c>
      <c r="I2643">
        <v>1522705480</v>
      </c>
      <c r="J2643">
        <v>1373535789</v>
      </c>
      <c r="K2643">
        <v>202993606</v>
      </c>
      <c r="L2643">
        <v>302208946</v>
      </c>
      <c r="M2643">
        <v>342622275</v>
      </c>
      <c r="N2643">
        <v>961697999</v>
      </c>
      <c r="O2643">
        <v>1917039299</v>
      </c>
      <c r="P2643">
        <v>688</v>
      </c>
      <c r="Q2643" t="s">
        <v>5620</v>
      </c>
    </row>
    <row r="2644" spans="1:17" x14ac:dyDescent="0.3">
      <c r="A2644" t="s">
        <v>4664</v>
      </c>
      <c r="B2644" t="str">
        <f>"000985"</f>
        <v>000985</v>
      </c>
      <c r="C2644" t="s">
        <v>5621</v>
      </c>
      <c r="D2644" t="s">
        <v>1615</v>
      </c>
      <c r="F2644">
        <v>13047611</v>
      </c>
      <c r="G2644">
        <v>13767428</v>
      </c>
      <c r="H2644">
        <v>54182145</v>
      </c>
      <c r="I2644">
        <v>-9283973</v>
      </c>
      <c r="J2644">
        <v>37033787</v>
      </c>
      <c r="K2644">
        <v>20872460</v>
      </c>
      <c r="L2644">
        <v>-19971465</v>
      </c>
      <c r="M2644">
        <v>19547919</v>
      </c>
      <c r="N2644">
        <v>609702</v>
      </c>
      <c r="O2644">
        <v>-6187125</v>
      </c>
      <c r="P2644">
        <v>82</v>
      </c>
      <c r="Q2644" t="s">
        <v>5622</v>
      </c>
    </row>
    <row r="2645" spans="1:17" x14ac:dyDescent="0.3">
      <c r="A2645" t="s">
        <v>4664</v>
      </c>
      <c r="B2645" t="str">
        <f>"000987"</f>
        <v>000987</v>
      </c>
      <c r="C2645" t="s">
        <v>5623</v>
      </c>
      <c r="D2645" t="s">
        <v>140</v>
      </c>
      <c r="F2645">
        <v>2008085567</v>
      </c>
      <c r="G2645">
        <v>4510991476</v>
      </c>
      <c r="H2645">
        <v>1340820434</v>
      </c>
      <c r="I2645">
        <v>293386397</v>
      </c>
      <c r="J2645">
        <v>479436285</v>
      </c>
      <c r="K2645">
        <v>382411259</v>
      </c>
      <c r="L2645">
        <v>151657593</v>
      </c>
      <c r="M2645">
        <v>171930506</v>
      </c>
      <c r="N2645">
        <v>207892064</v>
      </c>
      <c r="O2645">
        <v>255804788</v>
      </c>
      <c r="P2645">
        <v>520</v>
      </c>
      <c r="Q2645" t="s">
        <v>5624</v>
      </c>
    </row>
    <row r="2646" spans="1:17" x14ac:dyDescent="0.3">
      <c r="A2646" t="s">
        <v>4664</v>
      </c>
      <c r="B2646" t="str">
        <f>"000988"</f>
        <v>000988</v>
      </c>
      <c r="C2646" t="s">
        <v>5625</v>
      </c>
      <c r="D2646" t="s">
        <v>3784</v>
      </c>
      <c r="F2646">
        <v>801660838</v>
      </c>
      <c r="G2646">
        <v>486777362</v>
      </c>
      <c r="H2646">
        <v>462709079</v>
      </c>
      <c r="I2646">
        <v>256451488</v>
      </c>
      <c r="J2646">
        <v>254929858</v>
      </c>
      <c r="K2646">
        <v>167645841</v>
      </c>
      <c r="L2646">
        <v>109402665</v>
      </c>
      <c r="M2646">
        <v>147624116</v>
      </c>
      <c r="N2646">
        <v>92905527</v>
      </c>
      <c r="O2646">
        <v>146027528</v>
      </c>
      <c r="P2646">
        <v>710</v>
      </c>
      <c r="Q2646" t="s">
        <v>5626</v>
      </c>
    </row>
    <row r="2647" spans="1:17" x14ac:dyDescent="0.3">
      <c r="A2647" t="s">
        <v>4664</v>
      </c>
      <c r="B2647" t="str">
        <f>"000989"</f>
        <v>000989</v>
      </c>
      <c r="C2647" t="s">
        <v>5627</v>
      </c>
      <c r="D2647" t="s">
        <v>188</v>
      </c>
      <c r="F2647">
        <v>270337575</v>
      </c>
      <c r="G2647">
        <v>228064339</v>
      </c>
      <c r="H2647">
        <v>188830349</v>
      </c>
      <c r="I2647">
        <v>334474870</v>
      </c>
      <c r="J2647">
        <v>515186537</v>
      </c>
      <c r="K2647">
        <v>463632846</v>
      </c>
      <c r="L2647">
        <v>98295210</v>
      </c>
      <c r="M2647">
        <v>116510700</v>
      </c>
      <c r="N2647">
        <v>193107401</v>
      </c>
      <c r="O2647">
        <v>86052703</v>
      </c>
      <c r="P2647">
        <v>370</v>
      </c>
      <c r="Q2647" t="s">
        <v>5628</v>
      </c>
    </row>
    <row r="2648" spans="1:17" x14ac:dyDescent="0.3">
      <c r="A2648" t="s">
        <v>4664</v>
      </c>
      <c r="B2648" t="str">
        <f>"000990"</f>
        <v>000990</v>
      </c>
      <c r="C2648" t="s">
        <v>5629</v>
      </c>
      <c r="D2648" t="s">
        <v>914</v>
      </c>
      <c r="F2648">
        <v>1104415324</v>
      </c>
      <c r="G2648">
        <v>38855637</v>
      </c>
      <c r="H2648">
        <v>342565091</v>
      </c>
      <c r="I2648">
        <v>650983464</v>
      </c>
      <c r="J2648">
        <v>669828918</v>
      </c>
      <c r="K2648">
        <v>-23322764</v>
      </c>
      <c r="L2648">
        <v>11197688</v>
      </c>
      <c r="M2648">
        <v>21403807</v>
      </c>
      <c r="N2648">
        <v>33421660</v>
      </c>
      <c r="O2648">
        <v>23765626</v>
      </c>
      <c r="P2648">
        <v>194</v>
      </c>
      <c r="Q2648" t="s">
        <v>5630</v>
      </c>
    </row>
    <row r="2649" spans="1:17" x14ac:dyDescent="0.3">
      <c r="A2649" t="s">
        <v>4664</v>
      </c>
      <c r="B2649" t="str">
        <f>"000993"</f>
        <v>000993</v>
      </c>
      <c r="C2649" t="s">
        <v>5631</v>
      </c>
      <c r="D2649" t="s">
        <v>66</v>
      </c>
      <c r="F2649">
        <v>127875751</v>
      </c>
      <c r="G2649">
        <v>-4739544</v>
      </c>
      <c r="H2649">
        <v>212341920</v>
      </c>
      <c r="I2649">
        <v>-82266924</v>
      </c>
      <c r="J2649">
        <v>102321296</v>
      </c>
      <c r="K2649">
        <v>120339621</v>
      </c>
      <c r="L2649">
        <v>61679081</v>
      </c>
      <c r="M2649">
        <v>88176762</v>
      </c>
      <c r="N2649">
        <v>89161091</v>
      </c>
      <c r="O2649">
        <v>51130926</v>
      </c>
      <c r="P2649">
        <v>163</v>
      </c>
      <c r="Q2649" t="s">
        <v>5632</v>
      </c>
    </row>
    <row r="2650" spans="1:17" x14ac:dyDescent="0.3">
      <c r="A2650" t="s">
        <v>4664</v>
      </c>
      <c r="B2650" t="str">
        <f>"000995"</f>
        <v>000995</v>
      </c>
      <c r="C2650" t="s">
        <v>5633</v>
      </c>
      <c r="D2650" t="s">
        <v>458</v>
      </c>
      <c r="F2650">
        <v>-16495792</v>
      </c>
      <c r="G2650">
        <v>4002637</v>
      </c>
      <c r="H2650">
        <v>-13947252</v>
      </c>
      <c r="I2650">
        <v>-41908384</v>
      </c>
      <c r="J2650">
        <v>-67403551</v>
      </c>
      <c r="K2650">
        <v>-108258350</v>
      </c>
      <c r="L2650">
        <v>-1402536</v>
      </c>
      <c r="M2650">
        <v>-9544792</v>
      </c>
      <c r="N2650">
        <v>-26756189</v>
      </c>
      <c r="O2650">
        <v>10195272</v>
      </c>
      <c r="P2650">
        <v>175</v>
      </c>
      <c r="Q2650" t="s">
        <v>5634</v>
      </c>
    </row>
    <row r="2651" spans="1:17" x14ac:dyDescent="0.3">
      <c r="A2651" t="s">
        <v>4664</v>
      </c>
      <c r="B2651" t="str">
        <f>"000996"</f>
        <v>000996</v>
      </c>
      <c r="C2651" t="s">
        <v>5635</v>
      </c>
      <c r="D2651" t="s">
        <v>672</v>
      </c>
      <c r="F2651">
        <v>3237901</v>
      </c>
      <c r="G2651">
        <v>7170398</v>
      </c>
      <c r="H2651">
        <v>4427847</v>
      </c>
      <c r="I2651">
        <v>8342851</v>
      </c>
      <c r="J2651">
        <v>27976753</v>
      </c>
      <c r="K2651">
        <v>15258360</v>
      </c>
      <c r="L2651">
        <v>11019677</v>
      </c>
      <c r="M2651">
        <v>10596128</v>
      </c>
      <c r="N2651">
        <v>12991607</v>
      </c>
      <c r="O2651">
        <v>20345937</v>
      </c>
      <c r="P2651">
        <v>70</v>
      </c>
      <c r="Q2651" t="s">
        <v>5636</v>
      </c>
    </row>
    <row r="2652" spans="1:17" x14ac:dyDescent="0.3">
      <c r="A2652" t="s">
        <v>4664</v>
      </c>
      <c r="B2652" t="str">
        <f>"000997"</f>
        <v>000997</v>
      </c>
      <c r="C2652" t="s">
        <v>5637</v>
      </c>
      <c r="D2652" t="s">
        <v>236</v>
      </c>
      <c r="F2652">
        <v>495567368</v>
      </c>
      <c r="G2652">
        <v>448265972</v>
      </c>
      <c r="H2652">
        <v>627293464</v>
      </c>
      <c r="I2652">
        <v>479334520</v>
      </c>
      <c r="J2652">
        <v>554526195</v>
      </c>
      <c r="K2652">
        <v>359134737</v>
      </c>
      <c r="L2652">
        <v>261745223</v>
      </c>
      <c r="M2652">
        <v>164696423</v>
      </c>
      <c r="N2652">
        <v>112618096</v>
      </c>
      <c r="O2652">
        <v>70296543</v>
      </c>
      <c r="P2652">
        <v>581</v>
      </c>
      <c r="Q2652" t="s">
        <v>5638</v>
      </c>
    </row>
    <row r="2653" spans="1:17" x14ac:dyDescent="0.3">
      <c r="A2653" t="s">
        <v>4664</v>
      </c>
      <c r="B2653" t="str">
        <f>"000998"</f>
        <v>000998</v>
      </c>
      <c r="C2653" t="s">
        <v>5639</v>
      </c>
      <c r="D2653" t="s">
        <v>706</v>
      </c>
      <c r="F2653">
        <v>-298277031</v>
      </c>
      <c r="G2653">
        <v>-339721268</v>
      </c>
      <c r="H2653">
        <v>-268687642</v>
      </c>
      <c r="I2653">
        <v>77231953</v>
      </c>
      <c r="J2653">
        <v>160430657</v>
      </c>
      <c r="K2653">
        <v>100154026</v>
      </c>
      <c r="L2653">
        <v>131944356</v>
      </c>
      <c r="M2653">
        <v>116048524</v>
      </c>
      <c r="N2653">
        <v>57734704</v>
      </c>
      <c r="O2653">
        <v>105752238</v>
      </c>
      <c r="P2653">
        <v>649</v>
      </c>
      <c r="Q2653" t="s">
        <v>5640</v>
      </c>
    </row>
    <row r="2654" spans="1:17" x14ac:dyDescent="0.3">
      <c r="A2654" t="s">
        <v>4664</v>
      </c>
      <c r="B2654" t="str">
        <f>"000999"</f>
        <v>000999</v>
      </c>
      <c r="C2654" t="s">
        <v>5641</v>
      </c>
      <c r="D2654" t="s">
        <v>188</v>
      </c>
      <c r="F2654">
        <v>1741152226</v>
      </c>
      <c r="G2654">
        <v>1564201636</v>
      </c>
      <c r="H2654">
        <v>1969393683</v>
      </c>
      <c r="I2654">
        <v>1112454763</v>
      </c>
      <c r="J2654">
        <v>959115018</v>
      </c>
      <c r="K2654">
        <v>869297954</v>
      </c>
      <c r="L2654">
        <v>828479430</v>
      </c>
      <c r="M2654">
        <v>788930706</v>
      </c>
      <c r="N2654">
        <v>875115764</v>
      </c>
      <c r="O2654">
        <v>740666003</v>
      </c>
      <c r="P2654">
        <v>5773</v>
      </c>
      <c r="Q2654" t="s">
        <v>5642</v>
      </c>
    </row>
    <row r="2655" spans="1:17" x14ac:dyDescent="0.3">
      <c r="A2655" t="s">
        <v>4664</v>
      </c>
      <c r="B2655" t="str">
        <f>"001201"</f>
        <v>001201</v>
      </c>
      <c r="C2655" t="s">
        <v>5643</v>
      </c>
      <c r="D2655" t="s">
        <v>1894</v>
      </c>
      <c r="F2655">
        <v>236375158</v>
      </c>
      <c r="P2655">
        <v>61</v>
      </c>
      <c r="Q2655" t="s">
        <v>5644</v>
      </c>
    </row>
    <row r="2656" spans="1:17" x14ac:dyDescent="0.3">
      <c r="A2656" t="s">
        <v>4664</v>
      </c>
      <c r="B2656" t="str">
        <f>"001202"</f>
        <v>001202</v>
      </c>
      <c r="C2656" t="s">
        <v>5645</v>
      </c>
      <c r="D2656" t="s">
        <v>128</v>
      </c>
      <c r="F2656">
        <v>39099329</v>
      </c>
      <c r="P2656">
        <v>32</v>
      </c>
      <c r="Q2656" t="s">
        <v>5646</v>
      </c>
    </row>
    <row r="2657" spans="1:17" x14ac:dyDescent="0.3">
      <c r="A2657" t="s">
        <v>4664</v>
      </c>
      <c r="B2657" t="str">
        <f>"001203"</f>
        <v>001203</v>
      </c>
      <c r="C2657" t="s">
        <v>5647</v>
      </c>
      <c r="D2657" t="s">
        <v>2367</v>
      </c>
      <c r="F2657">
        <v>1421859806</v>
      </c>
      <c r="P2657">
        <v>80</v>
      </c>
      <c r="Q2657" t="s">
        <v>5648</v>
      </c>
    </row>
    <row r="2658" spans="1:17" x14ac:dyDescent="0.3">
      <c r="A2658" t="s">
        <v>4664</v>
      </c>
      <c r="B2658" t="str">
        <f>"001205"</f>
        <v>001205</v>
      </c>
      <c r="C2658" t="s">
        <v>5649</v>
      </c>
      <c r="D2658" t="s">
        <v>69</v>
      </c>
      <c r="F2658">
        <v>99510279</v>
      </c>
      <c r="P2658">
        <v>44</v>
      </c>
      <c r="Q2658" t="s">
        <v>5650</v>
      </c>
    </row>
    <row r="2659" spans="1:17" x14ac:dyDescent="0.3">
      <c r="A2659" t="s">
        <v>4664</v>
      </c>
      <c r="B2659" t="str">
        <f>"001206"</f>
        <v>001206</v>
      </c>
      <c r="C2659" t="s">
        <v>5651</v>
      </c>
      <c r="D2659" t="s">
        <v>2728</v>
      </c>
      <c r="F2659">
        <v>103470777</v>
      </c>
      <c r="P2659">
        <v>53</v>
      </c>
      <c r="Q2659" t="s">
        <v>5652</v>
      </c>
    </row>
    <row r="2660" spans="1:17" x14ac:dyDescent="0.3">
      <c r="A2660" t="s">
        <v>4664</v>
      </c>
      <c r="B2660" t="str">
        <f>"001207"</f>
        <v>001207</v>
      </c>
      <c r="C2660" t="s">
        <v>5653</v>
      </c>
      <c r="D2660" t="s">
        <v>3619</v>
      </c>
      <c r="F2660">
        <v>118541330</v>
      </c>
      <c r="P2660">
        <v>25</v>
      </c>
      <c r="Q2660" t="s">
        <v>5654</v>
      </c>
    </row>
    <row r="2661" spans="1:17" x14ac:dyDescent="0.3">
      <c r="A2661" t="s">
        <v>4664</v>
      </c>
      <c r="B2661" t="str">
        <f>"001208"</f>
        <v>001208</v>
      </c>
      <c r="C2661" t="s">
        <v>5655</v>
      </c>
      <c r="D2661" t="s">
        <v>1164</v>
      </c>
      <c r="F2661">
        <v>107637094</v>
      </c>
      <c r="P2661">
        <v>66</v>
      </c>
      <c r="Q2661" t="s">
        <v>5656</v>
      </c>
    </row>
    <row r="2662" spans="1:17" x14ac:dyDescent="0.3">
      <c r="A2662" t="s">
        <v>4664</v>
      </c>
      <c r="B2662" t="str">
        <f>"001209"</f>
        <v>001209</v>
      </c>
      <c r="C2662" t="s">
        <v>5657</v>
      </c>
      <c r="D2662" t="s">
        <v>255</v>
      </c>
      <c r="F2662">
        <v>72462137</v>
      </c>
      <c r="P2662">
        <v>22</v>
      </c>
      <c r="Q2662" t="s">
        <v>5658</v>
      </c>
    </row>
    <row r="2663" spans="1:17" x14ac:dyDescent="0.3">
      <c r="A2663" t="s">
        <v>4664</v>
      </c>
      <c r="B2663" t="str">
        <f>"001210"</f>
        <v>001210</v>
      </c>
      <c r="C2663" t="s">
        <v>5659</v>
      </c>
      <c r="D2663" t="s">
        <v>351</v>
      </c>
      <c r="F2663">
        <v>69421781</v>
      </c>
      <c r="P2663">
        <v>27</v>
      </c>
      <c r="Q2663" t="s">
        <v>5660</v>
      </c>
    </row>
    <row r="2664" spans="1:17" x14ac:dyDescent="0.3">
      <c r="A2664" t="s">
        <v>4664</v>
      </c>
      <c r="B2664" t="str">
        <f>"001211"</f>
        <v>001211</v>
      </c>
      <c r="C2664" t="s">
        <v>5661</v>
      </c>
      <c r="D2664" t="s">
        <v>2436</v>
      </c>
      <c r="F2664">
        <v>30270940</v>
      </c>
      <c r="P2664">
        <v>13</v>
      </c>
      <c r="Q2664" t="s">
        <v>5662</v>
      </c>
    </row>
    <row r="2665" spans="1:17" x14ac:dyDescent="0.3">
      <c r="A2665" t="s">
        <v>4664</v>
      </c>
      <c r="B2665" t="str">
        <f>"001212"</f>
        <v>001212</v>
      </c>
      <c r="C2665" t="s">
        <v>5663</v>
      </c>
      <c r="D2665" t="s">
        <v>722</v>
      </c>
      <c r="F2665">
        <v>103861401</v>
      </c>
      <c r="P2665">
        <v>19</v>
      </c>
      <c r="Q2665" t="s">
        <v>5664</v>
      </c>
    </row>
    <row r="2666" spans="1:17" x14ac:dyDescent="0.3">
      <c r="A2666" t="s">
        <v>4664</v>
      </c>
      <c r="B2666" t="str">
        <f>"001213"</f>
        <v>001213</v>
      </c>
      <c r="C2666" t="s">
        <v>5665</v>
      </c>
      <c r="D2666" t="s">
        <v>301</v>
      </c>
      <c r="F2666">
        <v>332459544</v>
      </c>
      <c r="P2666">
        <v>27</v>
      </c>
      <c r="Q2666" t="s">
        <v>5666</v>
      </c>
    </row>
    <row r="2667" spans="1:17" x14ac:dyDescent="0.3">
      <c r="A2667" t="s">
        <v>4664</v>
      </c>
      <c r="B2667" t="str">
        <f>"001215"</f>
        <v>001215</v>
      </c>
      <c r="C2667" t="s">
        <v>5667</v>
      </c>
      <c r="D2667" t="s">
        <v>2838</v>
      </c>
      <c r="F2667">
        <v>56594466</v>
      </c>
      <c r="P2667">
        <v>59</v>
      </c>
      <c r="Q2667" t="s">
        <v>5668</v>
      </c>
    </row>
    <row r="2668" spans="1:17" x14ac:dyDescent="0.3">
      <c r="A2668" t="s">
        <v>4664</v>
      </c>
      <c r="B2668" t="str">
        <f>"001216"</f>
        <v>001216</v>
      </c>
      <c r="C2668" t="s">
        <v>5669</v>
      </c>
      <c r="D2668" t="s">
        <v>2436</v>
      </c>
      <c r="F2668">
        <v>95008658</v>
      </c>
      <c r="P2668">
        <v>19</v>
      </c>
      <c r="Q2668" t="s">
        <v>5670</v>
      </c>
    </row>
    <row r="2669" spans="1:17" x14ac:dyDescent="0.3">
      <c r="A2669" t="s">
        <v>4664</v>
      </c>
      <c r="B2669" t="str">
        <f>"001217"</f>
        <v>001217</v>
      </c>
      <c r="C2669" t="s">
        <v>5671</v>
      </c>
      <c r="D2669" t="s">
        <v>1233</v>
      </c>
      <c r="F2669">
        <v>312156204</v>
      </c>
      <c r="P2669">
        <v>27</v>
      </c>
      <c r="Q2669" t="s">
        <v>5672</v>
      </c>
    </row>
    <row r="2670" spans="1:17" x14ac:dyDescent="0.3">
      <c r="A2670" t="s">
        <v>4664</v>
      </c>
      <c r="B2670" t="str">
        <f>"001218"</f>
        <v>001218</v>
      </c>
      <c r="C2670" t="s">
        <v>5673</v>
      </c>
      <c r="D2670" t="s">
        <v>386</v>
      </c>
      <c r="F2670">
        <v>129106395</v>
      </c>
      <c r="G2670">
        <v>152605992</v>
      </c>
      <c r="P2670">
        <v>15</v>
      </c>
      <c r="Q2670" t="s">
        <v>5674</v>
      </c>
    </row>
    <row r="2671" spans="1:17" x14ac:dyDescent="0.3">
      <c r="A2671" t="s">
        <v>4664</v>
      </c>
      <c r="B2671" t="str">
        <f>"001219"</f>
        <v>001219</v>
      </c>
      <c r="C2671" t="s">
        <v>5675</v>
      </c>
      <c r="D2671" t="s">
        <v>2479</v>
      </c>
      <c r="F2671">
        <v>54370562</v>
      </c>
      <c r="P2671">
        <v>33</v>
      </c>
      <c r="Q2671" t="s">
        <v>5676</v>
      </c>
    </row>
    <row r="2672" spans="1:17" x14ac:dyDescent="0.3">
      <c r="A2672" t="s">
        <v>4664</v>
      </c>
      <c r="B2672" t="str">
        <f>"001227"</f>
        <v>001227</v>
      </c>
      <c r="C2672" t="s">
        <v>5677</v>
      </c>
      <c r="D2672" t="s">
        <v>1838</v>
      </c>
      <c r="F2672">
        <v>1253837331</v>
      </c>
      <c r="G2672">
        <v>600311727</v>
      </c>
      <c r="P2672">
        <v>31</v>
      </c>
      <c r="Q2672" t="s">
        <v>5678</v>
      </c>
    </row>
    <row r="2673" spans="1:17" x14ac:dyDescent="0.3">
      <c r="A2673" t="s">
        <v>4664</v>
      </c>
      <c r="B2673" t="str">
        <f>"001234"</f>
        <v>001234</v>
      </c>
      <c r="C2673" t="s">
        <v>5679</v>
      </c>
      <c r="D2673" t="s">
        <v>366</v>
      </c>
      <c r="F2673">
        <v>80544761</v>
      </c>
      <c r="G2673">
        <v>61998571</v>
      </c>
      <c r="P2673">
        <v>16</v>
      </c>
      <c r="Q2673" t="s">
        <v>5680</v>
      </c>
    </row>
    <row r="2674" spans="1:17" x14ac:dyDescent="0.3">
      <c r="A2674" t="s">
        <v>4664</v>
      </c>
      <c r="B2674" t="str">
        <f>"001267"</f>
        <v>001267</v>
      </c>
      <c r="C2674" t="s">
        <v>5681</v>
      </c>
      <c r="D2674" t="s">
        <v>2408</v>
      </c>
      <c r="F2674">
        <v>44195456</v>
      </c>
      <c r="P2674">
        <v>10</v>
      </c>
      <c r="Q2674" t="s">
        <v>5682</v>
      </c>
    </row>
    <row r="2675" spans="1:17" x14ac:dyDescent="0.3">
      <c r="A2675" t="s">
        <v>4664</v>
      </c>
      <c r="B2675" t="str">
        <f>"001288"</f>
        <v>001288</v>
      </c>
      <c r="C2675" t="s">
        <v>5683</v>
      </c>
      <c r="D2675" t="s">
        <v>395</v>
      </c>
      <c r="F2675">
        <v>49476401</v>
      </c>
      <c r="P2675">
        <v>14</v>
      </c>
      <c r="Q2675" t="s">
        <v>5684</v>
      </c>
    </row>
    <row r="2676" spans="1:17" x14ac:dyDescent="0.3">
      <c r="A2676" t="s">
        <v>4664</v>
      </c>
      <c r="B2676" t="str">
        <f>"001296"</f>
        <v>001296</v>
      </c>
      <c r="C2676" t="s">
        <v>5685</v>
      </c>
      <c r="D2676" t="s">
        <v>2739</v>
      </c>
      <c r="F2676">
        <v>80351838</v>
      </c>
      <c r="G2676">
        <v>89477574</v>
      </c>
      <c r="P2676">
        <v>15</v>
      </c>
      <c r="Q2676" t="s">
        <v>5686</v>
      </c>
    </row>
    <row r="2677" spans="1:17" x14ac:dyDescent="0.3">
      <c r="A2677" t="s">
        <v>4664</v>
      </c>
      <c r="B2677" t="str">
        <f>"001313"</f>
        <v>001313</v>
      </c>
      <c r="C2677" t="s">
        <v>5687</v>
      </c>
      <c r="F2677">
        <v>159845279</v>
      </c>
      <c r="G2677">
        <v>159627371</v>
      </c>
      <c r="P2677">
        <v>10</v>
      </c>
      <c r="Q2677" t="s">
        <v>5688</v>
      </c>
    </row>
    <row r="2678" spans="1:17" x14ac:dyDescent="0.3">
      <c r="A2678" t="s">
        <v>4664</v>
      </c>
      <c r="B2678" t="str">
        <f>"001317"</f>
        <v>001317</v>
      </c>
      <c r="C2678" t="s">
        <v>5689</v>
      </c>
      <c r="D2678" t="s">
        <v>301</v>
      </c>
      <c r="F2678">
        <v>46124517</v>
      </c>
      <c r="P2678">
        <v>23</v>
      </c>
      <c r="Q2678" t="s">
        <v>5690</v>
      </c>
    </row>
    <row r="2679" spans="1:17" x14ac:dyDescent="0.3">
      <c r="A2679" t="s">
        <v>4664</v>
      </c>
      <c r="B2679" t="str">
        <f>"001696"</f>
        <v>001696</v>
      </c>
      <c r="C2679" t="s">
        <v>5691</v>
      </c>
      <c r="D2679" t="s">
        <v>560</v>
      </c>
      <c r="F2679">
        <v>375075975</v>
      </c>
      <c r="G2679">
        <v>502516552</v>
      </c>
      <c r="H2679">
        <v>338514976</v>
      </c>
      <c r="I2679">
        <v>293093543</v>
      </c>
      <c r="J2679">
        <v>222298869</v>
      </c>
      <c r="K2679">
        <v>244520526</v>
      </c>
      <c r="L2679">
        <v>292261116</v>
      </c>
      <c r="M2679">
        <v>295446156</v>
      </c>
      <c r="N2679">
        <v>236700237</v>
      </c>
      <c r="O2679">
        <v>249678094</v>
      </c>
      <c r="P2679">
        <v>274</v>
      </c>
      <c r="Q2679" t="s">
        <v>5692</v>
      </c>
    </row>
    <row r="2680" spans="1:17" x14ac:dyDescent="0.3">
      <c r="A2680" t="s">
        <v>4664</v>
      </c>
      <c r="B2680" t="str">
        <f>"001872"</f>
        <v>001872</v>
      </c>
      <c r="C2680" t="s">
        <v>5693</v>
      </c>
      <c r="D2680" t="s">
        <v>51</v>
      </c>
      <c r="F2680">
        <v>2433805397</v>
      </c>
      <c r="G2680">
        <v>1275138432</v>
      </c>
      <c r="H2680">
        <v>2470272755</v>
      </c>
      <c r="I2680">
        <v>453216946</v>
      </c>
      <c r="J2680">
        <v>440423392</v>
      </c>
      <c r="K2680">
        <v>427240244</v>
      </c>
      <c r="L2680">
        <v>417509806</v>
      </c>
      <c r="M2680">
        <v>366700554</v>
      </c>
      <c r="N2680">
        <v>446791244</v>
      </c>
      <c r="O2680">
        <v>366435050</v>
      </c>
      <c r="P2680">
        <v>254</v>
      </c>
      <c r="Q2680" t="s">
        <v>5694</v>
      </c>
    </row>
    <row r="2681" spans="1:17" x14ac:dyDescent="0.3">
      <c r="A2681" t="s">
        <v>4664</v>
      </c>
      <c r="B2681" t="str">
        <f>"001896"</f>
        <v>001896</v>
      </c>
      <c r="C2681" t="s">
        <v>5695</v>
      </c>
      <c r="D2681" t="s">
        <v>41</v>
      </c>
      <c r="F2681">
        <v>-802873882</v>
      </c>
      <c r="G2681">
        <v>413075843</v>
      </c>
      <c r="H2681">
        <v>201658770</v>
      </c>
      <c r="I2681">
        <v>-304865003</v>
      </c>
      <c r="J2681">
        <v>93702536</v>
      </c>
      <c r="K2681">
        <v>548863839</v>
      </c>
      <c r="L2681">
        <v>437630171</v>
      </c>
      <c r="M2681">
        <v>304071261</v>
      </c>
      <c r="N2681">
        <v>229907153</v>
      </c>
      <c r="O2681">
        <v>-18954175</v>
      </c>
      <c r="P2681">
        <v>202</v>
      </c>
      <c r="Q2681" t="s">
        <v>5696</v>
      </c>
    </row>
    <row r="2682" spans="1:17" x14ac:dyDescent="0.3">
      <c r="A2682" t="s">
        <v>4664</v>
      </c>
      <c r="B2682" t="str">
        <f>"001914"</f>
        <v>001914</v>
      </c>
      <c r="C2682" t="s">
        <v>5697</v>
      </c>
      <c r="D2682" t="s">
        <v>2948</v>
      </c>
      <c r="F2682">
        <v>382271387</v>
      </c>
      <c r="G2682">
        <v>327314409</v>
      </c>
      <c r="H2682">
        <v>138337369</v>
      </c>
      <c r="I2682">
        <v>830673199</v>
      </c>
      <c r="J2682">
        <v>-71740954</v>
      </c>
      <c r="K2682">
        <v>-26198511</v>
      </c>
      <c r="L2682">
        <v>-169215025</v>
      </c>
      <c r="M2682">
        <v>-68691852</v>
      </c>
      <c r="N2682">
        <v>25100434</v>
      </c>
      <c r="O2682">
        <v>194627519</v>
      </c>
      <c r="P2682">
        <v>264</v>
      </c>
      <c r="Q2682" t="s">
        <v>5698</v>
      </c>
    </row>
    <row r="2683" spans="1:17" x14ac:dyDescent="0.3">
      <c r="A2683" t="s">
        <v>4664</v>
      </c>
      <c r="B2683" t="str">
        <f>"001965"</f>
        <v>001965</v>
      </c>
      <c r="C2683" t="s">
        <v>5699</v>
      </c>
      <c r="D2683" t="s">
        <v>44</v>
      </c>
      <c r="F2683">
        <v>4022196944</v>
      </c>
      <c r="G2683">
        <v>1246301000</v>
      </c>
      <c r="H2683">
        <v>3321351913</v>
      </c>
      <c r="I2683">
        <v>3030708752</v>
      </c>
      <c r="J2683">
        <v>2810419900</v>
      </c>
      <c r="K2683">
        <v>2328154200</v>
      </c>
      <c r="P2683">
        <v>359</v>
      </c>
      <c r="Q2683" t="s">
        <v>5700</v>
      </c>
    </row>
    <row r="2684" spans="1:17" x14ac:dyDescent="0.3">
      <c r="A2684" t="s">
        <v>4664</v>
      </c>
      <c r="B2684" t="str">
        <f>"001979"</f>
        <v>001979</v>
      </c>
      <c r="C2684" t="s">
        <v>5701</v>
      </c>
      <c r="D2684" t="s">
        <v>30</v>
      </c>
      <c r="F2684">
        <v>6351074888</v>
      </c>
      <c r="G2684">
        <v>2191814938</v>
      </c>
      <c r="H2684">
        <v>5092902654</v>
      </c>
      <c r="I2684">
        <v>8275161990</v>
      </c>
      <c r="J2684">
        <v>3718101610</v>
      </c>
      <c r="K2684">
        <v>5610675956</v>
      </c>
      <c r="L2684">
        <v>1910465479</v>
      </c>
      <c r="M2684">
        <v>1719094322</v>
      </c>
      <c r="P2684">
        <v>1456</v>
      </c>
      <c r="Q2684" t="s">
        <v>5702</v>
      </c>
    </row>
    <row r="2685" spans="1:17" x14ac:dyDescent="0.3">
      <c r="A2685" t="s">
        <v>4664</v>
      </c>
      <c r="B2685" t="str">
        <f>"002001"</f>
        <v>002001</v>
      </c>
      <c r="C2685" t="s">
        <v>5703</v>
      </c>
      <c r="D2685" t="s">
        <v>496</v>
      </c>
      <c r="F2685">
        <v>3366090298</v>
      </c>
      <c r="G2685">
        <v>2937403053</v>
      </c>
      <c r="H2685">
        <v>1705875626</v>
      </c>
      <c r="I2685">
        <v>2537389099</v>
      </c>
      <c r="J2685">
        <v>901046879</v>
      </c>
      <c r="K2685">
        <v>845357507</v>
      </c>
      <c r="L2685">
        <v>284986284</v>
      </c>
      <c r="M2685">
        <v>712748951</v>
      </c>
      <c r="N2685">
        <v>610729613</v>
      </c>
      <c r="O2685">
        <v>760992538</v>
      </c>
      <c r="P2685">
        <v>1984</v>
      </c>
      <c r="Q2685" t="s">
        <v>5704</v>
      </c>
    </row>
    <row r="2686" spans="1:17" x14ac:dyDescent="0.3">
      <c r="A2686" t="s">
        <v>4664</v>
      </c>
      <c r="B2686" t="str">
        <f>"002002"</f>
        <v>002002</v>
      </c>
      <c r="C2686" t="s">
        <v>5705</v>
      </c>
      <c r="D2686" t="s">
        <v>175</v>
      </c>
      <c r="F2686">
        <v>1329807555</v>
      </c>
      <c r="G2686">
        <v>583766929</v>
      </c>
      <c r="H2686">
        <v>486955968</v>
      </c>
      <c r="I2686">
        <v>664730537</v>
      </c>
      <c r="J2686">
        <v>856470855</v>
      </c>
      <c r="K2686">
        <v>521671085</v>
      </c>
      <c r="L2686">
        <v>316675567</v>
      </c>
      <c r="M2686">
        <v>256179394</v>
      </c>
      <c r="N2686">
        <v>191323937</v>
      </c>
      <c r="O2686">
        <v>-9631162</v>
      </c>
      <c r="P2686">
        <v>451</v>
      </c>
      <c r="Q2686" t="s">
        <v>5706</v>
      </c>
    </row>
    <row r="2687" spans="1:17" x14ac:dyDescent="0.3">
      <c r="A2687" t="s">
        <v>4664</v>
      </c>
      <c r="B2687" t="str">
        <f>"002003"</f>
        <v>002003</v>
      </c>
      <c r="C2687" t="s">
        <v>5707</v>
      </c>
      <c r="D2687" t="s">
        <v>2929</v>
      </c>
      <c r="F2687">
        <v>399264289</v>
      </c>
      <c r="G2687">
        <v>345542341</v>
      </c>
      <c r="H2687">
        <v>280076737</v>
      </c>
      <c r="I2687">
        <v>302429913</v>
      </c>
      <c r="J2687">
        <v>279516171</v>
      </c>
      <c r="K2687">
        <v>236049787</v>
      </c>
      <c r="L2687">
        <v>200873542</v>
      </c>
      <c r="M2687">
        <v>193348721</v>
      </c>
      <c r="N2687">
        <v>167019986</v>
      </c>
      <c r="O2687">
        <v>150332270</v>
      </c>
      <c r="P2687">
        <v>761</v>
      </c>
      <c r="Q2687" t="s">
        <v>5708</v>
      </c>
    </row>
    <row r="2688" spans="1:17" x14ac:dyDescent="0.3">
      <c r="A2688" t="s">
        <v>4664</v>
      </c>
      <c r="B2688" t="str">
        <f>"002004"</f>
        <v>002004</v>
      </c>
      <c r="C2688" t="s">
        <v>5709</v>
      </c>
      <c r="D2688" t="s">
        <v>143</v>
      </c>
      <c r="F2688">
        <v>520605679</v>
      </c>
      <c r="G2688">
        <v>513917104</v>
      </c>
      <c r="H2688">
        <v>506935016</v>
      </c>
      <c r="I2688">
        <v>478218395</v>
      </c>
      <c r="J2688">
        <v>459684885</v>
      </c>
      <c r="K2688">
        <v>611689862</v>
      </c>
      <c r="L2688">
        <v>590586391</v>
      </c>
      <c r="M2688">
        <v>368845401</v>
      </c>
      <c r="N2688">
        <v>259562480</v>
      </c>
      <c r="O2688">
        <v>309089961</v>
      </c>
      <c r="P2688">
        <v>328</v>
      </c>
      <c r="Q2688" t="s">
        <v>5710</v>
      </c>
    </row>
    <row r="2689" spans="1:17" x14ac:dyDescent="0.3">
      <c r="A2689" t="s">
        <v>4664</v>
      </c>
      <c r="B2689" t="str">
        <f>"002005"</f>
        <v>002005</v>
      </c>
      <c r="C2689" t="s">
        <v>5711</v>
      </c>
      <c r="D2689" t="s">
        <v>5712</v>
      </c>
      <c r="F2689">
        <v>-221201663</v>
      </c>
      <c r="G2689">
        <v>-164740122</v>
      </c>
      <c r="H2689">
        <v>-179993666</v>
      </c>
      <c r="I2689">
        <v>13704328</v>
      </c>
      <c r="J2689">
        <v>-99895950</v>
      </c>
      <c r="K2689">
        <v>18471320</v>
      </c>
      <c r="L2689">
        <v>61250135</v>
      </c>
      <c r="M2689">
        <v>70453932</v>
      </c>
      <c r="N2689">
        <v>50266527</v>
      </c>
      <c r="O2689">
        <v>115430270</v>
      </c>
      <c r="P2689">
        <v>74</v>
      </c>
      <c r="Q2689" t="s">
        <v>5713</v>
      </c>
    </row>
    <row r="2690" spans="1:17" x14ac:dyDescent="0.3">
      <c r="A2690" t="s">
        <v>4664</v>
      </c>
      <c r="B2690" t="str">
        <f>"002006"</f>
        <v>002006</v>
      </c>
      <c r="C2690" t="s">
        <v>5714</v>
      </c>
      <c r="D2690" t="s">
        <v>741</v>
      </c>
      <c r="F2690">
        <v>83751038</v>
      </c>
      <c r="G2690">
        <v>16741988</v>
      </c>
      <c r="H2690">
        <v>-63891702</v>
      </c>
      <c r="I2690">
        <v>32065579</v>
      </c>
      <c r="J2690">
        <v>30262846</v>
      </c>
      <c r="K2690">
        <v>52714657</v>
      </c>
      <c r="L2690">
        <v>5124510</v>
      </c>
      <c r="M2690">
        <v>-33150228</v>
      </c>
      <c r="N2690">
        <v>-76507638</v>
      </c>
      <c r="O2690">
        <v>-27724844</v>
      </c>
      <c r="P2690">
        <v>127</v>
      </c>
      <c r="Q2690" t="s">
        <v>5715</v>
      </c>
    </row>
    <row r="2691" spans="1:17" x14ac:dyDescent="0.3">
      <c r="A2691" t="s">
        <v>4664</v>
      </c>
      <c r="B2691" t="str">
        <f>"002007"</f>
        <v>002007</v>
      </c>
      <c r="C2691" t="s">
        <v>5716</v>
      </c>
      <c r="D2691" t="s">
        <v>378</v>
      </c>
      <c r="F2691">
        <v>1056763049</v>
      </c>
      <c r="G2691">
        <v>964190294</v>
      </c>
      <c r="H2691">
        <v>963814968</v>
      </c>
      <c r="I2691">
        <v>759588197</v>
      </c>
      <c r="J2691">
        <v>619098694</v>
      </c>
      <c r="K2691">
        <v>607309153</v>
      </c>
      <c r="L2691">
        <v>459476372</v>
      </c>
      <c r="M2691">
        <v>422644502</v>
      </c>
      <c r="N2691">
        <v>350571620</v>
      </c>
      <c r="O2691">
        <v>234696545</v>
      </c>
      <c r="P2691">
        <v>13194</v>
      </c>
      <c r="Q2691" t="s">
        <v>5717</v>
      </c>
    </row>
    <row r="2692" spans="1:17" x14ac:dyDescent="0.3">
      <c r="A2692" t="s">
        <v>4664</v>
      </c>
      <c r="B2692" t="str">
        <f>"002008"</f>
        <v>002008</v>
      </c>
      <c r="C2692" t="s">
        <v>5718</v>
      </c>
      <c r="D2692" t="s">
        <v>3784</v>
      </c>
      <c r="F2692">
        <v>1500453710</v>
      </c>
      <c r="G2692">
        <v>1020266198</v>
      </c>
      <c r="H2692">
        <v>600202549</v>
      </c>
      <c r="I2692">
        <v>1656691738</v>
      </c>
      <c r="J2692">
        <v>1502154125</v>
      </c>
      <c r="K2692">
        <v>632979798</v>
      </c>
      <c r="L2692">
        <v>611521781</v>
      </c>
      <c r="M2692">
        <v>528922240</v>
      </c>
      <c r="N2692">
        <v>317018503</v>
      </c>
      <c r="O2692">
        <v>534781017</v>
      </c>
      <c r="P2692">
        <v>4830</v>
      </c>
      <c r="Q2692" t="s">
        <v>5719</v>
      </c>
    </row>
    <row r="2693" spans="1:17" x14ac:dyDescent="0.3">
      <c r="A2693" t="s">
        <v>4664</v>
      </c>
      <c r="B2693" t="str">
        <f>"002009"</f>
        <v>002009</v>
      </c>
      <c r="C2693" t="s">
        <v>5720</v>
      </c>
      <c r="D2693" t="s">
        <v>741</v>
      </c>
      <c r="F2693">
        <v>146594846</v>
      </c>
      <c r="G2693">
        <v>53231022</v>
      </c>
      <c r="H2693">
        <v>72439126</v>
      </c>
      <c r="I2693">
        <v>137143745</v>
      </c>
      <c r="J2693">
        <v>79550371</v>
      </c>
      <c r="K2693">
        <v>65666371</v>
      </c>
      <c r="L2693">
        <v>50239068</v>
      </c>
      <c r="M2693">
        <v>81953556</v>
      </c>
      <c r="N2693">
        <v>67770623</v>
      </c>
      <c r="O2693">
        <v>48202617</v>
      </c>
      <c r="P2693">
        <v>148</v>
      </c>
      <c r="Q2693" t="s">
        <v>5721</v>
      </c>
    </row>
    <row r="2694" spans="1:17" x14ac:dyDescent="0.3">
      <c r="A2694" t="s">
        <v>4664</v>
      </c>
      <c r="B2694" t="str">
        <f>"002010"</f>
        <v>002010</v>
      </c>
      <c r="C2694" t="s">
        <v>5722</v>
      </c>
      <c r="D2694" t="s">
        <v>2492</v>
      </c>
      <c r="F2694">
        <v>936494912</v>
      </c>
      <c r="G2694">
        <v>665229128</v>
      </c>
      <c r="H2694">
        <v>827291299</v>
      </c>
      <c r="I2694">
        <v>404435500</v>
      </c>
      <c r="J2694">
        <v>238313168</v>
      </c>
      <c r="K2694">
        <v>572235388</v>
      </c>
      <c r="L2694">
        <v>307013022</v>
      </c>
      <c r="M2694">
        <v>154335088</v>
      </c>
      <c r="N2694">
        <v>132515405</v>
      </c>
      <c r="O2694">
        <v>121016255</v>
      </c>
      <c r="P2694">
        <v>279</v>
      </c>
      <c r="Q2694" t="s">
        <v>5723</v>
      </c>
    </row>
    <row r="2695" spans="1:17" x14ac:dyDescent="0.3">
      <c r="A2695" t="s">
        <v>4664</v>
      </c>
      <c r="B2695" t="str">
        <f>"002011"</f>
        <v>002011</v>
      </c>
      <c r="C2695" t="s">
        <v>5724</v>
      </c>
      <c r="D2695" t="s">
        <v>1253</v>
      </c>
      <c r="F2695">
        <v>342212033</v>
      </c>
      <c r="G2695">
        <v>-188679784</v>
      </c>
      <c r="H2695">
        <v>508035109</v>
      </c>
      <c r="I2695">
        <v>41376715</v>
      </c>
      <c r="J2695">
        <v>58052360</v>
      </c>
      <c r="K2695">
        <v>56763167</v>
      </c>
      <c r="L2695">
        <v>69850546</v>
      </c>
      <c r="M2695">
        <v>114415860</v>
      </c>
      <c r="N2695">
        <v>290432872</v>
      </c>
      <c r="O2695">
        <v>254096932</v>
      </c>
      <c r="P2695">
        <v>201</v>
      </c>
      <c r="Q2695" t="s">
        <v>5725</v>
      </c>
    </row>
    <row r="2696" spans="1:17" x14ac:dyDescent="0.3">
      <c r="A2696" t="s">
        <v>4664</v>
      </c>
      <c r="B2696" t="str">
        <f>"002012"</f>
        <v>002012</v>
      </c>
      <c r="C2696" t="s">
        <v>5726</v>
      </c>
      <c r="D2696" t="s">
        <v>244</v>
      </c>
      <c r="F2696">
        <v>64406620</v>
      </c>
      <c r="G2696">
        <v>60725531</v>
      </c>
      <c r="H2696">
        <v>38436033</v>
      </c>
      <c r="I2696">
        <v>18518125</v>
      </c>
      <c r="J2696">
        <v>24127184</v>
      </c>
      <c r="K2696">
        <v>-15860643</v>
      </c>
      <c r="L2696">
        <v>20612848</v>
      </c>
      <c r="M2696">
        <v>36208643</v>
      </c>
      <c r="N2696">
        <v>48399866</v>
      </c>
      <c r="O2696">
        <v>67894915</v>
      </c>
      <c r="P2696">
        <v>131</v>
      </c>
      <c r="Q2696" t="s">
        <v>5727</v>
      </c>
    </row>
    <row r="2697" spans="1:17" x14ac:dyDescent="0.3">
      <c r="A2697" t="s">
        <v>4664</v>
      </c>
      <c r="B2697" t="str">
        <f>"002013"</f>
        <v>002013</v>
      </c>
      <c r="C2697" t="s">
        <v>5728</v>
      </c>
      <c r="D2697" t="s">
        <v>98</v>
      </c>
      <c r="F2697">
        <v>887862179</v>
      </c>
      <c r="G2697">
        <v>623400792</v>
      </c>
      <c r="H2697">
        <v>566807005</v>
      </c>
      <c r="I2697">
        <v>503425919</v>
      </c>
      <c r="J2697">
        <v>301741996</v>
      </c>
      <c r="K2697">
        <v>240019260</v>
      </c>
      <c r="L2697">
        <v>188127825</v>
      </c>
      <c r="M2697">
        <v>232954511</v>
      </c>
      <c r="N2697">
        <v>269399236</v>
      </c>
      <c r="O2697">
        <v>31191457</v>
      </c>
      <c r="P2697">
        <v>656</v>
      </c>
      <c r="Q2697" t="s">
        <v>5729</v>
      </c>
    </row>
    <row r="2698" spans="1:17" x14ac:dyDescent="0.3">
      <c r="A2698" t="s">
        <v>4664</v>
      </c>
      <c r="B2698" t="str">
        <f>"002014"</f>
        <v>002014</v>
      </c>
      <c r="C2698" t="s">
        <v>5730</v>
      </c>
      <c r="D2698" t="s">
        <v>485</v>
      </c>
      <c r="F2698">
        <v>213734805</v>
      </c>
      <c r="G2698">
        <v>216345472</v>
      </c>
      <c r="H2698">
        <v>184913571</v>
      </c>
      <c r="I2698">
        <v>149184346</v>
      </c>
      <c r="J2698">
        <v>135643643</v>
      </c>
      <c r="K2698">
        <v>145031103</v>
      </c>
      <c r="L2698">
        <v>123440607</v>
      </c>
      <c r="M2698">
        <v>103829365</v>
      </c>
      <c r="N2698">
        <v>119616746</v>
      </c>
      <c r="O2698">
        <v>121968031</v>
      </c>
      <c r="P2698">
        <v>467</v>
      </c>
      <c r="Q2698" t="s">
        <v>5731</v>
      </c>
    </row>
    <row r="2699" spans="1:17" x14ac:dyDescent="0.3">
      <c r="A2699" t="s">
        <v>4664</v>
      </c>
      <c r="B2699" t="str">
        <f>"002015"</f>
        <v>002015</v>
      </c>
      <c r="C2699" t="s">
        <v>5732</v>
      </c>
      <c r="D2699" t="s">
        <v>351</v>
      </c>
      <c r="F2699">
        <v>804805061</v>
      </c>
      <c r="G2699">
        <v>632714908</v>
      </c>
      <c r="H2699">
        <v>430641809</v>
      </c>
      <c r="I2699">
        <v>1144863</v>
      </c>
      <c r="J2699">
        <v>-3530528</v>
      </c>
      <c r="K2699">
        <v>-28122159</v>
      </c>
      <c r="L2699">
        <v>90668575</v>
      </c>
      <c r="M2699">
        <v>-448678012</v>
      </c>
      <c r="N2699">
        <v>-128581899</v>
      </c>
      <c r="O2699">
        <v>18702103</v>
      </c>
      <c r="P2699">
        <v>239</v>
      </c>
      <c r="Q2699" t="s">
        <v>5733</v>
      </c>
    </row>
    <row r="2700" spans="1:17" x14ac:dyDescent="0.3">
      <c r="A2700" t="s">
        <v>4664</v>
      </c>
      <c r="B2700" t="str">
        <f>"002016"</f>
        <v>002016</v>
      </c>
      <c r="C2700" t="s">
        <v>5734</v>
      </c>
      <c r="D2700" t="s">
        <v>104</v>
      </c>
      <c r="F2700">
        <v>383729156</v>
      </c>
      <c r="G2700">
        <v>646070797</v>
      </c>
      <c r="H2700">
        <v>749235967</v>
      </c>
      <c r="I2700">
        <v>573685327</v>
      </c>
      <c r="J2700">
        <v>394620364</v>
      </c>
      <c r="K2700">
        <v>92906289</v>
      </c>
      <c r="L2700">
        <v>44449660</v>
      </c>
      <c r="M2700">
        <v>29429164</v>
      </c>
      <c r="N2700">
        <v>438506684</v>
      </c>
      <c r="O2700">
        <v>9148300</v>
      </c>
      <c r="P2700">
        <v>457</v>
      </c>
      <c r="Q2700" t="s">
        <v>5735</v>
      </c>
    </row>
    <row r="2701" spans="1:17" x14ac:dyDescent="0.3">
      <c r="A2701" t="s">
        <v>4664</v>
      </c>
      <c r="B2701" t="str">
        <f>"002017"</f>
        <v>002017</v>
      </c>
      <c r="C2701" t="s">
        <v>5736</v>
      </c>
      <c r="D2701" t="s">
        <v>786</v>
      </c>
      <c r="F2701">
        <v>28579438</v>
      </c>
      <c r="G2701">
        <v>23881504</v>
      </c>
      <c r="H2701">
        <v>29689113</v>
      </c>
      <c r="I2701">
        <v>30686288</v>
      </c>
      <c r="J2701">
        <v>29453225</v>
      </c>
      <c r="K2701">
        <v>41494119</v>
      </c>
      <c r="L2701">
        <v>41269755</v>
      </c>
      <c r="M2701">
        <v>31136785</v>
      </c>
      <c r="N2701">
        <v>18549340</v>
      </c>
      <c r="O2701">
        <v>22856289</v>
      </c>
      <c r="P2701">
        <v>216</v>
      </c>
      <c r="Q2701" t="s">
        <v>5737</v>
      </c>
    </row>
    <row r="2702" spans="1:17" x14ac:dyDescent="0.3">
      <c r="A2702" t="s">
        <v>4664</v>
      </c>
      <c r="B2702" t="str">
        <f>"002018"</f>
        <v>002018</v>
      </c>
      <c r="C2702" t="s">
        <v>5738</v>
      </c>
      <c r="H2702">
        <v>-65049299</v>
      </c>
      <c r="I2702">
        <v>-1245498243</v>
      </c>
      <c r="J2702">
        <v>381227437</v>
      </c>
      <c r="K2702">
        <v>211650962</v>
      </c>
      <c r="L2702">
        <v>10564321</v>
      </c>
      <c r="M2702">
        <v>77354025</v>
      </c>
      <c r="N2702">
        <v>30339946</v>
      </c>
      <c r="O2702">
        <v>8671680</v>
      </c>
      <c r="P2702">
        <v>40</v>
      </c>
      <c r="Q2702" t="s">
        <v>5739</v>
      </c>
    </row>
    <row r="2703" spans="1:17" x14ac:dyDescent="0.3">
      <c r="A2703" t="s">
        <v>4664</v>
      </c>
      <c r="B2703" t="str">
        <f>"002019"</f>
        <v>002019</v>
      </c>
      <c r="C2703" t="s">
        <v>5740</v>
      </c>
      <c r="D2703" t="s">
        <v>143</v>
      </c>
      <c r="F2703">
        <v>290763439</v>
      </c>
      <c r="G2703">
        <v>911266385</v>
      </c>
      <c r="H2703">
        <v>742154059</v>
      </c>
      <c r="I2703">
        <v>711069197</v>
      </c>
      <c r="J2703">
        <v>876506174</v>
      </c>
      <c r="K2703">
        <v>536593798</v>
      </c>
      <c r="L2703">
        <v>293519410</v>
      </c>
      <c r="M2703">
        <v>111416637</v>
      </c>
      <c r="N2703">
        <v>15104955</v>
      </c>
      <c r="O2703">
        <v>25239279</v>
      </c>
      <c r="P2703">
        <v>973</v>
      </c>
      <c r="Q2703" t="s">
        <v>5741</v>
      </c>
    </row>
    <row r="2704" spans="1:17" x14ac:dyDescent="0.3">
      <c r="A2704" t="s">
        <v>4664</v>
      </c>
      <c r="B2704" t="str">
        <f>"002020"</f>
        <v>002020</v>
      </c>
      <c r="C2704" t="s">
        <v>5742</v>
      </c>
      <c r="D2704" t="s">
        <v>143</v>
      </c>
      <c r="F2704">
        <v>429210066</v>
      </c>
      <c r="G2704">
        <v>372550098</v>
      </c>
      <c r="H2704">
        <v>488972457</v>
      </c>
      <c r="I2704">
        <v>341006983</v>
      </c>
      <c r="J2704">
        <v>249079381</v>
      </c>
      <c r="K2704">
        <v>200418732</v>
      </c>
      <c r="L2704">
        <v>144256161</v>
      </c>
      <c r="M2704">
        <v>93031487</v>
      </c>
      <c r="N2704">
        <v>55107555</v>
      </c>
      <c r="O2704">
        <v>26469859</v>
      </c>
      <c r="P2704">
        <v>619</v>
      </c>
      <c r="Q2704" t="s">
        <v>5743</v>
      </c>
    </row>
    <row r="2705" spans="1:17" x14ac:dyDescent="0.3">
      <c r="A2705" t="s">
        <v>4664</v>
      </c>
      <c r="B2705" t="str">
        <f>"002021"</f>
        <v>002021</v>
      </c>
      <c r="C2705" t="s">
        <v>5744</v>
      </c>
      <c r="D2705" t="s">
        <v>534</v>
      </c>
      <c r="F2705">
        <v>20826376</v>
      </c>
      <c r="G2705">
        <v>-25735288</v>
      </c>
      <c r="H2705">
        <v>-47367246</v>
      </c>
      <c r="I2705">
        <v>23371967</v>
      </c>
      <c r="J2705">
        <v>-58264979</v>
      </c>
      <c r="K2705">
        <v>-73086983</v>
      </c>
      <c r="L2705">
        <v>-89320399</v>
      </c>
      <c r="M2705">
        <v>-14934964</v>
      </c>
      <c r="N2705">
        <v>26029900</v>
      </c>
      <c r="O2705">
        <v>12497657</v>
      </c>
      <c r="P2705">
        <v>57</v>
      </c>
      <c r="Q2705" t="s">
        <v>5745</v>
      </c>
    </row>
    <row r="2706" spans="1:17" x14ac:dyDescent="0.3">
      <c r="A2706" t="s">
        <v>4664</v>
      </c>
      <c r="B2706" t="str">
        <f>"002022"</f>
        <v>002022</v>
      </c>
      <c r="C2706" t="s">
        <v>5746</v>
      </c>
      <c r="D2706" t="s">
        <v>1305</v>
      </c>
      <c r="F2706">
        <v>729089582</v>
      </c>
      <c r="G2706">
        <v>401829128</v>
      </c>
      <c r="H2706">
        <v>208307634</v>
      </c>
      <c r="I2706">
        <v>200785937</v>
      </c>
      <c r="J2706">
        <v>185830809</v>
      </c>
      <c r="K2706">
        <v>204182122</v>
      </c>
      <c r="L2706">
        <v>189674057</v>
      </c>
      <c r="M2706">
        <v>245107950</v>
      </c>
      <c r="N2706">
        <v>242196863</v>
      </c>
      <c r="O2706">
        <v>201390251</v>
      </c>
      <c r="P2706">
        <v>1024</v>
      </c>
      <c r="Q2706" t="s">
        <v>5747</v>
      </c>
    </row>
    <row r="2707" spans="1:17" x14ac:dyDescent="0.3">
      <c r="A2707" t="s">
        <v>4664</v>
      </c>
      <c r="B2707" t="str">
        <f>"002023"</f>
        <v>002023</v>
      </c>
      <c r="C2707" t="s">
        <v>5748</v>
      </c>
      <c r="D2707" t="s">
        <v>98</v>
      </c>
      <c r="F2707">
        <v>676775831</v>
      </c>
      <c r="G2707">
        <v>-15954100</v>
      </c>
      <c r="H2707">
        <v>49923558</v>
      </c>
      <c r="I2707">
        <v>48608255</v>
      </c>
      <c r="J2707">
        <v>44095441</v>
      </c>
      <c r="K2707">
        <v>43534844</v>
      </c>
      <c r="L2707">
        <v>45826867</v>
      </c>
      <c r="M2707">
        <v>109502634</v>
      </c>
      <c r="N2707">
        <v>78032385</v>
      </c>
      <c r="O2707">
        <v>50334265</v>
      </c>
      <c r="P2707">
        <v>580</v>
      </c>
      <c r="Q2707" t="s">
        <v>5749</v>
      </c>
    </row>
    <row r="2708" spans="1:17" x14ac:dyDescent="0.3">
      <c r="A2708" t="s">
        <v>4664</v>
      </c>
      <c r="B2708" t="str">
        <f>"002024"</f>
        <v>002024</v>
      </c>
      <c r="C2708" t="s">
        <v>5750</v>
      </c>
      <c r="D2708" t="s">
        <v>3066</v>
      </c>
      <c r="F2708">
        <v>-7568164000</v>
      </c>
      <c r="G2708">
        <v>547114000</v>
      </c>
      <c r="H2708">
        <v>11903313000</v>
      </c>
      <c r="I2708">
        <v>6126764000</v>
      </c>
      <c r="J2708">
        <v>671713000</v>
      </c>
      <c r="K2708">
        <v>-303627000</v>
      </c>
      <c r="L2708">
        <v>53043000</v>
      </c>
      <c r="M2708">
        <v>-1041252000</v>
      </c>
      <c r="N2708">
        <v>625494000</v>
      </c>
      <c r="O2708">
        <v>2351993000</v>
      </c>
      <c r="P2708">
        <v>1902</v>
      </c>
      <c r="Q2708" t="s">
        <v>5751</v>
      </c>
    </row>
    <row r="2709" spans="1:17" x14ac:dyDescent="0.3">
      <c r="A2709" t="s">
        <v>4664</v>
      </c>
      <c r="B2709" t="str">
        <f>"002025"</f>
        <v>002025</v>
      </c>
      <c r="C2709" t="s">
        <v>5752</v>
      </c>
      <c r="D2709" t="s">
        <v>1136</v>
      </c>
      <c r="F2709">
        <v>393024860</v>
      </c>
      <c r="G2709">
        <v>307387636</v>
      </c>
      <c r="H2709">
        <v>296517628</v>
      </c>
      <c r="I2709">
        <v>266326973</v>
      </c>
      <c r="J2709">
        <v>227254145</v>
      </c>
      <c r="K2709">
        <v>199516823</v>
      </c>
      <c r="L2709">
        <v>172675691</v>
      </c>
      <c r="M2709">
        <v>144754821</v>
      </c>
      <c r="N2709">
        <v>129802471</v>
      </c>
      <c r="O2709">
        <v>121175970</v>
      </c>
      <c r="P2709">
        <v>468</v>
      </c>
      <c r="Q2709" t="s">
        <v>5753</v>
      </c>
    </row>
    <row r="2710" spans="1:17" x14ac:dyDescent="0.3">
      <c r="A2710" t="s">
        <v>4664</v>
      </c>
      <c r="B2710" t="str">
        <f>"002026"</f>
        <v>002026</v>
      </c>
      <c r="C2710" t="s">
        <v>5754</v>
      </c>
      <c r="D2710" t="s">
        <v>274</v>
      </c>
      <c r="F2710">
        <v>283876616</v>
      </c>
      <c r="G2710">
        <v>166607137</v>
      </c>
      <c r="H2710">
        <v>102632157</v>
      </c>
      <c r="I2710">
        <v>147266317</v>
      </c>
      <c r="J2710">
        <v>109153010</v>
      </c>
      <c r="K2710">
        <v>86452685</v>
      </c>
      <c r="L2710">
        <v>52393303</v>
      </c>
      <c r="M2710">
        <v>83177336</v>
      </c>
      <c r="N2710">
        <v>38319492</v>
      </c>
      <c r="O2710">
        <v>49520195</v>
      </c>
      <c r="P2710">
        <v>208</v>
      </c>
      <c r="Q2710" t="s">
        <v>5755</v>
      </c>
    </row>
    <row r="2711" spans="1:17" x14ac:dyDescent="0.3">
      <c r="A2711" t="s">
        <v>4664</v>
      </c>
      <c r="B2711" t="str">
        <f>"002027"</f>
        <v>002027</v>
      </c>
      <c r="C2711" t="s">
        <v>5756</v>
      </c>
      <c r="D2711" t="s">
        <v>5063</v>
      </c>
      <c r="F2711">
        <v>4422555929</v>
      </c>
      <c r="G2711">
        <v>2202393645</v>
      </c>
      <c r="H2711">
        <v>1360347496</v>
      </c>
      <c r="I2711">
        <v>4809760827</v>
      </c>
      <c r="J2711">
        <v>3916537571</v>
      </c>
      <c r="K2711">
        <v>3147047757</v>
      </c>
      <c r="L2711">
        <v>-2704865</v>
      </c>
      <c r="M2711">
        <v>1026413</v>
      </c>
      <c r="N2711">
        <v>-39381621</v>
      </c>
      <c r="O2711">
        <v>2314305</v>
      </c>
      <c r="P2711">
        <v>5235</v>
      </c>
      <c r="Q2711" t="s">
        <v>5757</v>
      </c>
    </row>
    <row r="2712" spans="1:17" x14ac:dyDescent="0.3">
      <c r="A2712" t="s">
        <v>4664</v>
      </c>
      <c r="B2712" t="str">
        <f>"002028"</f>
        <v>002028</v>
      </c>
      <c r="C2712" t="s">
        <v>5758</v>
      </c>
      <c r="D2712" t="s">
        <v>210</v>
      </c>
      <c r="F2712">
        <v>888818877</v>
      </c>
      <c r="G2712">
        <v>832631761</v>
      </c>
      <c r="H2712">
        <v>410312744</v>
      </c>
      <c r="I2712">
        <v>239700553</v>
      </c>
      <c r="J2712">
        <v>184328324</v>
      </c>
      <c r="K2712">
        <v>238110624</v>
      </c>
      <c r="L2712">
        <v>236635050</v>
      </c>
      <c r="M2712">
        <v>323121861</v>
      </c>
      <c r="N2712">
        <v>198716143</v>
      </c>
      <c r="O2712">
        <v>144148811</v>
      </c>
      <c r="P2712">
        <v>603</v>
      </c>
      <c r="Q2712" t="s">
        <v>5759</v>
      </c>
    </row>
    <row r="2713" spans="1:17" x14ac:dyDescent="0.3">
      <c r="A2713" t="s">
        <v>4664</v>
      </c>
      <c r="B2713" t="str">
        <f>"002029"</f>
        <v>002029</v>
      </c>
      <c r="C2713" t="s">
        <v>5760</v>
      </c>
      <c r="D2713" t="s">
        <v>255</v>
      </c>
      <c r="F2713">
        <v>88608333</v>
      </c>
      <c r="G2713">
        <v>59784995</v>
      </c>
      <c r="H2713">
        <v>198021284</v>
      </c>
      <c r="I2713">
        <v>214651455</v>
      </c>
      <c r="J2713">
        <v>194825147</v>
      </c>
      <c r="K2713">
        <v>168855729</v>
      </c>
      <c r="L2713">
        <v>181887753</v>
      </c>
      <c r="M2713">
        <v>228379731</v>
      </c>
      <c r="N2713">
        <v>372824430</v>
      </c>
      <c r="O2713">
        <v>402397634</v>
      </c>
      <c r="P2713">
        <v>217</v>
      </c>
      <c r="Q2713" t="s">
        <v>5761</v>
      </c>
    </row>
    <row r="2714" spans="1:17" x14ac:dyDescent="0.3">
      <c r="A2714" t="s">
        <v>4664</v>
      </c>
      <c r="B2714" t="str">
        <f>"002030"</f>
        <v>002030</v>
      </c>
      <c r="C2714" t="s">
        <v>5762</v>
      </c>
      <c r="D2714" t="s">
        <v>1305</v>
      </c>
      <c r="F2714">
        <v>2524540326</v>
      </c>
      <c r="G2714">
        <v>1537215951</v>
      </c>
      <c r="H2714">
        <v>80171504</v>
      </c>
      <c r="I2714">
        <v>78460089</v>
      </c>
      <c r="J2714">
        <v>76492344</v>
      </c>
      <c r="K2714">
        <v>84844996</v>
      </c>
      <c r="L2714">
        <v>78857833</v>
      </c>
      <c r="M2714">
        <v>98455429</v>
      </c>
      <c r="N2714">
        <v>107604835</v>
      </c>
      <c r="O2714">
        <v>60901623</v>
      </c>
      <c r="P2714">
        <v>1177</v>
      </c>
      <c r="Q2714" t="s">
        <v>5763</v>
      </c>
    </row>
    <row r="2715" spans="1:17" x14ac:dyDescent="0.3">
      <c r="A2715" t="s">
        <v>4664</v>
      </c>
      <c r="B2715" t="str">
        <f>"002031"</f>
        <v>002031</v>
      </c>
      <c r="C2715" t="s">
        <v>5764</v>
      </c>
      <c r="D2715" t="s">
        <v>741</v>
      </c>
      <c r="F2715">
        <v>10639922</v>
      </c>
      <c r="G2715">
        <v>9461778</v>
      </c>
      <c r="H2715">
        <v>88954546</v>
      </c>
      <c r="I2715">
        <v>45178861</v>
      </c>
      <c r="J2715">
        <v>39918923</v>
      </c>
      <c r="K2715">
        <v>26757861</v>
      </c>
      <c r="L2715">
        <v>115262842</v>
      </c>
      <c r="M2715">
        <v>121070967</v>
      </c>
      <c r="N2715">
        <v>115230415</v>
      </c>
      <c r="O2715">
        <v>82665400</v>
      </c>
      <c r="P2715">
        <v>137</v>
      </c>
      <c r="Q2715" t="s">
        <v>5765</v>
      </c>
    </row>
    <row r="2716" spans="1:17" x14ac:dyDescent="0.3">
      <c r="A2716" t="s">
        <v>4664</v>
      </c>
      <c r="B2716" t="str">
        <f>"002032"</f>
        <v>002032</v>
      </c>
      <c r="C2716" t="s">
        <v>5766</v>
      </c>
      <c r="D2716" t="s">
        <v>5712</v>
      </c>
      <c r="F2716">
        <v>1241037050</v>
      </c>
      <c r="G2716">
        <v>1080892547</v>
      </c>
      <c r="H2716">
        <v>1248399358</v>
      </c>
      <c r="I2716">
        <v>1104391619</v>
      </c>
      <c r="J2716">
        <v>896367727</v>
      </c>
      <c r="K2716">
        <v>742140051</v>
      </c>
      <c r="L2716">
        <v>637008323</v>
      </c>
      <c r="M2716">
        <v>508261778</v>
      </c>
      <c r="N2716">
        <v>432633858</v>
      </c>
      <c r="O2716">
        <v>333159566</v>
      </c>
      <c r="P2716">
        <v>52891</v>
      </c>
      <c r="Q2716" t="s">
        <v>5767</v>
      </c>
    </row>
    <row r="2717" spans="1:17" x14ac:dyDescent="0.3">
      <c r="A2717" t="s">
        <v>4664</v>
      </c>
      <c r="B2717" t="str">
        <f>"002033"</f>
        <v>002033</v>
      </c>
      <c r="C2717" t="s">
        <v>5768</v>
      </c>
      <c r="D2717" t="s">
        <v>119</v>
      </c>
      <c r="F2717">
        <v>10959382</v>
      </c>
      <c r="G2717">
        <v>48494043</v>
      </c>
      <c r="H2717">
        <v>184773659</v>
      </c>
      <c r="I2717">
        <v>202903195</v>
      </c>
      <c r="J2717">
        <v>183644276</v>
      </c>
      <c r="K2717">
        <v>209411577</v>
      </c>
      <c r="L2717">
        <v>193789500</v>
      </c>
      <c r="M2717">
        <v>162588681</v>
      </c>
      <c r="N2717">
        <v>140686255</v>
      </c>
      <c r="O2717">
        <v>114986481</v>
      </c>
      <c r="P2717">
        <v>278</v>
      </c>
      <c r="Q2717" t="s">
        <v>5769</v>
      </c>
    </row>
    <row r="2718" spans="1:17" x14ac:dyDescent="0.3">
      <c r="A2718" t="s">
        <v>4664</v>
      </c>
      <c r="B2718" t="str">
        <f>"002034"</f>
        <v>002034</v>
      </c>
      <c r="C2718" t="s">
        <v>5770</v>
      </c>
      <c r="D2718" t="s">
        <v>499</v>
      </c>
      <c r="F2718">
        <v>483641904</v>
      </c>
      <c r="G2718">
        <v>378093547</v>
      </c>
      <c r="H2718">
        <v>311498300</v>
      </c>
      <c r="I2718">
        <v>223791694</v>
      </c>
      <c r="J2718">
        <v>10566853</v>
      </c>
      <c r="K2718">
        <v>15727117</v>
      </c>
      <c r="L2718">
        <v>18961662</v>
      </c>
      <c r="M2718">
        <v>3197258</v>
      </c>
      <c r="N2718">
        <v>16210348</v>
      </c>
      <c r="O2718">
        <v>3138552</v>
      </c>
      <c r="P2718">
        <v>244</v>
      </c>
      <c r="Q2718" t="s">
        <v>5771</v>
      </c>
    </row>
    <row r="2719" spans="1:17" x14ac:dyDescent="0.3">
      <c r="A2719" t="s">
        <v>4664</v>
      </c>
      <c r="B2719" t="str">
        <f>"002035"</f>
        <v>002035</v>
      </c>
      <c r="C2719" t="s">
        <v>5772</v>
      </c>
      <c r="D2719" t="s">
        <v>3680</v>
      </c>
      <c r="F2719">
        <v>277571698</v>
      </c>
      <c r="G2719">
        <v>272447097</v>
      </c>
      <c r="H2719">
        <v>516918620</v>
      </c>
      <c r="I2719">
        <v>442317179</v>
      </c>
      <c r="J2719">
        <v>311685642</v>
      </c>
      <c r="K2719">
        <v>201208511</v>
      </c>
      <c r="L2719">
        <v>132643287</v>
      </c>
      <c r="M2719">
        <v>201932926</v>
      </c>
      <c r="N2719">
        <v>152908479</v>
      </c>
      <c r="O2719">
        <v>93422478</v>
      </c>
      <c r="P2719">
        <v>1344</v>
      </c>
      <c r="Q2719" t="s">
        <v>5773</v>
      </c>
    </row>
    <row r="2720" spans="1:17" x14ac:dyDescent="0.3">
      <c r="A2720" t="s">
        <v>4664</v>
      </c>
      <c r="B2720" t="str">
        <f>"002036"</f>
        <v>002036</v>
      </c>
      <c r="C2720" t="s">
        <v>5774</v>
      </c>
      <c r="D2720" t="s">
        <v>164</v>
      </c>
      <c r="F2720">
        <v>188255055</v>
      </c>
      <c r="G2720">
        <v>209726681</v>
      </c>
      <c r="H2720">
        <v>224473830</v>
      </c>
      <c r="I2720">
        <v>183362618</v>
      </c>
      <c r="J2720">
        <v>150157526</v>
      </c>
      <c r="K2720">
        <v>132891205</v>
      </c>
      <c r="L2720">
        <v>111348276</v>
      </c>
      <c r="M2720">
        <v>10953060</v>
      </c>
      <c r="N2720">
        <v>9434643</v>
      </c>
      <c r="O2720">
        <v>10628887</v>
      </c>
      <c r="P2720">
        <v>548</v>
      </c>
      <c r="Q2720" t="s">
        <v>5775</v>
      </c>
    </row>
    <row r="2721" spans="1:17" x14ac:dyDescent="0.3">
      <c r="A2721" t="s">
        <v>4664</v>
      </c>
      <c r="B2721" t="str">
        <f>"002037"</f>
        <v>002037</v>
      </c>
      <c r="C2721" t="s">
        <v>5776</v>
      </c>
      <c r="D2721" t="s">
        <v>2713</v>
      </c>
      <c r="F2721">
        <v>67116683</v>
      </c>
      <c r="G2721">
        <v>66470828</v>
      </c>
      <c r="H2721">
        <v>81473340</v>
      </c>
      <c r="I2721">
        <v>74292680</v>
      </c>
      <c r="J2721">
        <v>62814380</v>
      </c>
      <c r="K2721">
        <v>19829624</v>
      </c>
      <c r="L2721">
        <v>88913773</v>
      </c>
      <c r="M2721">
        <v>143569185</v>
      </c>
      <c r="N2721">
        <v>142291250</v>
      </c>
      <c r="O2721">
        <v>129215467</v>
      </c>
      <c r="P2721">
        <v>81</v>
      </c>
      <c r="Q2721" t="s">
        <v>5777</v>
      </c>
    </row>
    <row r="2722" spans="1:17" x14ac:dyDescent="0.3">
      <c r="A2722" t="s">
        <v>4664</v>
      </c>
      <c r="B2722" t="str">
        <f>"002038"</f>
        <v>002038</v>
      </c>
      <c r="C2722" t="s">
        <v>5778</v>
      </c>
      <c r="D2722" t="s">
        <v>1379</v>
      </c>
      <c r="F2722">
        <v>435940588</v>
      </c>
      <c r="G2722">
        <v>303236199</v>
      </c>
      <c r="H2722">
        <v>503042597</v>
      </c>
      <c r="I2722">
        <v>531952438</v>
      </c>
      <c r="J2722">
        <v>390629856</v>
      </c>
      <c r="K2722">
        <v>357020189</v>
      </c>
      <c r="L2722">
        <v>515970847</v>
      </c>
      <c r="M2722">
        <v>530894646</v>
      </c>
      <c r="N2722">
        <v>440646769</v>
      </c>
      <c r="O2722">
        <v>349436871</v>
      </c>
      <c r="P2722">
        <v>5163</v>
      </c>
      <c r="Q2722" t="s">
        <v>5779</v>
      </c>
    </row>
    <row r="2723" spans="1:17" x14ac:dyDescent="0.3">
      <c r="A2723" t="s">
        <v>4664</v>
      </c>
      <c r="B2723" t="str">
        <f>"002039"</f>
        <v>002039</v>
      </c>
      <c r="C2723" t="s">
        <v>5780</v>
      </c>
      <c r="D2723" t="s">
        <v>66</v>
      </c>
      <c r="F2723">
        <v>314209257</v>
      </c>
      <c r="G2723">
        <v>452400109</v>
      </c>
      <c r="H2723">
        <v>285759011</v>
      </c>
      <c r="I2723">
        <v>292799173</v>
      </c>
      <c r="J2723">
        <v>345046366</v>
      </c>
      <c r="K2723">
        <v>193236855</v>
      </c>
      <c r="L2723">
        <v>261699491</v>
      </c>
      <c r="M2723">
        <v>281384926</v>
      </c>
      <c r="N2723">
        <v>-22692829</v>
      </c>
      <c r="O2723">
        <v>209714775</v>
      </c>
      <c r="P2723">
        <v>431</v>
      </c>
      <c r="Q2723" t="s">
        <v>5781</v>
      </c>
    </row>
    <row r="2724" spans="1:17" x14ac:dyDescent="0.3">
      <c r="A2724" t="s">
        <v>4664</v>
      </c>
      <c r="B2724" t="str">
        <f>"002040"</f>
        <v>002040</v>
      </c>
      <c r="C2724" t="s">
        <v>5782</v>
      </c>
      <c r="D2724" t="s">
        <v>51</v>
      </c>
      <c r="F2724">
        <v>117631676</v>
      </c>
      <c r="G2724">
        <v>95893437</v>
      </c>
      <c r="H2724">
        <v>103221259</v>
      </c>
      <c r="I2724">
        <v>129313493</v>
      </c>
      <c r="J2724">
        <v>74377022</v>
      </c>
      <c r="K2724">
        <v>21230790</v>
      </c>
      <c r="L2724">
        <v>15173550</v>
      </c>
      <c r="M2724">
        <v>13739244</v>
      </c>
      <c r="N2724">
        <v>22368651</v>
      </c>
      <c r="O2724">
        <v>32594379</v>
      </c>
      <c r="P2724">
        <v>100</v>
      </c>
      <c r="Q2724" t="s">
        <v>5783</v>
      </c>
    </row>
    <row r="2725" spans="1:17" x14ac:dyDescent="0.3">
      <c r="A2725" t="s">
        <v>4664</v>
      </c>
      <c r="B2725" t="str">
        <f>"002041"</f>
        <v>002041</v>
      </c>
      <c r="C2725" t="s">
        <v>5784</v>
      </c>
      <c r="D2725" t="s">
        <v>706</v>
      </c>
      <c r="F2725">
        <v>116770609</v>
      </c>
      <c r="G2725">
        <v>58379537</v>
      </c>
      <c r="H2725">
        <v>12039660</v>
      </c>
      <c r="I2725">
        <v>5510663</v>
      </c>
      <c r="J2725">
        <v>113526813</v>
      </c>
      <c r="K2725">
        <v>237812362</v>
      </c>
      <c r="L2725">
        <v>179195311</v>
      </c>
      <c r="M2725">
        <v>160553338</v>
      </c>
      <c r="N2725">
        <v>135005140</v>
      </c>
      <c r="O2725">
        <v>57092051</v>
      </c>
      <c r="P2725">
        <v>446</v>
      </c>
      <c r="Q2725" t="s">
        <v>5785</v>
      </c>
    </row>
    <row r="2726" spans="1:17" x14ac:dyDescent="0.3">
      <c r="A2726" t="s">
        <v>4664</v>
      </c>
      <c r="B2726" t="str">
        <f>"002042"</f>
        <v>002042</v>
      </c>
      <c r="C2726" t="s">
        <v>5786</v>
      </c>
      <c r="D2726" t="s">
        <v>1009</v>
      </c>
      <c r="F2726">
        <v>445329778</v>
      </c>
      <c r="G2726">
        <v>-243701680</v>
      </c>
      <c r="H2726">
        <v>407255672</v>
      </c>
      <c r="I2726">
        <v>731755579</v>
      </c>
      <c r="J2726">
        <v>604875423</v>
      </c>
      <c r="K2726">
        <v>401099960</v>
      </c>
      <c r="L2726">
        <v>290858228</v>
      </c>
      <c r="M2726">
        <v>198712435</v>
      </c>
      <c r="N2726">
        <v>162241933</v>
      </c>
      <c r="O2726">
        <v>80838101</v>
      </c>
      <c r="P2726">
        <v>196</v>
      </c>
      <c r="Q2726" t="s">
        <v>5787</v>
      </c>
    </row>
    <row r="2727" spans="1:17" x14ac:dyDescent="0.3">
      <c r="A2727" t="s">
        <v>4664</v>
      </c>
      <c r="B2727" t="str">
        <f>"002043"</f>
        <v>002043</v>
      </c>
      <c r="C2727" t="s">
        <v>5788</v>
      </c>
      <c r="D2727" t="s">
        <v>722</v>
      </c>
      <c r="F2727">
        <v>523457517</v>
      </c>
      <c r="G2727">
        <v>192989884</v>
      </c>
      <c r="H2727">
        <v>253299679</v>
      </c>
      <c r="I2727">
        <v>264445676</v>
      </c>
      <c r="J2727">
        <v>259802777</v>
      </c>
      <c r="K2727">
        <v>177938961</v>
      </c>
      <c r="L2727">
        <v>57189661</v>
      </c>
      <c r="M2727">
        <v>30768687</v>
      </c>
      <c r="N2727">
        <v>17255570</v>
      </c>
      <c r="O2727">
        <v>23972377</v>
      </c>
      <c r="P2727">
        <v>665</v>
      </c>
      <c r="Q2727" t="s">
        <v>5789</v>
      </c>
    </row>
    <row r="2728" spans="1:17" x14ac:dyDescent="0.3">
      <c r="A2728" t="s">
        <v>4664</v>
      </c>
      <c r="B2728" t="str">
        <f>"002044"</f>
        <v>002044</v>
      </c>
      <c r="C2728" t="s">
        <v>5790</v>
      </c>
      <c r="D2728" t="s">
        <v>1147</v>
      </c>
      <c r="F2728">
        <v>-240879980</v>
      </c>
      <c r="G2728">
        <v>-517093198</v>
      </c>
      <c r="H2728">
        <v>391288045</v>
      </c>
      <c r="I2728">
        <v>413873093</v>
      </c>
      <c r="J2728">
        <v>216061517</v>
      </c>
      <c r="K2728">
        <v>95376112</v>
      </c>
      <c r="L2728">
        <v>78525431</v>
      </c>
      <c r="M2728">
        <v>39155974</v>
      </c>
      <c r="N2728">
        <v>36912100</v>
      </c>
      <c r="O2728">
        <v>37805304</v>
      </c>
      <c r="P2728">
        <v>1237</v>
      </c>
      <c r="Q2728" t="s">
        <v>5791</v>
      </c>
    </row>
    <row r="2729" spans="1:17" x14ac:dyDescent="0.3">
      <c r="A2729" t="s">
        <v>4664</v>
      </c>
      <c r="B2729" t="str">
        <f>"002045"</f>
        <v>002045</v>
      </c>
      <c r="C2729" t="s">
        <v>5792</v>
      </c>
      <c r="D2729" t="s">
        <v>3499</v>
      </c>
      <c r="F2729">
        <v>119388068</v>
      </c>
      <c r="G2729">
        <v>147966776</v>
      </c>
      <c r="H2729">
        <v>310876117</v>
      </c>
      <c r="I2729">
        <v>-61908436</v>
      </c>
      <c r="J2729">
        <v>94856445</v>
      </c>
      <c r="K2729">
        <v>32534644</v>
      </c>
      <c r="L2729">
        <v>28212148</v>
      </c>
      <c r="M2729">
        <v>53860575</v>
      </c>
      <c r="N2729">
        <v>57300966</v>
      </c>
      <c r="O2729">
        <v>-132397012</v>
      </c>
      <c r="P2729">
        <v>216</v>
      </c>
      <c r="Q2729" t="s">
        <v>5793</v>
      </c>
    </row>
    <row r="2730" spans="1:17" x14ac:dyDescent="0.3">
      <c r="A2730" t="s">
        <v>4664</v>
      </c>
      <c r="B2730" t="str">
        <f>"002046"</f>
        <v>002046</v>
      </c>
      <c r="C2730" t="s">
        <v>5794</v>
      </c>
      <c r="D2730" t="s">
        <v>274</v>
      </c>
      <c r="F2730">
        <v>174136417</v>
      </c>
      <c r="G2730">
        <v>55022397</v>
      </c>
      <c r="H2730">
        <v>36421310</v>
      </c>
      <c r="I2730">
        <v>41905620</v>
      </c>
      <c r="J2730">
        <v>-11362642</v>
      </c>
      <c r="K2730">
        <v>-45968385</v>
      </c>
      <c r="L2730">
        <v>-32534676</v>
      </c>
      <c r="M2730">
        <v>11121774</v>
      </c>
      <c r="N2730">
        <v>29401855</v>
      </c>
      <c r="O2730">
        <v>42966393</v>
      </c>
      <c r="P2730">
        <v>148</v>
      </c>
      <c r="Q2730" t="s">
        <v>5795</v>
      </c>
    </row>
    <row r="2731" spans="1:17" x14ac:dyDescent="0.3">
      <c r="A2731" t="s">
        <v>4664</v>
      </c>
      <c r="B2731" t="str">
        <f>"002047"</f>
        <v>002047</v>
      </c>
      <c r="C2731" t="s">
        <v>5796</v>
      </c>
      <c r="D2731" t="s">
        <v>450</v>
      </c>
      <c r="F2731">
        <v>5635552</v>
      </c>
      <c r="G2731">
        <v>147376598</v>
      </c>
      <c r="H2731">
        <v>284149903</v>
      </c>
      <c r="I2731">
        <v>304482063</v>
      </c>
      <c r="J2731">
        <v>282812008</v>
      </c>
      <c r="K2731">
        <v>255889185</v>
      </c>
      <c r="L2731">
        <v>255228410</v>
      </c>
      <c r="M2731">
        <v>188939713</v>
      </c>
      <c r="N2731">
        <v>1489383</v>
      </c>
      <c r="O2731">
        <v>-14511401</v>
      </c>
      <c r="P2731">
        <v>103</v>
      </c>
      <c r="Q2731" t="s">
        <v>5797</v>
      </c>
    </row>
    <row r="2732" spans="1:17" x14ac:dyDescent="0.3">
      <c r="A2732" t="s">
        <v>4664</v>
      </c>
      <c r="B2732" t="str">
        <f>"002048"</f>
        <v>002048</v>
      </c>
      <c r="C2732" t="s">
        <v>5798</v>
      </c>
      <c r="D2732" t="s">
        <v>191</v>
      </c>
      <c r="F2732">
        <v>942822795</v>
      </c>
      <c r="G2732">
        <v>608090632</v>
      </c>
      <c r="H2732">
        <v>669684283</v>
      </c>
      <c r="I2732">
        <v>503955662</v>
      </c>
      <c r="J2732">
        <v>623741890</v>
      </c>
      <c r="K2732">
        <v>458427519</v>
      </c>
      <c r="L2732">
        <v>197428663</v>
      </c>
      <c r="M2732">
        <v>446503408</v>
      </c>
      <c r="N2732">
        <v>241231036</v>
      </c>
      <c r="O2732">
        <v>188605344</v>
      </c>
      <c r="P2732">
        <v>645</v>
      </c>
      <c r="Q2732" t="s">
        <v>5799</v>
      </c>
    </row>
    <row r="2733" spans="1:17" x14ac:dyDescent="0.3">
      <c r="A2733" t="s">
        <v>4664</v>
      </c>
      <c r="B2733" t="str">
        <f>"002049"</f>
        <v>002049</v>
      </c>
      <c r="C2733" t="s">
        <v>5800</v>
      </c>
      <c r="D2733" t="s">
        <v>461</v>
      </c>
      <c r="F2733">
        <v>1457401713</v>
      </c>
      <c r="G2733">
        <v>684561291</v>
      </c>
      <c r="H2733">
        <v>365079622</v>
      </c>
      <c r="I2733">
        <v>287741955</v>
      </c>
      <c r="J2733">
        <v>213037952</v>
      </c>
      <c r="K2733">
        <v>276356707</v>
      </c>
      <c r="L2733">
        <v>264109273</v>
      </c>
      <c r="M2733">
        <v>225054690</v>
      </c>
      <c r="N2733">
        <v>189933969</v>
      </c>
      <c r="O2733">
        <v>108750347</v>
      </c>
      <c r="P2733">
        <v>4605</v>
      </c>
      <c r="Q2733" t="s">
        <v>5801</v>
      </c>
    </row>
    <row r="2734" spans="1:17" x14ac:dyDescent="0.3">
      <c r="A2734" t="s">
        <v>4664</v>
      </c>
      <c r="B2734" t="str">
        <f>"002050"</f>
        <v>002050</v>
      </c>
      <c r="C2734" t="s">
        <v>5802</v>
      </c>
      <c r="D2734" t="s">
        <v>1253</v>
      </c>
      <c r="F2734">
        <v>1293171514</v>
      </c>
      <c r="G2734">
        <v>1092248543</v>
      </c>
      <c r="H2734">
        <v>1056299090</v>
      </c>
      <c r="I2734">
        <v>1023391460</v>
      </c>
      <c r="J2734">
        <v>979010039</v>
      </c>
      <c r="K2734">
        <v>671620587</v>
      </c>
      <c r="L2734">
        <v>509641920</v>
      </c>
      <c r="M2734">
        <v>401109879</v>
      </c>
      <c r="N2734">
        <v>263809880</v>
      </c>
      <c r="O2734">
        <v>259119143</v>
      </c>
      <c r="P2734">
        <v>2042</v>
      </c>
      <c r="Q2734" t="s">
        <v>5803</v>
      </c>
    </row>
    <row r="2735" spans="1:17" x14ac:dyDescent="0.3">
      <c r="A2735" t="s">
        <v>4664</v>
      </c>
      <c r="B2735" t="str">
        <f>"002051"</f>
        <v>002051</v>
      </c>
      <c r="C2735" t="s">
        <v>5804</v>
      </c>
      <c r="D2735" t="s">
        <v>1887</v>
      </c>
      <c r="F2735">
        <v>231718514</v>
      </c>
      <c r="G2735">
        <v>128426091</v>
      </c>
      <c r="H2735">
        <v>756279762</v>
      </c>
      <c r="I2735">
        <v>939229967</v>
      </c>
      <c r="J2735">
        <v>853279601</v>
      </c>
      <c r="K2735">
        <v>711745879</v>
      </c>
      <c r="L2735">
        <v>578331945</v>
      </c>
      <c r="M2735">
        <v>706637293</v>
      </c>
      <c r="N2735">
        <v>583402654</v>
      </c>
      <c r="O2735">
        <v>515724339</v>
      </c>
      <c r="P2735">
        <v>556</v>
      </c>
      <c r="Q2735" t="s">
        <v>5805</v>
      </c>
    </row>
    <row r="2736" spans="1:17" x14ac:dyDescent="0.3">
      <c r="A2736" t="s">
        <v>4664</v>
      </c>
      <c r="B2736" t="str">
        <f>"002052"</f>
        <v>002052</v>
      </c>
      <c r="C2736" t="s">
        <v>5806</v>
      </c>
      <c r="D2736" t="s">
        <v>4404</v>
      </c>
      <c r="F2736">
        <v>-57426323</v>
      </c>
      <c r="G2736">
        <v>-64658965</v>
      </c>
      <c r="H2736">
        <v>-28914594</v>
      </c>
      <c r="I2736">
        <v>-68968729</v>
      </c>
      <c r="J2736">
        <v>-28367369</v>
      </c>
      <c r="K2736">
        <v>-151571747</v>
      </c>
      <c r="L2736">
        <v>12103468</v>
      </c>
      <c r="M2736">
        <v>-243234037</v>
      </c>
      <c r="N2736">
        <v>19110634</v>
      </c>
      <c r="O2736">
        <v>101085821</v>
      </c>
      <c r="P2736">
        <v>76</v>
      </c>
      <c r="Q2736" t="s">
        <v>5807</v>
      </c>
    </row>
    <row r="2737" spans="1:17" x14ac:dyDescent="0.3">
      <c r="A2737" t="s">
        <v>4664</v>
      </c>
      <c r="B2737" t="str">
        <f>"002053"</f>
        <v>002053</v>
      </c>
      <c r="C2737" t="s">
        <v>5808</v>
      </c>
      <c r="D2737" t="s">
        <v>736</v>
      </c>
      <c r="F2737">
        <v>116901603</v>
      </c>
      <c r="G2737">
        <v>172848885</v>
      </c>
      <c r="H2737">
        <v>210289500</v>
      </c>
      <c r="I2737">
        <v>77895465</v>
      </c>
      <c r="J2737">
        <v>125391465</v>
      </c>
      <c r="K2737">
        <v>178262592</v>
      </c>
      <c r="L2737">
        <v>75370834</v>
      </c>
      <c r="M2737">
        <v>12930567</v>
      </c>
      <c r="N2737">
        <v>-16416792</v>
      </c>
      <c r="O2737">
        <v>-113378769</v>
      </c>
      <c r="P2737">
        <v>105</v>
      </c>
      <c r="Q2737" t="s">
        <v>5809</v>
      </c>
    </row>
    <row r="2738" spans="1:17" x14ac:dyDescent="0.3">
      <c r="A2738" t="s">
        <v>4664</v>
      </c>
      <c r="B2738" t="str">
        <f>"002054"</f>
        <v>002054</v>
      </c>
      <c r="C2738" t="s">
        <v>5810</v>
      </c>
      <c r="D2738" t="s">
        <v>779</v>
      </c>
      <c r="F2738">
        <v>166354236</v>
      </c>
      <c r="G2738">
        <v>117793006</v>
      </c>
      <c r="H2738">
        <v>94616726</v>
      </c>
      <c r="I2738">
        <v>36938865</v>
      </c>
      <c r="J2738">
        <v>35356490</v>
      </c>
      <c r="K2738">
        <v>130922471</v>
      </c>
      <c r="L2738">
        <v>306145872</v>
      </c>
      <c r="M2738">
        <v>70758069</v>
      </c>
      <c r="N2738">
        <v>89984436</v>
      </c>
      <c r="O2738">
        <v>62253090</v>
      </c>
      <c r="P2738">
        <v>110</v>
      </c>
      <c r="Q2738" t="s">
        <v>5811</v>
      </c>
    </row>
    <row r="2739" spans="1:17" x14ac:dyDescent="0.3">
      <c r="A2739" t="s">
        <v>4664</v>
      </c>
      <c r="B2739" t="str">
        <f>"002055"</f>
        <v>002055</v>
      </c>
      <c r="C2739" t="s">
        <v>5812</v>
      </c>
      <c r="D2739" t="s">
        <v>313</v>
      </c>
      <c r="F2739">
        <v>-44722907</v>
      </c>
      <c r="G2739">
        <v>222404001</v>
      </c>
      <c r="H2739">
        <v>47974551</v>
      </c>
      <c r="I2739">
        <v>87504300</v>
      </c>
      <c r="J2739">
        <v>122584078</v>
      </c>
      <c r="K2739">
        <v>76496623</v>
      </c>
      <c r="L2739">
        <v>95263685</v>
      </c>
      <c r="M2739">
        <v>95198739</v>
      </c>
      <c r="N2739">
        <v>95094496</v>
      </c>
      <c r="O2739">
        <v>79386931</v>
      </c>
      <c r="P2739">
        <v>245</v>
      </c>
      <c r="Q2739" t="s">
        <v>5813</v>
      </c>
    </row>
    <row r="2740" spans="1:17" x14ac:dyDescent="0.3">
      <c r="A2740" t="s">
        <v>4664</v>
      </c>
      <c r="B2740" t="str">
        <f>"002056"</f>
        <v>002056</v>
      </c>
      <c r="C2740" t="s">
        <v>5814</v>
      </c>
      <c r="D2740" t="s">
        <v>808</v>
      </c>
      <c r="F2740">
        <v>885413175</v>
      </c>
      <c r="G2740">
        <v>659821540</v>
      </c>
      <c r="H2740">
        <v>498600341</v>
      </c>
      <c r="I2740">
        <v>502188075</v>
      </c>
      <c r="J2740">
        <v>401658293</v>
      </c>
      <c r="K2740">
        <v>309535915</v>
      </c>
      <c r="L2740">
        <v>265723092</v>
      </c>
      <c r="M2740">
        <v>261992451</v>
      </c>
      <c r="N2740">
        <v>189058829</v>
      </c>
      <c r="O2740">
        <v>118400428</v>
      </c>
      <c r="P2740">
        <v>783</v>
      </c>
      <c r="Q2740" t="s">
        <v>5815</v>
      </c>
    </row>
    <row r="2741" spans="1:17" x14ac:dyDescent="0.3">
      <c r="A2741" t="s">
        <v>4664</v>
      </c>
      <c r="B2741" t="str">
        <f>"002057"</f>
        <v>002057</v>
      </c>
      <c r="C2741" t="s">
        <v>5816</v>
      </c>
      <c r="D2741" t="s">
        <v>808</v>
      </c>
      <c r="F2741">
        <v>154335617</v>
      </c>
      <c r="G2741">
        <v>120923656</v>
      </c>
      <c r="H2741">
        <v>104540408</v>
      </c>
      <c r="I2741">
        <v>106303102</v>
      </c>
      <c r="J2741">
        <v>85437916</v>
      </c>
      <c r="K2741">
        <v>8201497</v>
      </c>
      <c r="L2741">
        <v>14237030</v>
      </c>
      <c r="M2741">
        <v>18063937</v>
      </c>
      <c r="N2741">
        <v>16651047</v>
      </c>
      <c r="O2741">
        <v>-45452</v>
      </c>
      <c r="P2741">
        <v>126</v>
      </c>
      <c r="Q2741" t="s">
        <v>5817</v>
      </c>
    </row>
    <row r="2742" spans="1:17" x14ac:dyDescent="0.3">
      <c r="A2742" t="s">
        <v>4664</v>
      </c>
      <c r="B2742" t="str">
        <f>"002058"</f>
        <v>002058</v>
      </c>
      <c r="C2742" t="s">
        <v>5818</v>
      </c>
      <c r="D2742" t="s">
        <v>2171</v>
      </c>
      <c r="F2742">
        <v>4107902</v>
      </c>
      <c r="G2742">
        <v>-1509112</v>
      </c>
      <c r="H2742">
        <v>-6121868</v>
      </c>
      <c r="I2742">
        <v>1193601</v>
      </c>
      <c r="J2742">
        <v>-2185591</v>
      </c>
      <c r="K2742">
        <v>-362716</v>
      </c>
      <c r="L2742">
        <v>-8084308</v>
      </c>
      <c r="M2742">
        <v>610426</v>
      </c>
      <c r="N2742">
        <v>978720</v>
      </c>
      <c r="O2742">
        <v>2705325</v>
      </c>
      <c r="P2742">
        <v>55</v>
      </c>
      <c r="Q2742" t="s">
        <v>5819</v>
      </c>
    </row>
    <row r="2743" spans="1:17" x14ac:dyDescent="0.3">
      <c r="A2743" t="s">
        <v>4664</v>
      </c>
      <c r="B2743" t="str">
        <f>"002059"</f>
        <v>002059</v>
      </c>
      <c r="C2743" t="s">
        <v>5820</v>
      </c>
      <c r="D2743" t="s">
        <v>333</v>
      </c>
      <c r="F2743">
        <v>-12904384</v>
      </c>
      <c r="G2743">
        <v>-31448598</v>
      </c>
      <c r="H2743">
        <v>63279742</v>
      </c>
      <c r="I2743">
        <v>2443464</v>
      </c>
      <c r="J2743">
        <v>36807095</v>
      </c>
      <c r="K2743">
        <v>62612821</v>
      </c>
      <c r="L2743">
        <v>45648915</v>
      </c>
      <c r="M2743">
        <v>11654267</v>
      </c>
      <c r="N2743">
        <v>29506328</v>
      </c>
      <c r="O2743">
        <v>21210742</v>
      </c>
      <c r="P2743">
        <v>160</v>
      </c>
      <c r="Q2743" t="s">
        <v>5821</v>
      </c>
    </row>
    <row r="2744" spans="1:17" x14ac:dyDescent="0.3">
      <c r="A2744" t="s">
        <v>4664</v>
      </c>
      <c r="B2744" t="str">
        <f>"002060"</f>
        <v>002060</v>
      </c>
      <c r="C2744" t="s">
        <v>5822</v>
      </c>
      <c r="D2744" t="s">
        <v>101</v>
      </c>
      <c r="F2744">
        <v>232069483</v>
      </c>
      <c r="G2744">
        <v>174900719</v>
      </c>
      <c r="H2744">
        <v>118087126</v>
      </c>
      <c r="I2744">
        <v>89306969</v>
      </c>
      <c r="J2744">
        <v>70528486</v>
      </c>
      <c r="K2744">
        <v>67753170</v>
      </c>
      <c r="L2744">
        <v>67236056</v>
      </c>
      <c r="M2744">
        <v>66345877</v>
      </c>
      <c r="N2744">
        <v>46656301</v>
      </c>
      <c r="O2744">
        <v>42799995</v>
      </c>
      <c r="P2744">
        <v>169</v>
      </c>
      <c r="Q2744" t="s">
        <v>5823</v>
      </c>
    </row>
    <row r="2745" spans="1:17" x14ac:dyDescent="0.3">
      <c r="A2745" t="s">
        <v>4664</v>
      </c>
      <c r="B2745" t="str">
        <f>"002061"</f>
        <v>002061</v>
      </c>
      <c r="C2745" t="s">
        <v>5824</v>
      </c>
      <c r="D2745" t="s">
        <v>101</v>
      </c>
      <c r="F2745">
        <v>667896880</v>
      </c>
      <c r="G2745">
        <v>440593007</v>
      </c>
      <c r="H2745">
        <v>466328092</v>
      </c>
      <c r="I2745">
        <v>973225905</v>
      </c>
      <c r="J2745">
        <v>294198599</v>
      </c>
      <c r="K2745">
        <v>41612029</v>
      </c>
      <c r="L2745">
        <v>-87330158</v>
      </c>
      <c r="M2745">
        <v>-112144754</v>
      </c>
      <c r="N2745">
        <v>32531433</v>
      </c>
      <c r="O2745">
        <v>58028024</v>
      </c>
      <c r="P2745">
        <v>215</v>
      </c>
      <c r="Q2745" t="s">
        <v>5825</v>
      </c>
    </row>
    <row r="2746" spans="1:17" x14ac:dyDescent="0.3">
      <c r="A2746" t="s">
        <v>4664</v>
      </c>
      <c r="B2746" t="str">
        <f>"002062"</f>
        <v>002062</v>
      </c>
      <c r="C2746" t="s">
        <v>5826</v>
      </c>
      <c r="D2746" t="s">
        <v>101</v>
      </c>
      <c r="F2746">
        <v>267492967</v>
      </c>
      <c r="G2746">
        <v>245774031</v>
      </c>
      <c r="H2746">
        <v>232846049</v>
      </c>
      <c r="I2746">
        <v>223114202</v>
      </c>
      <c r="J2746">
        <v>184843008</v>
      </c>
      <c r="K2746">
        <v>159109548</v>
      </c>
      <c r="L2746">
        <v>151506562</v>
      </c>
      <c r="M2746">
        <v>137870822</v>
      </c>
      <c r="N2746">
        <v>110341233</v>
      </c>
      <c r="O2746">
        <v>82828886</v>
      </c>
      <c r="P2746">
        <v>145</v>
      </c>
      <c r="Q2746" t="s">
        <v>5827</v>
      </c>
    </row>
    <row r="2747" spans="1:17" x14ac:dyDescent="0.3">
      <c r="A2747" t="s">
        <v>4664</v>
      </c>
      <c r="B2747" t="str">
        <f>"002063"</f>
        <v>002063</v>
      </c>
      <c r="C2747" t="s">
        <v>5828</v>
      </c>
      <c r="D2747" t="s">
        <v>945</v>
      </c>
      <c r="F2747">
        <v>142513263</v>
      </c>
      <c r="G2747">
        <v>138435549</v>
      </c>
      <c r="H2747">
        <v>134167892</v>
      </c>
      <c r="I2747">
        <v>130864439</v>
      </c>
      <c r="J2747">
        <v>126362485</v>
      </c>
      <c r="K2747">
        <v>95243846</v>
      </c>
      <c r="L2747">
        <v>122545964</v>
      </c>
      <c r="M2747">
        <v>142364050</v>
      </c>
      <c r="N2747">
        <v>161544734</v>
      </c>
      <c r="O2747">
        <v>129593021</v>
      </c>
      <c r="P2747">
        <v>489</v>
      </c>
      <c r="Q2747" t="s">
        <v>5829</v>
      </c>
    </row>
    <row r="2748" spans="1:17" x14ac:dyDescent="0.3">
      <c r="A2748" t="s">
        <v>4664</v>
      </c>
      <c r="B2748" t="str">
        <f>"002064"</f>
        <v>002064</v>
      </c>
      <c r="C2748" t="s">
        <v>5830</v>
      </c>
      <c r="D2748" t="s">
        <v>5558</v>
      </c>
      <c r="F2748">
        <v>6126594153</v>
      </c>
      <c r="G2748">
        <v>1241185675</v>
      </c>
      <c r="H2748">
        <v>357077524</v>
      </c>
      <c r="I2748">
        <v>358815958</v>
      </c>
      <c r="J2748">
        <v>280763740</v>
      </c>
      <c r="K2748">
        <v>-361652784</v>
      </c>
      <c r="L2748">
        <v>253748512</v>
      </c>
      <c r="M2748">
        <v>301689091</v>
      </c>
      <c r="N2748">
        <v>167513112</v>
      </c>
      <c r="O2748">
        <v>20086130</v>
      </c>
      <c r="P2748">
        <v>686</v>
      </c>
      <c r="Q2748" t="s">
        <v>5831</v>
      </c>
    </row>
    <row r="2749" spans="1:17" x14ac:dyDescent="0.3">
      <c r="A2749" t="s">
        <v>4664</v>
      </c>
      <c r="B2749" t="str">
        <f>"002065"</f>
        <v>002065</v>
      </c>
      <c r="C2749" t="s">
        <v>5832</v>
      </c>
      <c r="D2749" t="s">
        <v>316</v>
      </c>
      <c r="F2749">
        <v>680626336</v>
      </c>
      <c r="G2749">
        <v>615125538</v>
      </c>
      <c r="H2749">
        <v>753467837</v>
      </c>
      <c r="I2749">
        <v>654351416</v>
      </c>
      <c r="J2749">
        <v>900340486</v>
      </c>
      <c r="K2749">
        <v>631819332</v>
      </c>
      <c r="L2749">
        <v>601709917</v>
      </c>
      <c r="M2749">
        <v>553997763</v>
      </c>
      <c r="N2749">
        <v>458006777</v>
      </c>
      <c r="O2749">
        <v>351451006</v>
      </c>
      <c r="P2749">
        <v>942</v>
      </c>
      <c r="Q2749" t="s">
        <v>5833</v>
      </c>
    </row>
    <row r="2750" spans="1:17" x14ac:dyDescent="0.3">
      <c r="A2750" t="s">
        <v>4664</v>
      </c>
      <c r="B2750" t="str">
        <f>"002066"</f>
        <v>002066</v>
      </c>
      <c r="C2750" t="s">
        <v>5834</v>
      </c>
      <c r="D2750" t="s">
        <v>5835</v>
      </c>
      <c r="F2750">
        <v>35066903</v>
      </c>
      <c r="G2750">
        <v>11587665</v>
      </c>
      <c r="H2750">
        <v>10306538</v>
      </c>
      <c r="I2750">
        <v>8153034</v>
      </c>
      <c r="J2750">
        <v>7495048</v>
      </c>
      <c r="K2750">
        <v>27402642</v>
      </c>
      <c r="L2750">
        <v>-14702711</v>
      </c>
      <c r="M2750">
        <v>8129110</v>
      </c>
      <c r="N2750">
        <v>-45313412</v>
      </c>
      <c r="O2750">
        <v>4681736</v>
      </c>
      <c r="P2750">
        <v>74</v>
      </c>
      <c r="Q2750" t="s">
        <v>5836</v>
      </c>
    </row>
    <row r="2751" spans="1:17" x14ac:dyDescent="0.3">
      <c r="A2751" t="s">
        <v>4664</v>
      </c>
      <c r="B2751" t="str">
        <f>"002067"</f>
        <v>002067</v>
      </c>
      <c r="C2751" t="s">
        <v>5837</v>
      </c>
      <c r="D2751" t="s">
        <v>694</v>
      </c>
      <c r="F2751">
        <v>361106786</v>
      </c>
      <c r="G2751">
        <v>203447314</v>
      </c>
      <c r="H2751">
        <v>151928878</v>
      </c>
      <c r="I2751">
        <v>358463735</v>
      </c>
      <c r="J2751">
        <v>490288876</v>
      </c>
      <c r="K2751">
        <v>171860633</v>
      </c>
      <c r="L2751">
        <v>7289508</v>
      </c>
      <c r="M2751">
        <v>6167389</v>
      </c>
      <c r="N2751">
        <v>10628129</v>
      </c>
      <c r="O2751">
        <v>35111769</v>
      </c>
      <c r="P2751">
        <v>173</v>
      </c>
      <c r="Q2751" t="s">
        <v>5838</v>
      </c>
    </row>
    <row r="2752" spans="1:17" x14ac:dyDescent="0.3">
      <c r="A2752" t="s">
        <v>4664</v>
      </c>
      <c r="B2752" t="str">
        <f>"002068"</f>
        <v>002068</v>
      </c>
      <c r="C2752" t="s">
        <v>5839</v>
      </c>
      <c r="D2752" t="s">
        <v>3619</v>
      </c>
      <c r="F2752">
        <v>470059302</v>
      </c>
      <c r="G2752">
        <v>4006898</v>
      </c>
      <c r="H2752">
        <v>-126868192</v>
      </c>
      <c r="I2752">
        <v>439829166</v>
      </c>
      <c r="J2752">
        <v>318839630</v>
      </c>
      <c r="K2752">
        <v>-4179441</v>
      </c>
      <c r="L2752">
        <v>16709021</v>
      </c>
      <c r="M2752">
        <v>61329032</v>
      </c>
      <c r="N2752">
        <v>2733905</v>
      </c>
      <c r="O2752">
        <v>114629959</v>
      </c>
      <c r="P2752">
        <v>300</v>
      </c>
      <c r="Q2752" t="s">
        <v>5840</v>
      </c>
    </row>
    <row r="2753" spans="1:17" x14ac:dyDescent="0.3">
      <c r="A2753" t="s">
        <v>4664</v>
      </c>
      <c r="B2753" t="str">
        <f>"002069"</f>
        <v>002069</v>
      </c>
      <c r="C2753" t="s">
        <v>5841</v>
      </c>
      <c r="D2753" t="s">
        <v>587</v>
      </c>
      <c r="F2753">
        <v>-30000939</v>
      </c>
      <c r="G2753">
        <v>23515939</v>
      </c>
      <c r="H2753">
        <v>-34026875</v>
      </c>
      <c r="I2753">
        <v>23380995</v>
      </c>
      <c r="J2753">
        <v>77676161</v>
      </c>
      <c r="K2753">
        <v>31832488</v>
      </c>
      <c r="L2753">
        <v>3426713</v>
      </c>
      <c r="M2753">
        <v>-812344466</v>
      </c>
      <c r="N2753">
        <v>63040919</v>
      </c>
      <c r="O2753">
        <v>216817035</v>
      </c>
      <c r="P2753">
        <v>406</v>
      </c>
      <c r="Q2753" t="s">
        <v>5842</v>
      </c>
    </row>
    <row r="2754" spans="1:17" x14ac:dyDescent="0.3">
      <c r="A2754" t="s">
        <v>4664</v>
      </c>
      <c r="B2754" t="str">
        <f>"002070"</f>
        <v>002070</v>
      </c>
      <c r="C2754" t="s">
        <v>5843</v>
      </c>
      <c r="H2754">
        <v>-155803392</v>
      </c>
      <c r="I2754">
        <v>-171948608</v>
      </c>
      <c r="J2754">
        <v>-141014739</v>
      </c>
      <c r="K2754">
        <v>51659954</v>
      </c>
      <c r="L2754">
        <v>-71935855.409999996</v>
      </c>
      <c r="M2754">
        <v>48389230.299999997</v>
      </c>
      <c r="N2754">
        <v>42605437.920000002</v>
      </c>
      <c r="O2754">
        <v>38063564.479999997</v>
      </c>
      <c r="P2754">
        <v>27</v>
      </c>
      <c r="Q2754" t="s">
        <v>5844</v>
      </c>
    </row>
    <row r="2755" spans="1:17" x14ac:dyDescent="0.3">
      <c r="A2755" t="s">
        <v>4664</v>
      </c>
      <c r="B2755" t="str">
        <f>"002071"</f>
        <v>002071</v>
      </c>
      <c r="C2755" t="s">
        <v>5845</v>
      </c>
      <c r="G2755">
        <v>-74401257</v>
      </c>
      <c r="H2755">
        <v>-41443225</v>
      </c>
      <c r="I2755">
        <v>111947500</v>
      </c>
      <c r="J2755">
        <v>111855786</v>
      </c>
      <c r="K2755">
        <v>110437586</v>
      </c>
      <c r="L2755">
        <v>78717783</v>
      </c>
      <c r="M2755">
        <v>55528350</v>
      </c>
      <c r="N2755">
        <v>1320474</v>
      </c>
      <c r="O2755">
        <v>2183556</v>
      </c>
      <c r="P2755">
        <v>97</v>
      </c>
      <c r="Q2755" t="s">
        <v>5846</v>
      </c>
    </row>
    <row r="2756" spans="1:17" x14ac:dyDescent="0.3">
      <c r="A2756" t="s">
        <v>4664</v>
      </c>
      <c r="B2756" t="str">
        <f>"002072"</f>
        <v>002072</v>
      </c>
      <c r="C2756" t="s">
        <v>5847</v>
      </c>
      <c r="D2756" t="s">
        <v>110</v>
      </c>
      <c r="F2756">
        <v>-5800080</v>
      </c>
      <c r="G2756">
        <v>4168908</v>
      </c>
      <c r="H2756">
        <v>-18853538</v>
      </c>
      <c r="I2756">
        <v>-16766594</v>
      </c>
      <c r="J2756">
        <v>4790975</v>
      </c>
      <c r="K2756">
        <v>32688631</v>
      </c>
      <c r="L2756">
        <v>-74281928</v>
      </c>
      <c r="M2756">
        <v>-33721802</v>
      </c>
      <c r="N2756">
        <v>-10649558</v>
      </c>
      <c r="O2756">
        <v>-5425660</v>
      </c>
      <c r="P2756">
        <v>64</v>
      </c>
      <c r="Q2756" t="s">
        <v>5848</v>
      </c>
    </row>
    <row r="2757" spans="1:17" x14ac:dyDescent="0.3">
      <c r="A2757" t="s">
        <v>4664</v>
      </c>
      <c r="B2757" t="str">
        <f>"002073"</f>
        <v>002073</v>
      </c>
      <c r="C2757" t="s">
        <v>5849</v>
      </c>
      <c r="D2757" t="s">
        <v>741</v>
      </c>
      <c r="F2757">
        <v>81555388</v>
      </c>
      <c r="G2757">
        <v>21503411</v>
      </c>
      <c r="H2757">
        <v>71001087</v>
      </c>
      <c r="I2757">
        <v>78166460</v>
      </c>
      <c r="J2757">
        <v>85151474</v>
      </c>
      <c r="K2757">
        <v>-35426583</v>
      </c>
      <c r="L2757">
        <v>164121452</v>
      </c>
      <c r="M2757">
        <v>120746449</v>
      </c>
      <c r="N2757">
        <v>90227954</v>
      </c>
      <c r="O2757">
        <v>141129997</v>
      </c>
      <c r="P2757">
        <v>150</v>
      </c>
      <c r="Q2757" t="s">
        <v>5850</v>
      </c>
    </row>
    <row r="2758" spans="1:17" x14ac:dyDescent="0.3">
      <c r="A2758" t="s">
        <v>4664</v>
      </c>
      <c r="B2758" t="str">
        <f>"002074"</f>
        <v>002074</v>
      </c>
      <c r="C2758" t="s">
        <v>5851</v>
      </c>
      <c r="D2758" t="s">
        <v>359</v>
      </c>
      <c r="F2758">
        <v>67830451</v>
      </c>
      <c r="G2758">
        <v>85265585</v>
      </c>
      <c r="H2758">
        <v>578301625</v>
      </c>
      <c r="I2758">
        <v>659007829</v>
      </c>
      <c r="J2758">
        <v>639666040</v>
      </c>
      <c r="K2758">
        <v>737506165</v>
      </c>
      <c r="L2758">
        <v>332076872</v>
      </c>
      <c r="M2758">
        <v>27695301</v>
      </c>
      <c r="N2758">
        <v>32563837</v>
      </c>
      <c r="O2758">
        <v>45628882</v>
      </c>
      <c r="P2758">
        <v>1003</v>
      </c>
      <c r="Q2758" t="s">
        <v>5852</v>
      </c>
    </row>
    <row r="2759" spans="1:17" x14ac:dyDescent="0.3">
      <c r="A2759" t="s">
        <v>4664</v>
      </c>
      <c r="B2759" t="str">
        <f>"002075"</f>
        <v>002075</v>
      </c>
      <c r="C2759" t="s">
        <v>5853</v>
      </c>
      <c r="D2759" t="s">
        <v>281</v>
      </c>
      <c r="F2759">
        <v>826186468</v>
      </c>
      <c r="G2759">
        <v>433104837</v>
      </c>
      <c r="H2759">
        <v>370288679</v>
      </c>
      <c r="I2759">
        <v>993456843</v>
      </c>
      <c r="J2759">
        <v>369880035</v>
      </c>
      <c r="K2759">
        <v>131422816</v>
      </c>
      <c r="L2759">
        <v>-72867953</v>
      </c>
      <c r="M2759">
        <v>52330856</v>
      </c>
      <c r="N2759">
        <v>14907450</v>
      </c>
      <c r="O2759">
        <v>-9833537</v>
      </c>
      <c r="P2759">
        <v>281</v>
      </c>
      <c r="Q2759" t="s">
        <v>5854</v>
      </c>
    </row>
    <row r="2760" spans="1:17" x14ac:dyDescent="0.3">
      <c r="A2760" t="s">
        <v>4664</v>
      </c>
      <c r="B2760" t="str">
        <f>"002076"</f>
        <v>002076</v>
      </c>
      <c r="C2760" t="s">
        <v>5855</v>
      </c>
      <c r="D2760" t="s">
        <v>598</v>
      </c>
      <c r="F2760">
        <v>-60930385</v>
      </c>
      <c r="G2760">
        <v>-25211248</v>
      </c>
      <c r="H2760">
        <v>-272608230</v>
      </c>
      <c r="I2760">
        <v>-55153618</v>
      </c>
      <c r="J2760">
        <v>30346388</v>
      </c>
      <c r="K2760">
        <v>36741317</v>
      </c>
      <c r="L2760">
        <v>33026952</v>
      </c>
      <c r="M2760">
        <v>12820088</v>
      </c>
      <c r="N2760">
        <v>10988150</v>
      </c>
      <c r="O2760">
        <v>10515417</v>
      </c>
      <c r="P2760">
        <v>100</v>
      </c>
      <c r="Q2760" t="s">
        <v>5856</v>
      </c>
    </row>
    <row r="2761" spans="1:17" x14ac:dyDescent="0.3">
      <c r="A2761" t="s">
        <v>4664</v>
      </c>
      <c r="B2761" t="str">
        <f>"002077"</f>
        <v>002077</v>
      </c>
      <c r="C2761" t="s">
        <v>5857</v>
      </c>
      <c r="D2761" t="s">
        <v>1180</v>
      </c>
      <c r="F2761">
        <v>165658492</v>
      </c>
      <c r="G2761">
        <v>105879783</v>
      </c>
      <c r="H2761">
        <v>-286774750</v>
      </c>
      <c r="I2761">
        <v>-104888360</v>
      </c>
      <c r="J2761">
        <v>9769042</v>
      </c>
      <c r="K2761">
        <v>20313232</v>
      </c>
      <c r="L2761">
        <v>-14527416</v>
      </c>
      <c r="M2761">
        <v>36680829</v>
      </c>
      <c r="N2761">
        <v>36016164</v>
      </c>
      <c r="O2761">
        <v>42104029</v>
      </c>
      <c r="P2761">
        <v>125</v>
      </c>
      <c r="Q2761" t="s">
        <v>5858</v>
      </c>
    </row>
    <row r="2762" spans="1:17" x14ac:dyDescent="0.3">
      <c r="A2762" t="s">
        <v>4664</v>
      </c>
      <c r="B2762" t="str">
        <f>"002078"</f>
        <v>002078</v>
      </c>
      <c r="C2762" t="s">
        <v>5859</v>
      </c>
      <c r="D2762" t="s">
        <v>694</v>
      </c>
      <c r="F2762">
        <v>2768315803</v>
      </c>
      <c r="G2762">
        <v>1382194864</v>
      </c>
      <c r="H2762">
        <v>1485126314</v>
      </c>
      <c r="I2762">
        <v>1801585341</v>
      </c>
      <c r="J2762">
        <v>1374266745</v>
      </c>
      <c r="K2762">
        <v>657223317</v>
      </c>
      <c r="L2762">
        <v>415685684</v>
      </c>
      <c r="M2762">
        <v>313882386</v>
      </c>
      <c r="N2762">
        <v>202133728</v>
      </c>
      <c r="O2762">
        <v>152560853</v>
      </c>
      <c r="P2762">
        <v>1103</v>
      </c>
      <c r="Q2762" t="s">
        <v>5860</v>
      </c>
    </row>
    <row r="2763" spans="1:17" x14ac:dyDescent="0.3">
      <c r="A2763" t="s">
        <v>4664</v>
      </c>
      <c r="B2763" t="str">
        <f>"002079"</f>
        <v>002079</v>
      </c>
      <c r="C2763" t="s">
        <v>5861</v>
      </c>
      <c r="D2763" t="s">
        <v>795</v>
      </c>
      <c r="F2763">
        <v>184816297</v>
      </c>
      <c r="G2763">
        <v>74452898</v>
      </c>
      <c r="H2763">
        <v>84496261</v>
      </c>
      <c r="I2763">
        <v>69482056</v>
      </c>
      <c r="J2763">
        <v>80095126</v>
      </c>
      <c r="K2763">
        <v>79802781</v>
      </c>
      <c r="L2763">
        <v>13248540</v>
      </c>
      <c r="M2763">
        <v>33233988</v>
      </c>
      <c r="N2763">
        <v>29679539</v>
      </c>
      <c r="O2763">
        <v>23495811</v>
      </c>
      <c r="P2763">
        <v>372</v>
      </c>
      <c r="Q2763" t="s">
        <v>5862</v>
      </c>
    </row>
    <row r="2764" spans="1:17" x14ac:dyDescent="0.3">
      <c r="A2764" t="s">
        <v>4664</v>
      </c>
      <c r="B2764" t="str">
        <f>"002080"</f>
        <v>002080</v>
      </c>
      <c r="C2764" t="s">
        <v>5863</v>
      </c>
      <c r="D2764" t="s">
        <v>411</v>
      </c>
      <c r="F2764">
        <v>2647285170</v>
      </c>
      <c r="G2764">
        <v>1547896831</v>
      </c>
      <c r="H2764">
        <v>1018893810</v>
      </c>
      <c r="I2764">
        <v>745578939</v>
      </c>
      <c r="J2764">
        <v>599976334</v>
      </c>
      <c r="K2764">
        <v>338668981</v>
      </c>
      <c r="L2764">
        <v>273853256</v>
      </c>
      <c r="M2764">
        <v>71657130</v>
      </c>
      <c r="N2764">
        <v>80478589</v>
      </c>
      <c r="O2764">
        <v>76684431</v>
      </c>
      <c r="P2764">
        <v>913</v>
      </c>
      <c r="Q2764" t="s">
        <v>5864</v>
      </c>
    </row>
    <row r="2765" spans="1:17" x14ac:dyDescent="0.3">
      <c r="A2765" t="s">
        <v>4664</v>
      </c>
      <c r="B2765" t="str">
        <f>"002081"</f>
        <v>002081</v>
      </c>
      <c r="C2765" t="s">
        <v>5865</v>
      </c>
      <c r="D2765" t="s">
        <v>450</v>
      </c>
      <c r="F2765">
        <v>1407410314</v>
      </c>
      <c r="G2765">
        <v>1713537885</v>
      </c>
      <c r="H2765">
        <v>1750274177</v>
      </c>
      <c r="I2765">
        <v>1584366240</v>
      </c>
      <c r="J2765">
        <v>1437133003</v>
      </c>
      <c r="K2765">
        <v>1363663683.49</v>
      </c>
      <c r="L2765">
        <v>1335107644</v>
      </c>
      <c r="M2765">
        <v>1316025720</v>
      </c>
      <c r="N2765">
        <v>1008857318</v>
      </c>
      <c r="O2765">
        <v>707513608</v>
      </c>
      <c r="P2765">
        <v>18140</v>
      </c>
      <c r="Q2765" t="s">
        <v>5866</v>
      </c>
    </row>
    <row r="2766" spans="1:17" x14ac:dyDescent="0.3">
      <c r="A2766" t="s">
        <v>4664</v>
      </c>
      <c r="B2766" t="str">
        <f>"002082"</f>
        <v>002082</v>
      </c>
      <c r="C2766" t="s">
        <v>5867</v>
      </c>
      <c r="D2766" t="s">
        <v>504</v>
      </c>
      <c r="F2766">
        <v>152265955</v>
      </c>
      <c r="G2766">
        <v>120781263</v>
      </c>
      <c r="H2766">
        <v>75300261</v>
      </c>
      <c r="I2766">
        <v>51312498</v>
      </c>
      <c r="J2766">
        <v>60533950</v>
      </c>
      <c r="K2766">
        <v>56659827</v>
      </c>
      <c r="L2766">
        <v>70565544</v>
      </c>
      <c r="M2766">
        <v>76914589</v>
      </c>
      <c r="N2766">
        <v>73100568</v>
      </c>
      <c r="O2766">
        <v>59914862</v>
      </c>
      <c r="P2766">
        <v>135</v>
      </c>
      <c r="Q2766" t="s">
        <v>5868</v>
      </c>
    </row>
    <row r="2767" spans="1:17" x14ac:dyDescent="0.3">
      <c r="A2767" t="s">
        <v>4664</v>
      </c>
      <c r="B2767" t="str">
        <f>"002083"</f>
        <v>002083</v>
      </c>
      <c r="C2767" t="s">
        <v>5869</v>
      </c>
      <c r="D2767" t="s">
        <v>1009</v>
      </c>
      <c r="F2767">
        <v>245314852</v>
      </c>
      <c r="G2767">
        <v>221570908</v>
      </c>
      <c r="H2767">
        <v>374279414</v>
      </c>
      <c r="I2767">
        <v>331008009</v>
      </c>
      <c r="J2767">
        <v>326604488</v>
      </c>
      <c r="K2767">
        <v>241687430</v>
      </c>
      <c r="L2767">
        <v>215363945</v>
      </c>
      <c r="M2767">
        <v>156565962</v>
      </c>
      <c r="N2767">
        <v>131237346</v>
      </c>
      <c r="O2767">
        <v>87801786</v>
      </c>
      <c r="P2767">
        <v>283</v>
      </c>
      <c r="Q2767" t="s">
        <v>5870</v>
      </c>
    </row>
    <row r="2768" spans="1:17" x14ac:dyDescent="0.3">
      <c r="A2768" t="s">
        <v>4664</v>
      </c>
      <c r="B2768" t="str">
        <f>"002084"</f>
        <v>002084</v>
      </c>
      <c r="C2768" t="s">
        <v>5871</v>
      </c>
      <c r="D2768" t="s">
        <v>2885</v>
      </c>
      <c r="F2768">
        <v>115659455</v>
      </c>
      <c r="G2768">
        <v>96958861</v>
      </c>
      <c r="H2768">
        <v>108416560</v>
      </c>
      <c r="I2768">
        <v>34761574</v>
      </c>
      <c r="J2768">
        <v>64480199</v>
      </c>
      <c r="K2768">
        <v>62613691</v>
      </c>
      <c r="L2768">
        <v>45024904</v>
      </c>
      <c r="M2768">
        <v>25994974</v>
      </c>
      <c r="N2768">
        <v>25132596</v>
      </c>
      <c r="O2768">
        <v>24602658</v>
      </c>
      <c r="P2768">
        <v>148</v>
      </c>
      <c r="Q2768" t="s">
        <v>5872</v>
      </c>
    </row>
    <row r="2769" spans="1:17" x14ac:dyDescent="0.3">
      <c r="A2769" t="s">
        <v>4664</v>
      </c>
      <c r="B2769" t="str">
        <f>"002085"</f>
        <v>002085</v>
      </c>
      <c r="C2769" t="s">
        <v>5873</v>
      </c>
      <c r="D2769" t="s">
        <v>422</v>
      </c>
      <c r="F2769">
        <v>235533038</v>
      </c>
      <c r="G2769">
        <v>410446845</v>
      </c>
      <c r="H2769">
        <v>601934336</v>
      </c>
      <c r="I2769">
        <v>784538225</v>
      </c>
      <c r="J2769">
        <v>709098599</v>
      </c>
      <c r="K2769">
        <v>708787623</v>
      </c>
      <c r="L2769">
        <v>411871944</v>
      </c>
      <c r="M2769">
        <v>302678553</v>
      </c>
      <c r="N2769">
        <v>215592364</v>
      </c>
      <c r="O2769">
        <v>167372040</v>
      </c>
      <c r="P2769">
        <v>1527</v>
      </c>
      <c r="Q2769" t="s">
        <v>5874</v>
      </c>
    </row>
    <row r="2770" spans="1:17" x14ac:dyDescent="0.3">
      <c r="A2770" t="s">
        <v>4664</v>
      </c>
      <c r="B2770" t="str">
        <f>"002086"</f>
        <v>002086</v>
      </c>
      <c r="C2770" t="s">
        <v>5875</v>
      </c>
      <c r="D2770" t="s">
        <v>587</v>
      </c>
      <c r="F2770">
        <v>-64734418</v>
      </c>
      <c r="G2770">
        <v>16488307</v>
      </c>
      <c r="H2770">
        <v>29338775</v>
      </c>
      <c r="I2770">
        <v>92350049</v>
      </c>
      <c r="J2770">
        <v>111261528</v>
      </c>
      <c r="K2770">
        <v>57705255</v>
      </c>
      <c r="L2770">
        <v>43540303</v>
      </c>
      <c r="M2770">
        <v>37431095</v>
      </c>
      <c r="N2770">
        <v>61330987</v>
      </c>
      <c r="O2770">
        <v>66921098</v>
      </c>
      <c r="P2770">
        <v>70</v>
      </c>
      <c r="Q2770" t="s">
        <v>5876</v>
      </c>
    </row>
    <row r="2771" spans="1:17" x14ac:dyDescent="0.3">
      <c r="A2771" t="s">
        <v>4664</v>
      </c>
      <c r="B2771" t="str">
        <f>"002087"</f>
        <v>002087</v>
      </c>
      <c r="C2771" t="s">
        <v>5877</v>
      </c>
      <c r="D2771" t="s">
        <v>1009</v>
      </c>
      <c r="F2771">
        <v>130199374</v>
      </c>
      <c r="G2771">
        <v>170229452</v>
      </c>
      <c r="H2771">
        <v>204374731</v>
      </c>
      <c r="I2771">
        <v>317382195</v>
      </c>
      <c r="J2771">
        <v>237380736</v>
      </c>
      <c r="K2771">
        <v>140388387</v>
      </c>
      <c r="L2771">
        <v>101173896</v>
      </c>
      <c r="M2771">
        <v>52750895</v>
      </c>
      <c r="N2771">
        <v>63349192</v>
      </c>
      <c r="O2771">
        <v>52865130</v>
      </c>
      <c r="P2771">
        <v>208</v>
      </c>
      <c r="Q2771" t="s">
        <v>5878</v>
      </c>
    </row>
    <row r="2772" spans="1:17" x14ac:dyDescent="0.3">
      <c r="A2772" t="s">
        <v>4664</v>
      </c>
      <c r="B2772" t="str">
        <f>"002088"</f>
        <v>002088</v>
      </c>
      <c r="C2772" t="s">
        <v>5879</v>
      </c>
      <c r="D2772" t="s">
        <v>5835</v>
      </c>
      <c r="F2772">
        <v>404362056</v>
      </c>
      <c r="G2772">
        <v>222140670</v>
      </c>
      <c r="H2772">
        <v>240572531</v>
      </c>
      <c r="I2772">
        <v>230239231</v>
      </c>
      <c r="J2772">
        <v>139137255</v>
      </c>
      <c r="K2772">
        <v>63927622</v>
      </c>
      <c r="L2772">
        <v>33942830</v>
      </c>
      <c r="M2772">
        <v>51360881</v>
      </c>
      <c r="N2772">
        <v>55656822</v>
      </c>
      <c r="O2772">
        <v>56619994</v>
      </c>
      <c r="P2772">
        <v>407</v>
      </c>
      <c r="Q2772" t="s">
        <v>5880</v>
      </c>
    </row>
    <row r="2773" spans="1:17" x14ac:dyDescent="0.3">
      <c r="A2773" t="s">
        <v>4664</v>
      </c>
      <c r="B2773" t="str">
        <f>"002089"</f>
        <v>002089</v>
      </c>
      <c r="C2773" t="s">
        <v>5881</v>
      </c>
      <c r="D2773" t="s">
        <v>1019</v>
      </c>
      <c r="F2773">
        <v>-80260238</v>
      </c>
      <c r="G2773">
        <v>-45561369</v>
      </c>
      <c r="H2773">
        <v>-550736796</v>
      </c>
      <c r="I2773">
        <v>107267648</v>
      </c>
      <c r="J2773">
        <v>88146061</v>
      </c>
      <c r="K2773">
        <v>63776324</v>
      </c>
      <c r="L2773">
        <v>119307793</v>
      </c>
      <c r="M2773">
        <v>87078703</v>
      </c>
      <c r="N2773">
        <v>48146779</v>
      </c>
      <c r="O2773">
        <v>88956528</v>
      </c>
      <c r="P2773">
        <v>175</v>
      </c>
      <c r="Q2773" t="s">
        <v>5882</v>
      </c>
    </row>
    <row r="2774" spans="1:17" x14ac:dyDescent="0.3">
      <c r="A2774" t="s">
        <v>4664</v>
      </c>
      <c r="B2774" t="str">
        <f>"002090"</f>
        <v>002090</v>
      </c>
      <c r="C2774" t="s">
        <v>5883</v>
      </c>
      <c r="D2774" t="s">
        <v>610</v>
      </c>
      <c r="F2774">
        <v>41490665</v>
      </c>
      <c r="G2774">
        <v>29888470</v>
      </c>
      <c r="H2774">
        <v>96473594</v>
      </c>
      <c r="I2774">
        <v>80471892</v>
      </c>
      <c r="J2774">
        <v>109276114</v>
      </c>
      <c r="K2774">
        <v>75430458</v>
      </c>
      <c r="L2774">
        <v>100642081</v>
      </c>
      <c r="M2774">
        <v>52981954</v>
      </c>
      <c r="N2774">
        <v>35462507</v>
      </c>
      <c r="O2774">
        <v>28522030</v>
      </c>
      <c r="P2774">
        <v>229</v>
      </c>
      <c r="Q2774" t="s">
        <v>5884</v>
      </c>
    </row>
    <row r="2775" spans="1:17" x14ac:dyDescent="0.3">
      <c r="A2775" t="s">
        <v>4664</v>
      </c>
      <c r="B2775" t="str">
        <f>"002091"</f>
        <v>002091</v>
      </c>
      <c r="C2775" t="s">
        <v>5885</v>
      </c>
      <c r="D2775" t="s">
        <v>131</v>
      </c>
      <c r="F2775">
        <v>754606221</v>
      </c>
      <c r="G2775">
        <v>593260477</v>
      </c>
      <c r="H2775">
        <v>767684997</v>
      </c>
      <c r="I2775">
        <v>736186395</v>
      </c>
      <c r="J2775">
        <v>597742468</v>
      </c>
      <c r="K2775">
        <v>242272146</v>
      </c>
      <c r="L2775">
        <v>184352133</v>
      </c>
      <c r="M2775">
        <v>166546223</v>
      </c>
      <c r="N2775">
        <v>156926042</v>
      </c>
      <c r="O2775">
        <v>155226736</v>
      </c>
      <c r="P2775">
        <v>509</v>
      </c>
      <c r="Q2775" t="s">
        <v>5886</v>
      </c>
    </row>
    <row r="2776" spans="1:17" x14ac:dyDescent="0.3">
      <c r="A2776" t="s">
        <v>4664</v>
      </c>
      <c r="B2776" t="str">
        <f>"002092"</f>
        <v>002092</v>
      </c>
      <c r="C2776" t="s">
        <v>5887</v>
      </c>
      <c r="D2776" t="s">
        <v>175</v>
      </c>
      <c r="F2776">
        <v>2464399540</v>
      </c>
      <c r="G2776">
        <v>-446421119</v>
      </c>
      <c r="H2776">
        <v>406077493</v>
      </c>
      <c r="I2776">
        <v>2010786417</v>
      </c>
      <c r="J2776">
        <v>2045367487</v>
      </c>
      <c r="K2776">
        <v>712756397</v>
      </c>
      <c r="L2776">
        <v>49935377</v>
      </c>
      <c r="M2776">
        <v>251431507</v>
      </c>
      <c r="N2776">
        <v>115413299</v>
      </c>
      <c r="O2776">
        <v>147737973</v>
      </c>
      <c r="P2776">
        <v>521</v>
      </c>
      <c r="Q2776" t="s">
        <v>5888</v>
      </c>
    </row>
    <row r="2777" spans="1:17" x14ac:dyDescent="0.3">
      <c r="A2777" t="s">
        <v>4664</v>
      </c>
      <c r="B2777" t="str">
        <f>"002093"</f>
        <v>002093</v>
      </c>
      <c r="C2777" t="s">
        <v>5889</v>
      </c>
      <c r="D2777" t="s">
        <v>654</v>
      </c>
      <c r="F2777">
        <v>65052666</v>
      </c>
      <c r="G2777">
        <v>95542709</v>
      </c>
      <c r="H2777">
        <v>94257111</v>
      </c>
      <c r="I2777">
        <v>127194968</v>
      </c>
      <c r="J2777">
        <v>99741234</v>
      </c>
      <c r="K2777">
        <v>50864135</v>
      </c>
      <c r="L2777">
        <v>24494054</v>
      </c>
      <c r="M2777">
        <v>36459071</v>
      </c>
      <c r="N2777">
        <v>70169633</v>
      </c>
      <c r="O2777">
        <v>65500212</v>
      </c>
      <c r="P2777">
        <v>288</v>
      </c>
      <c r="Q2777" t="s">
        <v>5890</v>
      </c>
    </row>
    <row r="2778" spans="1:17" x14ac:dyDescent="0.3">
      <c r="A2778" t="s">
        <v>4664</v>
      </c>
      <c r="B2778" t="str">
        <f>"002094"</f>
        <v>002094</v>
      </c>
      <c r="C2778" t="s">
        <v>5891</v>
      </c>
      <c r="D2778" t="s">
        <v>5892</v>
      </c>
      <c r="F2778">
        <v>47833772</v>
      </c>
      <c r="G2778">
        <v>-48701968</v>
      </c>
      <c r="H2778">
        <v>298934168</v>
      </c>
      <c r="I2778">
        <v>162412764</v>
      </c>
      <c r="J2778">
        <v>381621724</v>
      </c>
      <c r="K2778">
        <v>114786514</v>
      </c>
      <c r="L2778">
        <v>81092873</v>
      </c>
      <c r="M2778">
        <v>47507035</v>
      </c>
      <c r="N2778">
        <v>46784825</v>
      </c>
      <c r="O2778">
        <v>45439115</v>
      </c>
      <c r="P2778">
        <v>183</v>
      </c>
      <c r="Q2778" t="s">
        <v>5893</v>
      </c>
    </row>
    <row r="2779" spans="1:17" x14ac:dyDescent="0.3">
      <c r="A2779" t="s">
        <v>4664</v>
      </c>
      <c r="B2779" t="str">
        <f>"002095"</f>
        <v>002095</v>
      </c>
      <c r="C2779" t="s">
        <v>5894</v>
      </c>
      <c r="D2779" t="s">
        <v>522</v>
      </c>
      <c r="F2779">
        <v>16532950</v>
      </c>
      <c r="G2779">
        <v>19363661</v>
      </c>
      <c r="H2779">
        <v>30792145</v>
      </c>
      <c r="I2779">
        <v>31587336</v>
      </c>
      <c r="J2779">
        <v>20230113</v>
      </c>
      <c r="K2779">
        <v>16051581</v>
      </c>
      <c r="L2779">
        <v>21337134</v>
      </c>
      <c r="M2779">
        <v>29366031</v>
      </c>
      <c r="N2779">
        <v>28117838</v>
      </c>
      <c r="O2779">
        <v>30151781</v>
      </c>
      <c r="P2779">
        <v>97</v>
      </c>
      <c r="Q2779" t="s">
        <v>5895</v>
      </c>
    </row>
    <row r="2780" spans="1:17" x14ac:dyDescent="0.3">
      <c r="A2780" t="s">
        <v>4664</v>
      </c>
      <c r="B2780" t="str">
        <f>"002096"</f>
        <v>002096</v>
      </c>
      <c r="C2780" t="s">
        <v>5896</v>
      </c>
      <c r="D2780" t="s">
        <v>2713</v>
      </c>
      <c r="F2780">
        <v>33894474</v>
      </c>
      <c r="G2780">
        <v>31524793</v>
      </c>
      <c r="H2780">
        <v>28317889</v>
      </c>
      <c r="I2780">
        <v>24877366</v>
      </c>
      <c r="J2780">
        <v>33610351</v>
      </c>
      <c r="K2780">
        <v>42694041</v>
      </c>
      <c r="L2780">
        <v>86544633</v>
      </c>
      <c r="M2780">
        <v>116575658</v>
      </c>
      <c r="N2780">
        <v>121146635</v>
      </c>
      <c r="O2780">
        <v>52702282</v>
      </c>
      <c r="P2780">
        <v>79</v>
      </c>
      <c r="Q2780" t="s">
        <v>5897</v>
      </c>
    </row>
    <row r="2781" spans="1:17" x14ac:dyDescent="0.3">
      <c r="A2781" t="s">
        <v>4664</v>
      </c>
      <c r="B2781" t="str">
        <f>"002097"</f>
        <v>002097</v>
      </c>
      <c r="C2781" t="s">
        <v>5898</v>
      </c>
      <c r="D2781" t="s">
        <v>83</v>
      </c>
      <c r="F2781">
        <v>493097182</v>
      </c>
      <c r="G2781">
        <v>511638659</v>
      </c>
      <c r="H2781">
        <v>426974323</v>
      </c>
      <c r="I2781">
        <v>398192319</v>
      </c>
      <c r="J2781">
        <v>113741379</v>
      </c>
      <c r="K2781">
        <v>34309360</v>
      </c>
      <c r="L2781">
        <v>-14452125</v>
      </c>
      <c r="M2781">
        <v>11456474</v>
      </c>
      <c r="N2781">
        <v>52352744</v>
      </c>
      <c r="O2781">
        <v>22714815</v>
      </c>
      <c r="P2781">
        <v>217</v>
      </c>
      <c r="Q2781" t="s">
        <v>5899</v>
      </c>
    </row>
    <row r="2782" spans="1:17" x14ac:dyDescent="0.3">
      <c r="A2782" t="s">
        <v>4664</v>
      </c>
      <c r="B2782" t="str">
        <f>"002098"</f>
        <v>002098</v>
      </c>
      <c r="C2782" t="s">
        <v>5900</v>
      </c>
      <c r="D2782" t="s">
        <v>2929</v>
      </c>
      <c r="F2782">
        <v>121333209</v>
      </c>
      <c r="G2782">
        <v>61554910</v>
      </c>
      <c r="H2782">
        <v>66516123</v>
      </c>
      <c r="I2782">
        <v>47478010</v>
      </c>
      <c r="J2782">
        <v>86203063</v>
      </c>
      <c r="K2782">
        <v>86359158</v>
      </c>
      <c r="L2782">
        <v>60701621</v>
      </c>
      <c r="M2782">
        <v>66925081</v>
      </c>
      <c r="N2782">
        <v>49276539</v>
      </c>
      <c r="O2782">
        <v>27630149</v>
      </c>
      <c r="P2782">
        <v>111</v>
      </c>
      <c r="Q2782" t="s">
        <v>5901</v>
      </c>
    </row>
    <row r="2783" spans="1:17" x14ac:dyDescent="0.3">
      <c r="A2783" t="s">
        <v>4664</v>
      </c>
      <c r="B2783" t="str">
        <f>"002099"</f>
        <v>002099</v>
      </c>
      <c r="C2783" t="s">
        <v>5902</v>
      </c>
      <c r="D2783" t="s">
        <v>496</v>
      </c>
      <c r="F2783">
        <v>76660934</v>
      </c>
      <c r="G2783">
        <v>361927871</v>
      </c>
      <c r="H2783">
        <v>690092446</v>
      </c>
      <c r="I2783">
        <v>483020436</v>
      </c>
      <c r="J2783">
        <v>285249312</v>
      </c>
      <c r="K2783">
        <v>434195403</v>
      </c>
      <c r="L2783">
        <v>450615257</v>
      </c>
      <c r="M2783">
        <v>7804803</v>
      </c>
      <c r="N2783">
        <v>-23626115</v>
      </c>
      <c r="O2783">
        <v>70944809</v>
      </c>
      <c r="P2783">
        <v>298</v>
      </c>
      <c r="Q2783" t="s">
        <v>5903</v>
      </c>
    </row>
    <row r="2784" spans="1:17" x14ac:dyDescent="0.3">
      <c r="A2784" t="s">
        <v>4664</v>
      </c>
      <c r="B2784" t="str">
        <f>"002100"</f>
        <v>002100</v>
      </c>
      <c r="C2784" t="s">
        <v>5904</v>
      </c>
      <c r="D2784" t="s">
        <v>2859</v>
      </c>
      <c r="F2784">
        <v>-192859154</v>
      </c>
      <c r="G2784">
        <v>1477586004</v>
      </c>
      <c r="H2784">
        <v>301704025</v>
      </c>
      <c r="I2784">
        <v>259315166</v>
      </c>
      <c r="J2784">
        <v>320601502</v>
      </c>
      <c r="K2784">
        <v>318884815</v>
      </c>
      <c r="L2784">
        <v>211435381</v>
      </c>
      <c r="M2784">
        <v>143053312</v>
      </c>
      <c r="N2784">
        <v>118184987</v>
      </c>
      <c r="O2784">
        <v>92141004</v>
      </c>
      <c r="P2784">
        <v>737</v>
      </c>
      <c r="Q2784" t="s">
        <v>5905</v>
      </c>
    </row>
    <row r="2785" spans="1:17" x14ac:dyDescent="0.3">
      <c r="A2785" t="s">
        <v>4664</v>
      </c>
      <c r="B2785" t="str">
        <f>"002101"</f>
        <v>002101</v>
      </c>
      <c r="C2785" t="s">
        <v>5906</v>
      </c>
      <c r="D2785" t="s">
        <v>985</v>
      </c>
      <c r="F2785">
        <v>192106762</v>
      </c>
      <c r="G2785">
        <v>77539505</v>
      </c>
      <c r="H2785">
        <v>228170708</v>
      </c>
      <c r="I2785">
        <v>284711964</v>
      </c>
      <c r="J2785">
        <v>238011812</v>
      </c>
      <c r="K2785">
        <v>118177891</v>
      </c>
      <c r="L2785">
        <v>89017497</v>
      </c>
      <c r="M2785">
        <v>97654980</v>
      </c>
      <c r="N2785">
        <v>64057946</v>
      </c>
      <c r="O2785">
        <v>63140001</v>
      </c>
      <c r="P2785">
        <v>267</v>
      </c>
      <c r="Q2785" t="s">
        <v>5907</v>
      </c>
    </row>
    <row r="2786" spans="1:17" x14ac:dyDescent="0.3">
      <c r="A2786" t="s">
        <v>4664</v>
      </c>
      <c r="B2786" t="str">
        <f>"002102"</f>
        <v>002102</v>
      </c>
      <c r="C2786" t="s">
        <v>5908</v>
      </c>
      <c r="D2786" t="s">
        <v>496</v>
      </c>
      <c r="F2786">
        <v>268745809</v>
      </c>
      <c r="G2786">
        <v>286699499</v>
      </c>
      <c r="H2786">
        <v>641247464</v>
      </c>
      <c r="I2786">
        <v>393090538</v>
      </c>
      <c r="J2786">
        <v>142400559</v>
      </c>
      <c r="K2786">
        <v>121977094</v>
      </c>
      <c r="L2786">
        <v>53823820</v>
      </c>
      <c r="M2786">
        <v>1163729</v>
      </c>
      <c r="N2786">
        <v>14043489</v>
      </c>
      <c r="O2786">
        <v>-65891168</v>
      </c>
      <c r="P2786">
        <v>119</v>
      </c>
      <c r="Q2786" t="s">
        <v>5909</v>
      </c>
    </row>
    <row r="2787" spans="1:17" x14ac:dyDescent="0.3">
      <c r="A2787" t="s">
        <v>4664</v>
      </c>
      <c r="B2787" t="str">
        <f>"002103"</f>
        <v>002103</v>
      </c>
      <c r="C2787" t="s">
        <v>5910</v>
      </c>
      <c r="D2787" t="s">
        <v>207</v>
      </c>
      <c r="F2787">
        <v>22964655</v>
      </c>
      <c r="G2787">
        <v>7230751</v>
      </c>
      <c r="H2787">
        <v>13870185</v>
      </c>
      <c r="I2787">
        <v>53455581</v>
      </c>
      <c r="J2787">
        <v>85465731</v>
      </c>
      <c r="K2787">
        <v>72193654</v>
      </c>
      <c r="L2787">
        <v>53326738</v>
      </c>
      <c r="M2787">
        <v>9655870</v>
      </c>
      <c r="N2787">
        <v>12356501</v>
      </c>
      <c r="O2787">
        <v>27728427</v>
      </c>
      <c r="P2787">
        <v>108</v>
      </c>
      <c r="Q2787" t="s">
        <v>5911</v>
      </c>
    </row>
    <row r="2788" spans="1:17" x14ac:dyDescent="0.3">
      <c r="A2788" t="s">
        <v>4664</v>
      </c>
      <c r="B2788" t="str">
        <f>"002104"</f>
        <v>002104</v>
      </c>
      <c r="C2788" t="s">
        <v>5912</v>
      </c>
      <c r="D2788" t="s">
        <v>786</v>
      </c>
      <c r="F2788">
        <v>33203367</v>
      </c>
      <c r="G2788">
        <v>45736230</v>
      </c>
      <c r="H2788">
        <v>65121079</v>
      </c>
      <c r="I2788">
        <v>111617103</v>
      </c>
      <c r="J2788">
        <v>129500102</v>
      </c>
      <c r="K2788">
        <v>125218433</v>
      </c>
      <c r="L2788">
        <v>226318232</v>
      </c>
      <c r="M2788">
        <v>180867546</v>
      </c>
      <c r="N2788">
        <v>119590993</v>
      </c>
      <c r="O2788">
        <v>80289329</v>
      </c>
      <c r="P2788">
        <v>416</v>
      </c>
      <c r="Q2788" t="s">
        <v>5913</v>
      </c>
    </row>
    <row r="2789" spans="1:17" x14ac:dyDescent="0.3">
      <c r="A2789" t="s">
        <v>4664</v>
      </c>
      <c r="B2789" t="str">
        <f>"002105"</f>
        <v>002105</v>
      </c>
      <c r="C2789" t="s">
        <v>5914</v>
      </c>
      <c r="D2789" t="s">
        <v>233</v>
      </c>
      <c r="F2789">
        <v>202714367</v>
      </c>
      <c r="G2789">
        <v>112790016</v>
      </c>
      <c r="H2789">
        <v>49808398</v>
      </c>
      <c r="I2789">
        <v>5194909</v>
      </c>
      <c r="J2789">
        <v>43977459</v>
      </c>
      <c r="K2789">
        <v>22286532</v>
      </c>
      <c r="L2789">
        <v>-48586873</v>
      </c>
      <c r="M2789">
        <v>1529114</v>
      </c>
      <c r="N2789">
        <v>-13529654</v>
      </c>
      <c r="O2789">
        <v>21851550</v>
      </c>
      <c r="P2789">
        <v>217</v>
      </c>
      <c r="Q2789" t="s">
        <v>5915</v>
      </c>
    </row>
    <row r="2790" spans="1:17" x14ac:dyDescent="0.3">
      <c r="A2790" t="s">
        <v>4664</v>
      </c>
      <c r="B2790" t="str">
        <f>"002106"</f>
        <v>002106</v>
      </c>
      <c r="C2790" t="s">
        <v>5916</v>
      </c>
      <c r="D2790" t="s">
        <v>1117</v>
      </c>
      <c r="F2790">
        <v>405063172</v>
      </c>
      <c r="G2790">
        <v>315923211</v>
      </c>
      <c r="H2790">
        <v>228499350</v>
      </c>
      <c r="I2790">
        <v>172517861</v>
      </c>
      <c r="J2790">
        <v>95913363</v>
      </c>
      <c r="K2790">
        <v>116011114</v>
      </c>
      <c r="L2790">
        <v>-134013230</v>
      </c>
      <c r="M2790">
        <v>26679812</v>
      </c>
      <c r="N2790">
        <v>45262493</v>
      </c>
      <c r="O2790">
        <v>109513254</v>
      </c>
      <c r="P2790">
        <v>296</v>
      </c>
      <c r="Q2790" t="s">
        <v>5917</v>
      </c>
    </row>
    <row r="2791" spans="1:17" x14ac:dyDescent="0.3">
      <c r="A2791" t="s">
        <v>4664</v>
      </c>
      <c r="B2791" t="str">
        <f>"002107"</f>
        <v>002107</v>
      </c>
      <c r="C2791" t="s">
        <v>5918</v>
      </c>
      <c r="D2791" t="s">
        <v>188</v>
      </c>
      <c r="F2791">
        <v>136876092</v>
      </c>
      <c r="G2791">
        <v>140764542</v>
      </c>
      <c r="H2791">
        <v>51909135</v>
      </c>
      <c r="I2791">
        <v>46111932</v>
      </c>
      <c r="J2791">
        <v>61236480</v>
      </c>
      <c r="K2791">
        <v>42670463</v>
      </c>
      <c r="L2791">
        <v>61389783</v>
      </c>
      <c r="M2791">
        <v>15014211</v>
      </c>
      <c r="N2791">
        <v>6056592</v>
      </c>
      <c r="O2791">
        <v>4878612</v>
      </c>
      <c r="P2791">
        <v>350</v>
      </c>
      <c r="Q2791" t="s">
        <v>5919</v>
      </c>
    </row>
    <row r="2792" spans="1:17" x14ac:dyDescent="0.3">
      <c r="A2792" t="s">
        <v>4664</v>
      </c>
      <c r="B2792" t="str">
        <f>"002108"</f>
        <v>002108</v>
      </c>
      <c r="C2792" t="s">
        <v>5920</v>
      </c>
      <c r="D2792" t="s">
        <v>1192</v>
      </c>
      <c r="F2792">
        <v>342763586</v>
      </c>
      <c r="G2792">
        <v>237985904</v>
      </c>
      <c r="H2792">
        <v>170046594</v>
      </c>
      <c r="I2792">
        <v>310088969</v>
      </c>
      <c r="J2792">
        <v>444894211</v>
      </c>
      <c r="K2792">
        <v>387201559</v>
      </c>
      <c r="L2792">
        <v>155062398</v>
      </c>
      <c r="M2792">
        <v>120392300</v>
      </c>
      <c r="N2792">
        <v>109012070</v>
      </c>
      <c r="O2792">
        <v>90318481</v>
      </c>
      <c r="P2792">
        <v>345</v>
      </c>
      <c r="Q2792" t="s">
        <v>5921</v>
      </c>
    </row>
    <row r="2793" spans="1:17" x14ac:dyDescent="0.3">
      <c r="A2793" t="s">
        <v>4664</v>
      </c>
      <c r="B2793" t="str">
        <f>"002109"</f>
        <v>002109</v>
      </c>
      <c r="C2793" t="s">
        <v>5922</v>
      </c>
      <c r="D2793" t="s">
        <v>1233</v>
      </c>
      <c r="F2793">
        <v>484692253</v>
      </c>
      <c r="G2793">
        <v>87914059</v>
      </c>
      <c r="H2793">
        <v>109040026</v>
      </c>
      <c r="I2793">
        <v>189532463</v>
      </c>
      <c r="J2793">
        <v>129554617</v>
      </c>
      <c r="K2793">
        <v>-71255334</v>
      </c>
      <c r="L2793">
        <v>-92807272</v>
      </c>
      <c r="M2793">
        <v>-80326692</v>
      </c>
      <c r="N2793">
        <v>40374410</v>
      </c>
      <c r="O2793">
        <v>123547818</v>
      </c>
      <c r="P2793">
        <v>138</v>
      </c>
      <c r="Q2793" t="s">
        <v>5923</v>
      </c>
    </row>
    <row r="2794" spans="1:17" x14ac:dyDescent="0.3">
      <c r="A2794" t="s">
        <v>4664</v>
      </c>
      <c r="B2794" t="str">
        <f>"002110"</f>
        <v>002110</v>
      </c>
      <c r="C2794" t="s">
        <v>5924</v>
      </c>
      <c r="D2794" t="s">
        <v>531</v>
      </c>
      <c r="F2794">
        <v>3358542579</v>
      </c>
      <c r="G2794">
        <v>1974015030</v>
      </c>
      <c r="H2794">
        <v>2824892573</v>
      </c>
      <c r="I2794">
        <v>5178934489</v>
      </c>
      <c r="J2794">
        <v>2476353522</v>
      </c>
      <c r="K2794">
        <v>523511841</v>
      </c>
      <c r="L2794">
        <v>-648189285</v>
      </c>
      <c r="M2794">
        <v>-18948437</v>
      </c>
      <c r="N2794">
        <v>-13427653</v>
      </c>
      <c r="O2794">
        <v>-266135120</v>
      </c>
      <c r="P2794">
        <v>1174</v>
      </c>
      <c r="Q2794" t="s">
        <v>5925</v>
      </c>
    </row>
    <row r="2795" spans="1:17" x14ac:dyDescent="0.3">
      <c r="A2795" t="s">
        <v>4664</v>
      </c>
      <c r="B2795" t="str">
        <f>"002111"</f>
        <v>002111</v>
      </c>
      <c r="C2795" t="s">
        <v>5926</v>
      </c>
      <c r="D2795" t="s">
        <v>741</v>
      </c>
      <c r="F2795">
        <v>306479574</v>
      </c>
      <c r="G2795">
        <v>239359024</v>
      </c>
      <c r="H2795">
        <v>269670159</v>
      </c>
      <c r="I2795">
        <v>178495136</v>
      </c>
      <c r="J2795">
        <v>159217363</v>
      </c>
      <c r="K2795">
        <v>131016055</v>
      </c>
      <c r="L2795">
        <v>98805651</v>
      </c>
      <c r="M2795">
        <v>73782155</v>
      </c>
      <c r="N2795">
        <v>63955137</v>
      </c>
      <c r="O2795">
        <v>57695637</v>
      </c>
      <c r="P2795">
        <v>214</v>
      </c>
      <c r="Q2795" t="s">
        <v>5927</v>
      </c>
    </row>
    <row r="2796" spans="1:17" x14ac:dyDescent="0.3">
      <c r="A2796" t="s">
        <v>4664</v>
      </c>
      <c r="B2796" t="str">
        <f>"002112"</f>
        <v>002112</v>
      </c>
      <c r="C2796" t="s">
        <v>5928</v>
      </c>
      <c r="D2796" t="s">
        <v>210</v>
      </c>
      <c r="F2796">
        <v>13871412</v>
      </c>
      <c r="G2796">
        <v>26298472</v>
      </c>
      <c r="H2796">
        <v>5199225</v>
      </c>
      <c r="I2796">
        <v>-44914924</v>
      </c>
      <c r="J2796">
        <v>-54580432</v>
      </c>
      <c r="K2796">
        <v>18620186</v>
      </c>
      <c r="L2796">
        <v>6240336</v>
      </c>
      <c r="M2796">
        <v>9291827</v>
      </c>
      <c r="N2796">
        <v>10558135</v>
      </c>
      <c r="O2796">
        <v>2200156</v>
      </c>
      <c r="P2796">
        <v>76</v>
      </c>
      <c r="Q2796" t="s">
        <v>5929</v>
      </c>
    </row>
    <row r="2797" spans="1:17" x14ac:dyDescent="0.3">
      <c r="A2797" t="s">
        <v>4664</v>
      </c>
      <c r="B2797" t="str">
        <f>"002113"</f>
        <v>002113</v>
      </c>
      <c r="C2797" t="s">
        <v>5930</v>
      </c>
      <c r="D2797" t="s">
        <v>517</v>
      </c>
      <c r="F2797">
        <v>88914222</v>
      </c>
      <c r="G2797">
        <v>409067130</v>
      </c>
      <c r="H2797">
        <v>115339675</v>
      </c>
      <c r="I2797">
        <v>47906651</v>
      </c>
      <c r="J2797">
        <v>20181146</v>
      </c>
      <c r="K2797">
        <v>33563350</v>
      </c>
      <c r="L2797">
        <v>-3962095</v>
      </c>
      <c r="M2797">
        <v>556767</v>
      </c>
      <c r="N2797">
        <v>1547281</v>
      </c>
      <c r="O2797">
        <v>6300011</v>
      </c>
      <c r="P2797">
        <v>77</v>
      </c>
      <c r="Q2797" t="s">
        <v>5931</v>
      </c>
    </row>
    <row r="2798" spans="1:17" x14ac:dyDescent="0.3">
      <c r="A2798" t="s">
        <v>4664</v>
      </c>
      <c r="B2798" t="str">
        <f>"002114"</f>
        <v>002114</v>
      </c>
      <c r="C2798" t="s">
        <v>5932</v>
      </c>
      <c r="D2798" t="s">
        <v>744</v>
      </c>
      <c r="F2798">
        <v>59565334</v>
      </c>
      <c r="G2798">
        <v>-111614733</v>
      </c>
      <c r="H2798">
        <v>3597090</v>
      </c>
      <c r="I2798">
        <v>-140626439</v>
      </c>
      <c r="J2798">
        <v>47527826</v>
      </c>
      <c r="K2798">
        <v>26160359</v>
      </c>
      <c r="L2798">
        <v>-27123772</v>
      </c>
      <c r="M2798">
        <v>28382944</v>
      </c>
      <c r="N2798">
        <v>-45621864</v>
      </c>
      <c r="O2798">
        <v>19249591</v>
      </c>
      <c r="P2798">
        <v>73</v>
      </c>
      <c r="Q2798" t="s">
        <v>5933</v>
      </c>
    </row>
    <row r="2799" spans="1:17" x14ac:dyDescent="0.3">
      <c r="A2799" t="s">
        <v>4664</v>
      </c>
      <c r="B2799" t="str">
        <f>"002115"</f>
        <v>002115</v>
      </c>
      <c r="C2799" t="s">
        <v>5934</v>
      </c>
      <c r="D2799" t="s">
        <v>654</v>
      </c>
      <c r="F2799">
        <v>60101026</v>
      </c>
      <c r="G2799">
        <v>17452564</v>
      </c>
      <c r="H2799">
        <v>153562779</v>
      </c>
      <c r="I2799">
        <v>167222304</v>
      </c>
      <c r="J2799">
        <v>21081208</v>
      </c>
      <c r="K2799">
        <v>-20613158</v>
      </c>
      <c r="L2799">
        <v>11786228</v>
      </c>
      <c r="M2799">
        <v>-22934018</v>
      </c>
      <c r="N2799">
        <v>-16916769</v>
      </c>
      <c r="O2799">
        <v>68957313</v>
      </c>
      <c r="P2799">
        <v>239</v>
      </c>
      <c r="Q2799" t="s">
        <v>5935</v>
      </c>
    </row>
    <row r="2800" spans="1:17" x14ac:dyDescent="0.3">
      <c r="A2800" t="s">
        <v>4664</v>
      </c>
      <c r="B2800" t="str">
        <f>"002116"</f>
        <v>002116</v>
      </c>
      <c r="C2800" t="s">
        <v>5936</v>
      </c>
      <c r="D2800" t="s">
        <v>1986</v>
      </c>
      <c r="F2800">
        <v>115234810</v>
      </c>
      <c r="G2800">
        <v>17912095</v>
      </c>
      <c r="H2800">
        <v>162258136</v>
      </c>
      <c r="I2800">
        <v>148599434</v>
      </c>
      <c r="J2800">
        <v>121288922</v>
      </c>
      <c r="K2800">
        <v>80496031</v>
      </c>
      <c r="L2800">
        <v>166001123</v>
      </c>
      <c r="M2800">
        <v>150502370</v>
      </c>
      <c r="N2800">
        <v>123531007</v>
      </c>
      <c r="O2800">
        <v>91815820</v>
      </c>
      <c r="P2800">
        <v>176</v>
      </c>
      <c r="Q2800" t="s">
        <v>5937</v>
      </c>
    </row>
    <row r="2801" spans="1:17" x14ac:dyDescent="0.3">
      <c r="A2801" t="s">
        <v>4664</v>
      </c>
      <c r="B2801" t="str">
        <f>"002117"</f>
        <v>002117</v>
      </c>
      <c r="C2801" t="s">
        <v>5938</v>
      </c>
      <c r="D2801" t="s">
        <v>1692</v>
      </c>
      <c r="F2801">
        <v>145157456</v>
      </c>
      <c r="G2801">
        <v>120255526</v>
      </c>
      <c r="H2801">
        <v>205883809</v>
      </c>
      <c r="I2801">
        <v>195713572</v>
      </c>
      <c r="J2801">
        <v>166272333</v>
      </c>
      <c r="K2801">
        <v>148983121</v>
      </c>
      <c r="L2801">
        <v>147431072</v>
      </c>
      <c r="M2801">
        <v>119641775</v>
      </c>
      <c r="N2801">
        <v>98060728</v>
      </c>
      <c r="O2801">
        <v>80621181</v>
      </c>
      <c r="P2801">
        <v>392</v>
      </c>
      <c r="Q2801" t="s">
        <v>5939</v>
      </c>
    </row>
    <row r="2802" spans="1:17" x14ac:dyDescent="0.3">
      <c r="A2802" t="s">
        <v>4664</v>
      </c>
      <c r="B2802" t="str">
        <f>"002118"</f>
        <v>002118</v>
      </c>
      <c r="C2802" t="s">
        <v>5940</v>
      </c>
      <c r="D2802" t="s">
        <v>188</v>
      </c>
      <c r="F2802">
        <v>-340816483</v>
      </c>
      <c r="G2802">
        <v>-276552798</v>
      </c>
      <c r="H2802">
        <v>73371775</v>
      </c>
      <c r="I2802">
        <v>329330148</v>
      </c>
      <c r="J2802">
        <v>158920835</v>
      </c>
      <c r="K2802">
        <v>75237156</v>
      </c>
      <c r="L2802">
        <v>-27239196</v>
      </c>
      <c r="M2802">
        <v>-47553532</v>
      </c>
      <c r="N2802">
        <v>32883526</v>
      </c>
      <c r="O2802">
        <v>67069263</v>
      </c>
      <c r="P2802">
        <v>226</v>
      </c>
      <c r="Q2802" t="s">
        <v>5941</v>
      </c>
    </row>
    <row r="2803" spans="1:17" x14ac:dyDescent="0.3">
      <c r="A2803" t="s">
        <v>4664</v>
      </c>
      <c r="B2803" t="str">
        <f>"002119"</f>
        <v>002119</v>
      </c>
      <c r="C2803" t="s">
        <v>5942</v>
      </c>
      <c r="D2803" t="s">
        <v>475</v>
      </c>
      <c r="F2803">
        <v>124337778</v>
      </c>
      <c r="G2803">
        <v>71623579</v>
      </c>
      <c r="H2803">
        <v>79122671</v>
      </c>
      <c r="I2803">
        <v>65648063</v>
      </c>
      <c r="J2803">
        <v>56156993</v>
      </c>
      <c r="K2803">
        <v>31965714</v>
      </c>
      <c r="L2803">
        <v>-47213921</v>
      </c>
      <c r="M2803">
        <v>3364094</v>
      </c>
      <c r="N2803">
        <v>15604116</v>
      </c>
      <c r="O2803">
        <v>16279757</v>
      </c>
      <c r="P2803">
        <v>214</v>
      </c>
      <c r="Q2803" t="s">
        <v>5943</v>
      </c>
    </row>
    <row r="2804" spans="1:17" x14ac:dyDescent="0.3">
      <c r="A2804" t="s">
        <v>4664</v>
      </c>
      <c r="B2804" t="str">
        <f>"002120"</f>
        <v>002120</v>
      </c>
      <c r="C2804" t="s">
        <v>5944</v>
      </c>
      <c r="D2804" t="s">
        <v>537</v>
      </c>
      <c r="F2804">
        <v>781194173</v>
      </c>
      <c r="G2804">
        <v>1020016018</v>
      </c>
      <c r="H2804">
        <v>1955219681</v>
      </c>
      <c r="I2804">
        <v>1980802780</v>
      </c>
      <c r="J2804">
        <v>1176077305</v>
      </c>
      <c r="K2804">
        <v>61378691</v>
      </c>
      <c r="L2804">
        <v>37462416</v>
      </c>
      <c r="M2804">
        <v>68551959</v>
      </c>
      <c r="N2804">
        <v>27139283</v>
      </c>
      <c r="O2804">
        <v>63840455</v>
      </c>
      <c r="P2804">
        <v>1163</v>
      </c>
      <c r="Q2804" t="s">
        <v>5945</v>
      </c>
    </row>
    <row r="2805" spans="1:17" x14ac:dyDescent="0.3">
      <c r="A2805" t="s">
        <v>4664</v>
      </c>
      <c r="B2805" t="str">
        <f>"002121"</f>
        <v>002121</v>
      </c>
      <c r="C2805" t="s">
        <v>5946</v>
      </c>
      <c r="D2805" t="s">
        <v>2171</v>
      </c>
      <c r="F2805">
        <v>-227565456</v>
      </c>
      <c r="G2805">
        <v>363820989</v>
      </c>
      <c r="H2805">
        <v>-194455173</v>
      </c>
      <c r="I2805">
        <v>19809484</v>
      </c>
      <c r="J2805">
        <v>270882149</v>
      </c>
      <c r="K2805">
        <v>69901565</v>
      </c>
      <c r="L2805">
        <v>131215117</v>
      </c>
      <c r="M2805">
        <v>85438805</v>
      </c>
      <c r="N2805">
        <v>69561149</v>
      </c>
      <c r="O2805">
        <v>84763470</v>
      </c>
      <c r="P2805">
        <v>234</v>
      </c>
      <c r="Q2805" t="s">
        <v>5947</v>
      </c>
    </row>
    <row r="2806" spans="1:17" x14ac:dyDescent="0.3">
      <c r="A2806" t="s">
        <v>4664</v>
      </c>
      <c r="B2806" t="str">
        <f>"002122"</f>
        <v>002122</v>
      </c>
      <c r="C2806" t="s">
        <v>5948</v>
      </c>
      <c r="D2806" t="s">
        <v>274</v>
      </c>
      <c r="F2806">
        <v>139755903</v>
      </c>
      <c r="G2806">
        <v>99746586</v>
      </c>
      <c r="H2806">
        <v>-562048778</v>
      </c>
      <c r="I2806">
        <v>-205723986</v>
      </c>
      <c r="J2806">
        <v>37413299</v>
      </c>
      <c r="K2806">
        <v>28486404</v>
      </c>
      <c r="L2806">
        <v>40090647</v>
      </c>
      <c r="M2806">
        <v>25833457</v>
      </c>
      <c r="N2806">
        <v>23889884</v>
      </c>
      <c r="O2806">
        <v>201864690</v>
      </c>
      <c r="P2806">
        <v>69</v>
      </c>
      <c r="Q2806" t="s">
        <v>5949</v>
      </c>
    </row>
    <row r="2807" spans="1:17" x14ac:dyDescent="0.3">
      <c r="A2807" t="s">
        <v>4664</v>
      </c>
      <c r="B2807" t="str">
        <f>"002123"</f>
        <v>002123</v>
      </c>
      <c r="C2807" t="s">
        <v>5950</v>
      </c>
      <c r="D2807" t="s">
        <v>5597</v>
      </c>
      <c r="F2807">
        <v>89104946</v>
      </c>
      <c r="G2807">
        <v>43635718</v>
      </c>
      <c r="H2807">
        <v>181982257</v>
      </c>
      <c r="I2807">
        <v>152322297</v>
      </c>
      <c r="J2807">
        <v>211392613</v>
      </c>
      <c r="K2807">
        <v>168572374</v>
      </c>
      <c r="L2807">
        <v>112527514</v>
      </c>
      <c r="M2807">
        <v>-130258607</v>
      </c>
      <c r="N2807">
        <v>80877378</v>
      </c>
      <c r="O2807">
        <v>177582150</v>
      </c>
      <c r="P2807">
        <v>364</v>
      </c>
      <c r="Q2807" t="s">
        <v>5951</v>
      </c>
    </row>
    <row r="2808" spans="1:17" x14ac:dyDescent="0.3">
      <c r="A2808" t="s">
        <v>4664</v>
      </c>
      <c r="B2808" t="str">
        <f>"002124"</f>
        <v>002124</v>
      </c>
      <c r="C2808" t="s">
        <v>5952</v>
      </c>
      <c r="D2808" t="s">
        <v>1894</v>
      </c>
      <c r="F2808">
        <v>-2696142851</v>
      </c>
      <c r="G2808">
        <v>2824370402</v>
      </c>
      <c r="H2808">
        <v>11940663</v>
      </c>
      <c r="I2808">
        <v>120842195</v>
      </c>
      <c r="J2808">
        <v>219987344</v>
      </c>
      <c r="K2808">
        <v>341501691</v>
      </c>
      <c r="L2808">
        <v>52256365</v>
      </c>
      <c r="M2808">
        <v>18191549</v>
      </c>
      <c r="N2808">
        <v>40760743</v>
      </c>
      <c r="O2808">
        <v>44166603</v>
      </c>
      <c r="P2808">
        <v>922</v>
      </c>
      <c r="Q2808" t="s">
        <v>5953</v>
      </c>
    </row>
    <row r="2809" spans="1:17" x14ac:dyDescent="0.3">
      <c r="A2809" t="s">
        <v>4664</v>
      </c>
      <c r="B2809" t="str">
        <f>"002125"</f>
        <v>002125</v>
      </c>
      <c r="C2809" t="s">
        <v>5954</v>
      </c>
      <c r="D2809" t="s">
        <v>736</v>
      </c>
      <c r="F2809">
        <v>105724925</v>
      </c>
      <c r="G2809">
        <v>18608620</v>
      </c>
      <c r="H2809">
        <v>74849428</v>
      </c>
      <c r="I2809">
        <v>62169121</v>
      </c>
      <c r="J2809">
        <v>40237432</v>
      </c>
      <c r="K2809">
        <v>13651726</v>
      </c>
      <c r="L2809">
        <v>7374916</v>
      </c>
      <c r="M2809">
        <v>-39801456</v>
      </c>
      <c r="N2809">
        <v>-37768520</v>
      </c>
      <c r="O2809">
        <v>-25265325</v>
      </c>
      <c r="P2809">
        <v>157</v>
      </c>
      <c r="Q2809" t="s">
        <v>5955</v>
      </c>
    </row>
    <row r="2810" spans="1:17" x14ac:dyDescent="0.3">
      <c r="A2810" t="s">
        <v>4664</v>
      </c>
      <c r="B2810" t="str">
        <f>"002126"</f>
        <v>002126</v>
      </c>
      <c r="C2810" t="s">
        <v>5956</v>
      </c>
      <c r="D2810" t="s">
        <v>348</v>
      </c>
      <c r="F2810">
        <v>215719975</v>
      </c>
      <c r="G2810">
        <v>278983784</v>
      </c>
      <c r="H2810">
        <v>255804382</v>
      </c>
      <c r="I2810">
        <v>283718721</v>
      </c>
      <c r="J2810">
        <v>240235616</v>
      </c>
      <c r="K2810">
        <v>178385750</v>
      </c>
      <c r="L2810">
        <v>141493797</v>
      </c>
      <c r="M2810">
        <v>110364433</v>
      </c>
      <c r="N2810">
        <v>65543069</v>
      </c>
      <c r="O2810">
        <v>36798712</v>
      </c>
      <c r="P2810">
        <v>450</v>
      </c>
      <c r="Q2810" t="s">
        <v>5957</v>
      </c>
    </row>
    <row r="2811" spans="1:17" x14ac:dyDescent="0.3">
      <c r="A2811" t="s">
        <v>4664</v>
      </c>
      <c r="B2811" t="str">
        <f>"002127"</f>
        <v>002127</v>
      </c>
      <c r="C2811" t="s">
        <v>5958</v>
      </c>
      <c r="D2811" t="s">
        <v>3590</v>
      </c>
      <c r="F2811">
        <v>403158947</v>
      </c>
      <c r="G2811">
        <v>721895573</v>
      </c>
      <c r="H2811">
        <v>602097841</v>
      </c>
      <c r="I2811">
        <v>449474489</v>
      </c>
      <c r="J2811">
        <v>242949298</v>
      </c>
      <c r="K2811">
        <v>144281828</v>
      </c>
      <c r="L2811">
        <v>5773037</v>
      </c>
      <c r="M2811">
        <v>18999465</v>
      </c>
      <c r="N2811">
        <v>-198278597</v>
      </c>
      <c r="O2811">
        <v>-116475164</v>
      </c>
      <c r="P2811">
        <v>1745</v>
      </c>
      <c r="Q2811" t="s">
        <v>5959</v>
      </c>
    </row>
    <row r="2812" spans="1:17" x14ac:dyDescent="0.3">
      <c r="A2812" t="s">
        <v>4664</v>
      </c>
      <c r="B2812" t="str">
        <f>"002128"</f>
        <v>002128</v>
      </c>
      <c r="C2812" t="s">
        <v>5960</v>
      </c>
      <c r="D2812" t="s">
        <v>292</v>
      </c>
      <c r="F2812">
        <v>2874293222</v>
      </c>
      <c r="G2812">
        <v>2059131653</v>
      </c>
      <c r="H2812">
        <v>1960224651</v>
      </c>
      <c r="I2812">
        <v>1508550992</v>
      </c>
      <c r="J2812">
        <v>1200113736</v>
      </c>
      <c r="K2812">
        <v>497642098</v>
      </c>
      <c r="L2812">
        <v>315092285</v>
      </c>
      <c r="M2812">
        <v>229837712</v>
      </c>
      <c r="N2812">
        <v>590321982</v>
      </c>
      <c r="O2812">
        <v>838712737</v>
      </c>
      <c r="P2812">
        <v>1050</v>
      </c>
      <c r="Q2812" t="s">
        <v>5961</v>
      </c>
    </row>
    <row r="2813" spans="1:17" x14ac:dyDescent="0.3">
      <c r="A2813" t="s">
        <v>4664</v>
      </c>
      <c r="B2813" t="str">
        <f>"002129"</f>
        <v>002129</v>
      </c>
      <c r="C2813" t="s">
        <v>5962</v>
      </c>
      <c r="D2813" t="s">
        <v>929</v>
      </c>
      <c r="F2813">
        <v>2761497299</v>
      </c>
      <c r="G2813">
        <v>846324109</v>
      </c>
      <c r="H2813">
        <v>701910919</v>
      </c>
      <c r="I2813">
        <v>425806186</v>
      </c>
      <c r="J2813">
        <v>453090689</v>
      </c>
      <c r="K2813">
        <v>350680798</v>
      </c>
      <c r="L2813">
        <v>150299550</v>
      </c>
      <c r="M2813">
        <v>100525060</v>
      </c>
      <c r="N2813">
        <v>45579900</v>
      </c>
      <c r="O2813">
        <v>2232280</v>
      </c>
      <c r="P2813">
        <v>1522</v>
      </c>
      <c r="Q2813" t="s">
        <v>5963</v>
      </c>
    </row>
    <row r="2814" spans="1:17" x14ac:dyDescent="0.3">
      <c r="A2814" t="s">
        <v>4664</v>
      </c>
      <c r="B2814" t="str">
        <f>"002130"</f>
        <v>002130</v>
      </c>
      <c r="C2814" t="s">
        <v>5964</v>
      </c>
      <c r="D2814" t="s">
        <v>651</v>
      </c>
      <c r="F2814">
        <v>444241802</v>
      </c>
      <c r="G2814">
        <v>296873331</v>
      </c>
      <c r="H2814">
        <v>196667441</v>
      </c>
      <c r="I2814">
        <v>143149275</v>
      </c>
      <c r="J2814">
        <v>108787767</v>
      </c>
      <c r="K2814">
        <v>91257809</v>
      </c>
      <c r="L2814">
        <v>385060868</v>
      </c>
      <c r="M2814">
        <v>68825696</v>
      </c>
      <c r="N2814">
        <v>47652445</v>
      </c>
      <c r="O2814">
        <v>39708362</v>
      </c>
      <c r="P2814">
        <v>266</v>
      </c>
      <c r="Q2814" t="s">
        <v>5965</v>
      </c>
    </row>
    <row r="2815" spans="1:17" x14ac:dyDescent="0.3">
      <c r="A2815" t="s">
        <v>4664</v>
      </c>
      <c r="B2815" t="str">
        <f>"002131"</f>
        <v>002131</v>
      </c>
      <c r="C2815" t="s">
        <v>5966</v>
      </c>
      <c r="D2815" t="s">
        <v>207</v>
      </c>
      <c r="F2815">
        <v>-88570621</v>
      </c>
      <c r="G2815">
        <v>3086781880</v>
      </c>
      <c r="H2815">
        <v>308693841</v>
      </c>
      <c r="I2815">
        <v>250872728</v>
      </c>
      <c r="J2815">
        <v>445357300</v>
      </c>
      <c r="K2815">
        <v>435642755</v>
      </c>
      <c r="L2815">
        <v>171724173</v>
      </c>
      <c r="M2815">
        <v>142359432</v>
      </c>
      <c r="N2815">
        <v>45094186</v>
      </c>
      <c r="O2815">
        <v>38631656</v>
      </c>
      <c r="P2815">
        <v>417</v>
      </c>
      <c r="Q2815" t="s">
        <v>5967</v>
      </c>
    </row>
    <row r="2816" spans="1:17" x14ac:dyDescent="0.3">
      <c r="A2816" t="s">
        <v>4664</v>
      </c>
      <c r="B2816" t="str">
        <f>"002132"</f>
        <v>002132</v>
      </c>
      <c r="C2816" t="s">
        <v>5968</v>
      </c>
      <c r="D2816" t="s">
        <v>274</v>
      </c>
      <c r="F2816">
        <v>90939910</v>
      </c>
      <c r="G2816">
        <v>84893744</v>
      </c>
      <c r="H2816">
        <v>110547183</v>
      </c>
      <c r="I2816">
        <v>-17593791</v>
      </c>
      <c r="J2816">
        <v>100096970</v>
      </c>
      <c r="K2816">
        <v>82127754</v>
      </c>
      <c r="L2816">
        <v>50259353</v>
      </c>
      <c r="M2816">
        <v>36451127</v>
      </c>
      <c r="N2816">
        <v>11051853</v>
      </c>
      <c r="O2816">
        <v>8179385</v>
      </c>
      <c r="P2816">
        <v>127</v>
      </c>
      <c r="Q2816" t="s">
        <v>5969</v>
      </c>
    </row>
    <row r="2817" spans="1:17" x14ac:dyDescent="0.3">
      <c r="A2817" t="s">
        <v>4664</v>
      </c>
      <c r="B2817" t="str">
        <f>"002133"</f>
        <v>002133</v>
      </c>
      <c r="C2817" t="s">
        <v>5970</v>
      </c>
      <c r="D2817" t="s">
        <v>104</v>
      </c>
      <c r="F2817">
        <v>182025193</v>
      </c>
      <c r="G2817">
        <v>143022995</v>
      </c>
      <c r="H2817">
        <v>211144373</v>
      </c>
      <c r="I2817">
        <v>323285253</v>
      </c>
      <c r="J2817">
        <v>128930658</v>
      </c>
      <c r="K2817">
        <v>160223332</v>
      </c>
      <c r="L2817">
        <v>-35371616</v>
      </c>
      <c r="M2817">
        <v>47811543</v>
      </c>
      <c r="N2817">
        <v>149654328</v>
      </c>
      <c r="O2817">
        <v>113006218</v>
      </c>
      <c r="P2817">
        <v>132</v>
      </c>
      <c r="Q2817" t="s">
        <v>5971</v>
      </c>
    </row>
    <row r="2818" spans="1:17" x14ac:dyDescent="0.3">
      <c r="A2818" t="s">
        <v>4664</v>
      </c>
      <c r="B2818" t="str">
        <f>"002134"</f>
        <v>002134</v>
      </c>
      <c r="C2818" t="s">
        <v>5972</v>
      </c>
      <c r="D2818" t="s">
        <v>425</v>
      </c>
      <c r="F2818">
        <v>17986047</v>
      </c>
      <c r="G2818">
        <v>18375290</v>
      </c>
      <c r="H2818">
        <v>6358449</v>
      </c>
      <c r="I2818">
        <v>-13113980</v>
      </c>
      <c r="J2818">
        <v>-2047732</v>
      </c>
      <c r="K2818">
        <v>-43878357</v>
      </c>
      <c r="L2818">
        <v>-27626787</v>
      </c>
      <c r="M2818">
        <v>12224903</v>
      </c>
      <c r="N2818">
        <v>-35481935</v>
      </c>
      <c r="O2818">
        <v>-38818982</v>
      </c>
      <c r="P2818">
        <v>119</v>
      </c>
      <c r="Q2818" t="s">
        <v>5973</v>
      </c>
    </row>
    <row r="2819" spans="1:17" x14ac:dyDescent="0.3">
      <c r="A2819" t="s">
        <v>4664</v>
      </c>
      <c r="B2819" t="str">
        <f>"002135"</f>
        <v>002135</v>
      </c>
      <c r="C2819" t="s">
        <v>5974</v>
      </c>
      <c r="D2819" t="s">
        <v>978</v>
      </c>
      <c r="F2819">
        <v>523753791</v>
      </c>
      <c r="G2819">
        <v>306948766</v>
      </c>
      <c r="H2819">
        <v>234821983</v>
      </c>
      <c r="I2819">
        <v>149712978</v>
      </c>
      <c r="J2819">
        <v>85375673</v>
      </c>
      <c r="K2819">
        <v>41079103</v>
      </c>
      <c r="L2819">
        <v>45126203</v>
      </c>
      <c r="M2819">
        <v>59640585</v>
      </c>
      <c r="N2819">
        <v>70917259</v>
      </c>
      <c r="O2819">
        <v>76150147</v>
      </c>
      <c r="P2819">
        <v>163</v>
      </c>
      <c r="Q2819" t="s">
        <v>5975</v>
      </c>
    </row>
    <row r="2820" spans="1:17" x14ac:dyDescent="0.3">
      <c r="A2820" t="s">
        <v>4664</v>
      </c>
      <c r="B2820" t="str">
        <f>"002136"</f>
        <v>002136</v>
      </c>
      <c r="C2820" t="s">
        <v>5976</v>
      </c>
      <c r="D2820" t="s">
        <v>1474</v>
      </c>
      <c r="F2820">
        <v>128915933</v>
      </c>
      <c r="G2820">
        <v>51045889</v>
      </c>
      <c r="H2820">
        <v>39465064</v>
      </c>
      <c r="I2820">
        <v>66746181</v>
      </c>
      <c r="J2820">
        <v>124700706</v>
      </c>
      <c r="K2820">
        <v>19048547</v>
      </c>
      <c r="L2820">
        <v>-62288586</v>
      </c>
      <c r="M2820">
        <v>-8503945</v>
      </c>
      <c r="N2820">
        <v>-30073936</v>
      </c>
      <c r="O2820">
        <v>24542283</v>
      </c>
      <c r="P2820">
        <v>131</v>
      </c>
      <c r="Q2820" t="s">
        <v>5977</v>
      </c>
    </row>
    <row r="2821" spans="1:17" x14ac:dyDescent="0.3">
      <c r="A2821" t="s">
        <v>4664</v>
      </c>
      <c r="B2821" t="str">
        <f>"002137"</f>
        <v>002137</v>
      </c>
      <c r="C2821" t="s">
        <v>5978</v>
      </c>
      <c r="D2821" t="s">
        <v>207</v>
      </c>
      <c r="F2821">
        <v>45844735</v>
      </c>
      <c r="G2821">
        <v>49500828</v>
      </c>
      <c r="H2821">
        <v>136054836</v>
      </c>
      <c r="I2821">
        <v>77284228</v>
      </c>
      <c r="J2821">
        <v>61091471</v>
      </c>
      <c r="K2821">
        <v>140440575</v>
      </c>
      <c r="L2821">
        <v>2788386</v>
      </c>
      <c r="M2821">
        <v>8209842</v>
      </c>
      <c r="N2821">
        <v>-71716593</v>
      </c>
      <c r="O2821">
        <v>23702008</v>
      </c>
      <c r="P2821">
        <v>148</v>
      </c>
      <c r="Q2821" t="s">
        <v>5979</v>
      </c>
    </row>
    <row r="2822" spans="1:17" x14ac:dyDescent="0.3">
      <c r="A2822" t="s">
        <v>4664</v>
      </c>
      <c r="B2822" t="str">
        <f>"002138"</f>
        <v>002138</v>
      </c>
      <c r="C2822" t="s">
        <v>5980</v>
      </c>
      <c r="D2822" t="s">
        <v>546</v>
      </c>
      <c r="F2822">
        <v>602553062</v>
      </c>
      <c r="G2822">
        <v>406666361</v>
      </c>
      <c r="H2822">
        <v>296778726</v>
      </c>
      <c r="I2822">
        <v>361359242</v>
      </c>
      <c r="J2822">
        <v>256624656</v>
      </c>
      <c r="K2822">
        <v>270034447</v>
      </c>
      <c r="L2822">
        <v>192278113</v>
      </c>
      <c r="M2822">
        <v>165809276</v>
      </c>
      <c r="N2822">
        <v>116299776</v>
      </c>
      <c r="O2822">
        <v>88528469</v>
      </c>
      <c r="P2822">
        <v>1065</v>
      </c>
      <c r="Q2822" t="s">
        <v>5981</v>
      </c>
    </row>
    <row r="2823" spans="1:17" x14ac:dyDescent="0.3">
      <c r="A2823" t="s">
        <v>4664</v>
      </c>
      <c r="B2823" t="str">
        <f>"002139"</f>
        <v>002139</v>
      </c>
      <c r="C2823" t="s">
        <v>5982</v>
      </c>
      <c r="D2823" t="s">
        <v>313</v>
      </c>
      <c r="F2823">
        <v>565473822</v>
      </c>
      <c r="G2823">
        <v>362811765</v>
      </c>
      <c r="H2823">
        <v>274045100</v>
      </c>
      <c r="I2823">
        <v>194417123</v>
      </c>
      <c r="J2823">
        <v>172502727</v>
      </c>
      <c r="K2823">
        <v>105208536</v>
      </c>
      <c r="L2823">
        <v>66434194</v>
      </c>
      <c r="M2823">
        <v>48253290</v>
      </c>
      <c r="N2823">
        <v>34030415</v>
      </c>
      <c r="O2823">
        <v>28461491</v>
      </c>
      <c r="P2823">
        <v>919</v>
      </c>
      <c r="Q2823" t="s">
        <v>5983</v>
      </c>
    </row>
    <row r="2824" spans="1:17" x14ac:dyDescent="0.3">
      <c r="A2824" t="s">
        <v>4664</v>
      </c>
      <c r="B2824" t="str">
        <f>"002140"</f>
        <v>002140</v>
      </c>
      <c r="C2824" t="s">
        <v>5984</v>
      </c>
      <c r="D2824" t="s">
        <v>2019</v>
      </c>
      <c r="F2824">
        <v>197574221</v>
      </c>
      <c r="G2824">
        <v>155991920</v>
      </c>
      <c r="H2824">
        <v>127957964</v>
      </c>
      <c r="I2824">
        <v>118982785</v>
      </c>
      <c r="J2824">
        <v>98122319</v>
      </c>
      <c r="K2824">
        <v>82144544</v>
      </c>
      <c r="L2824">
        <v>111259974</v>
      </c>
      <c r="M2824">
        <v>141275014</v>
      </c>
      <c r="N2824">
        <v>131136119</v>
      </c>
      <c r="O2824">
        <v>183848069</v>
      </c>
      <c r="P2824">
        <v>129</v>
      </c>
      <c r="Q2824" t="s">
        <v>5985</v>
      </c>
    </row>
    <row r="2825" spans="1:17" x14ac:dyDescent="0.3">
      <c r="A2825" t="s">
        <v>4664</v>
      </c>
      <c r="B2825" t="str">
        <f>"002141"</f>
        <v>002141</v>
      </c>
      <c r="C2825" t="s">
        <v>5986</v>
      </c>
      <c r="D2825" t="s">
        <v>651</v>
      </c>
      <c r="F2825">
        <v>17990414</v>
      </c>
      <c r="G2825">
        <v>-202619012</v>
      </c>
      <c r="H2825">
        <v>-8802236</v>
      </c>
      <c r="I2825">
        <v>7615792</v>
      </c>
      <c r="J2825">
        <v>5791538</v>
      </c>
      <c r="K2825">
        <v>6862979</v>
      </c>
      <c r="L2825">
        <v>-934229</v>
      </c>
      <c r="M2825">
        <v>3057114</v>
      </c>
      <c r="N2825">
        <v>7150041</v>
      </c>
      <c r="O2825">
        <v>342958</v>
      </c>
      <c r="P2825">
        <v>74</v>
      </c>
      <c r="Q2825" t="s">
        <v>5987</v>
      </c>
    </row>
    <row r="2826" spans="1:17" x14ac:dyDescent="0.3">
      <c r="A2826" t="s">
        <v>4664</v>
      </c>
      <c r="B2826" t="str">
        <f>"002142"</f>
        <v>002142</v>
      </c>
      <c r="C2826" t="s">
        <v>5988</v>
      </c>
      <c r="D2826" t="s">
        <v>1838</v>
      </c>
      <c r="F2826">
        <v>14307000000</v>
      </c>
      <c r="G2826">
        <v>11270811000</v>
      </c>
      <c r="H2826">
        <v>10711918000</v>
      </c>
      <c r="I2826">
        <v>8923839000</v>
      </c>
      <c r="J2826">
        <v>7367864000</v>
      </c>
      <c r="K2826">
        <v>6343378000</v>
      </c>
      <c r="L2826">
        <v>5320519000</v>
      </c>
      <c r="M2826">
        <v>4584419000</v>
      </c>
      <c r="N2826">
        <v>3943830000</v>
      </c>
      <c r="O2826">
        <v>3334617000</v>
      </c>
      <c r="P2826">
        <v>59332</v>
      </c>
      <c r="Q2826" t="s">
        <v>5989</v>
      </c>
    </row>
    <row r="2827" spans="1:17" x14ac:dyDescent="0.3">
      <c r="A2827" t="s">
        <v>4664</v>
      </c>
      <c r="B2827" t="str">
        <f>"002143"</f>
        <v>002143</v>
      </c>
      <c r="C2827" t="s">
        <v>5990</v>
      </c>
      <c r="H2827">
        <v>-102597476</v>
      </c>
      <c r="I2827">
        <v>-643564629</v>
      </c>
      <c r="J2827">
        <v>418671270</v>
      </c>
      <c r="K2827">
        <v>396040886</v>
      </c>
      <c r="L2827">
        <v>326297894</v>
      </c>
      <c r="M2827">
        <v>-17031469</v>
      </c>
      <c r="N2827">
        <v>-40188448</v>
      </c>
      <c r="O2827">
        <v>6333518</v>
      </c>
      <c r="P2827">
        <v>59</v>
      </c>
      <c r="Q2827" t="s">
        <v>5991</v>
      </c>
    </row>
    <row r="2828" spans="1:17" x14ac:dyDescent="0.3">
      <c r="A2828" t="s">
        <v>4664</v>
      </c>
      <c r="B2828" t="str">
        <f>"002144"</f>
        <v>002144</v>
      </c>
      <c r="C2828" t="s">
        <v>5992</v>
      </c>
      <c r="D2828" t="s">
        <v>366</v>
      </c>
      <c r="F2828">
        <v>98098552</v>
      </c>
      <c r="G2828">
        <v>57425318</v>
      </c>
      <c r="H2828">
        <v>73749121</v>
      </c>
      <c r="I2828">
        <v>77309966</v>
      </c>
      <c r="J2828">
        <v>72433838</v>
      </c>
      <c r="K2828">
        <v>77082594</v>
      </c>
      <c r="L2828">
        <v>133137873</v>
      </c>
      <c r="M2828">
        <v>95093564</v>
      </c>
      <c r="N2828">
        <v>65661943</v>
      </c>
      <c r="O2828">
        <v>77393326</v>
      </c>
      <c r="P2828">
        <v>115</v>
      </c>
      <c r="Q2828" t="s">
        <v>5993</v>
      </c>
    </row>
    <row r="2829" spans="1:17" x14ac:dyDescent="0.3">
      <c r="A2829" t="s">
        <v>4664</v>
      </c>
      <c r="B2829" t="str">
        <f>"002145"</f>
        <v>002145</v>
      </c>
      <c r="C2829" t="s">
        <v>5994</v>
      </c>
      <c r="D2829" t="s">
        <v>1474</v>
      </c>
      <c r="F2829">
        <v>1001726135</v>
      </c>
      <c r="G2829">
        <v>356021266</v>
      </c>
      <c r="H2829">
        <v>328756927</v>
      </c>
      <c r="I2829">
        <v>313754703</v>
      </c>
      <c r="J2829">
        <v>305723295</v>
      </c>
      <c r="K2829">
        <v>46431771</v>
      </c>
      <c r="L2829">
        <v>-13754975</v>
      </c>
      <c r="M2829">
        <v>37389125</v>
      </c>
      <c r="N2829">
        <v>17788158</v>
      </c>
      <c r="O2829">
        <v>-53479411</v>
      </c>
      <c r="P2829">
        <v>284</v>
      </c>
      <c r="Q2829" t="s">
        <v>5995</v>
      </c>
    </row>
    <row r="2830" spans="1:17" x14ac:dyDescent="0.3">
      <c r="A2830" t="s">
        <v>4664</v>
      </c>
      <c r="B2830" t="str">
        <f>"002146"</f>
        <v>002146</v>
      </c>
      <c r="C2830" t="s">
        <v>5996</v>
      </c>
      <c r="D2830" t="s">
        <v>104</v>
      </c>
      <c r="F2830">
        <v>3101899503</v>
      </c>
      <c r="G2830">
        <v>4404528893</v>
      </c>
      <c r="H2830">
        <v>4887472080</v>
      </c>
      <c r="I2830">
        <v>3738680488</v>
      </c>
      <c r="J2830">
        <v>2790511857</v>
      </c>
      <c r="K2830">
        <v>2174322918</v>
      </c>
      <c r="L2830">
        <v>1675278276</v>
      </c>
      <c r="M2830">
        <v>2058896282</v>
      </c>
      <c r="N2830">
        <v>1753342985</v>
      </c>
      <c r="O2830">
        <v>1298235308</v>
      </c>
      <c r="P2830">
        <v>12588</v>
      </c>
      <c r="Q2830" t="s">
        <v>5997</v>
      </c>
    </row>
    <row r="2831" spans="1:17" x14ac:dyDescent="0.3">
      <c r="A2831" t="s">
        <v>4664</v>
      </c>
      <c r="B2831" t="str">
        <f>"002147"</f>
        <v>002147</v>
      </c>
      <c r="C2831" t="s">
        <v>5998</v>
      </c>
      <c r="D2831" t="s">
        <v>560</v>
      </c>
      <c r="F2831">
        <v>964931725</v>
      </c>
      <c r="G2831">
        <v>-1011881267</v>
      </c>
      <c r="H2831">
        <v>-266447199</v>
      </c>
      <c r="I2831">
        <v>123933127</v>
      </c>
      <c r="J2831">
        <v>49227161</v>
      </c>
      <c r="K2831">
        <v>476383445</v>
      </c>
      <c r="L2831">
        <v>-29470842</v>
      </c>
      <c r="M2831">
        <v>2109233</v>
      </c>
      <c r="N2831">
        <v>-12568365</v>
      </c>
      <c r="O2831">
        <v>14409320</v>
      </c>
      <c r="P2831">
        <v>94</v>
      </c>
      <c r="Q2831" t="s">
        <v>5999</v>
      </c>
    </row>
    <row r="2832" spans="1:17" x14ac:dyDescent="0.3">
      <c r="A2832" t="s">
        <v>4664</v>
      </c>
      <c r="B2832" t="str">
        <f>"002148"</f>
        <v>002148</v>
      </c>
      <c r="C2832" t="s">
        <v>6000</v>
      </c>
      <c r="D2832" t="s">
        <v>5597</v>
      </c>
      <c r="F2832">
        <v>49453675</v>
      </c>
      <c r="G2832">
        <v>13239565</v>
      </c>
      <c r="H2832">
        <v>8085517</v>
      </c>
      <c r="I2832">
        <v>38631286</v>
      </c>
      <c r="J2832">
        <v>110812350</v>
      </c>
      <c r="K2832">
        <v>46921150</v>
      </c>
      <c r="L2832">
        <v>-1292928</v>
      </c>
      <c r="M2832">
        <v>22548637</v>
      </c>
      <c r="N2832">
        <v>41504599</v>
      </c>
      <c r="O2832">
        <v>29009396</v>
      </c>
      <c r="P2832">
        <v>103</v>
      </c>
      <c r="Q2832" t="s">
        <v>6001</v>
      </c>
    </row>
    <row r="2833" spans="1:17" x14ac:dyDescent="0.3">
      <c r="A2833" t="s">
        <v>4664</v>
      </c>
      <c r="B2833" t="str">
        <f>"002149"</f>
        <v>002149</v>
      </c>
      <c r="C2833" t="s">
        <v>6002</v>
      </c>
      <c r="D2833" t="s">
        <v>636</v>
      </c>
      <c r="F2833">
        <v>103327948</v>
      </c>
      <c r="G2833">
        <v>36425672</v>
      </c>
      <c r="H2833">
        <v>41208300</v>
      </c>
      <c r="I2833">
        <v>37194618</v>
      </c>
      <c r="J2833">
        <v>35700241</v>
      </c>
      <c r="K2833">
        <v>8446030</v>
      </c>
      <c r="L2833">
        <v>-67233163</v>
      </c>
      <c r="M2833">
        <v>128241</v>
      </c>
      <c r="N2833">
        <v>-17462332</v>
      </c>
      <c r="O2833">
        <v>8056638</v>
      </c>
      <c r="P2833">
        <v>259</v>
      </c>
      <c r="Q2833" t="s">
        <v>6003</v>
      </c>
    </row>
    <row r="2834" spans="1:17" x14ac:dyDescent="0.3">
      <c r="A2834" t="s">
        <v>4664</v>
      </c>
      <c r="B2834" t="str">
        <f>"002150"</f>
        <v>002150</v>
      </c>
      <c r="C2834" t="s">
        <v>6004</v>
      </c>
      <c r="D2834" t="s">
        <v>274</v>
      </c>
      <c r="F2834">
        <v>97582038</v>
      </c>
      <c r="G2834">
        <v>106161693</v>
      </c>
      <c r="H2834">
        <v>113763047</v>
      </c>
      <c r="I2834">
        <v>91884153</v>
      </c>
      <c r="J2834">
        <v>64166059</v>
      </c>
      <c r="K2834">
        <v>65077486</v>
      </c>
      <c r="L2834">
        <v>51370559</v>
      </c>
      <c r="M2834">
        <v>44425000</v>
      </c>
      <c r="N2834">
        <v>35570801</v>
      </c>
      <c r="O2834">
        <v>34989168</v>
      </c>
      <c r="P2834">
        <v>103</v>
      </c>
      <c r="Q2834" t="s">
        <v>6005</v>
      </c>
    </row>
    <row r="2835" spans="1:17" x14ac:dyDescent="0.3">
      <c r="A2835" t="s">
        <v>4664</v>
      </c>
      <c r="B2835" t="str">
        <f>"002151"</f>
        <v>002151</v>
      </c>
      <c r="C2835" t="s">
        <v>6006</v>
      </c>
      <c r="D2835" t="s">
        <v>1136</v>
      </c>
      <c r="F2835">
        <v>155891616</v>
      </c>
      <c r="G2835">
        <v>106081098</v>
      </c>
      <c r="H2835">
        <v>2854528</v>
      </c>
      <c r="I2835">
        <v>53613869</v>
      </c>
      <c r="J2835">
        <v>75801704</v>
      </c>
      <c r="K2835">
        <v>52069859</v>
      </c>
      <c r="L2835">
        <v>-22372285</v>
      </c>
      <c r="M2835">
        <v>7960892</v>
      </c>
      <c r="N2835">
        <v>18928172</v>
      </c>
      <c r="O2835">
        <v>28926535</v>
      </c>
      <c r="P2835">
        <v>3423</v>
      </c>
      <c r="Q2835" t="s">
        <v>6007</v>
      </c>
    </row>
    <row r="2836" spans="1:17" x14ac:dyDescent="0.3">
      <c r="A2836" t="s">
        <v>4664</v>
      </c>
      <c r="B2836" t="str">
        <f>"002152"</f>
        <v>002152</v>
      </c>
      <c r="C2836" t="s">
        <v>6008</v>
      </c>
      <c r="D2836" t="s">
        <v>236</v>
      </c>
      <c r="F2836">
        <v>605427171</v>
      </c>
      <c r="G2836">
        <v>466406022</v>
      </c>
      <c r="H2836">
        <v>503844444</v>
      </c>
      <c r="I2836">
        <v>447175597</v>
      </c>
      <c r="J2836">
        <v>658089641</v>
      </c>
      <c r="K2836">
        <v>507025973</v>
      </c>
      <c r="L2836">
        <v>478633423</v>
      </c>
      <c r="M2836">
        <v>441297220</v>
      </c>
      <c r="N2836">
        <v>381802529</v>
      </c>
      <c r="O2836">
        <v>336353356</v>
      </c>
      <c r="P2836">
        <v>16880</v>
      </c>
      <c r="Q2836" t="s">
        <v>6009</v>
      </c>
    </row>
    <row r="2837" spans="1:17" x14ac:dyDescent="0.3">
      <c r="A2837" t="s">
        <v>4664</v>
      </c>
      <c r="B2837" t="str">
        <f>"002153"</f>
        <v>002153</v>
      </c>
      <c r="C2837" t="s">
        <v>6010</v>
      </c>
      <c r="D2837" t="s">
        <v>945</v>
      </c>
      <c r="F2837">
        <v>79410711</v>
      </c>
      <c r="G2837">
        <v>88044244</v>
      </c>
      <c r="H2837">
        <v>321744346</v>
      </c>
      <c r="I2837">
        <v>315969916</v>
      </c>
      <c r="J2837">
        <v>278461780</v>
      </c>
      <c r="K2837">
        <v>264610783</v>
      </c>
      <c r="L2837">
        <v>235489514</v>
      </c>
      <c r="M2837">
        <v>229782006</v>
      </c>
      <c r="N2837">
        <v>187980446</v>
      </c>
      <c r="O2837">
        <v>167598401</v>
      </c>
      <c r="P2837">
        <v>679</v>
      </c>
      <c r="Q2837" t="s">
        <v>6011</v>
      </c>
    </row>
    <row r="2838" spans="1:17" x14ac:dyDescent="0.3">
      <c r="A2838" t="s">
        <v>4664</v>
      </c>
      <c r="B2838" t="str">
        <f>"002154"</f>
        <v>002154</v>
      </c>
      <c r="C2838" t="s">
        <v>6012</v>
      </c>
      <c r="D2838" t="s">
        <v>255</v>
      </c>
      <c r="F2838">
        <v>367099295</v>
      </c>
      <c r="G2838">
        <v>240708666</v>
      </c>
      <c r="H2838">
        <v>163323787</v>
      </c>
      <c r="I2838">
        <v>70618369</v>
      </c>
      <c r="J2838">
        <v>-32149292</v>
      </c>
      <c r="K2838">
        <v>-100791655</v>
      </c>
      <c r="L2838">
        <v>165461427</v>
      </c>
      <c r="M2838">
        <v>126948003</v>
      </c>
      <c r="N2838">
        <v>156505374</v>
      </c>
      <c r="O2838">
        <v>341067052</v>
      </c>
      <c r="P2838">
        <v>204</v>
      </c>
      <c r="Q2838" t="s">
        <v>6013</v>
      </c>
    </row>
    <row r="2839" spans="1:17" x14ac:dyDescent="0.3">
      <c r="A2839" t="s">
        <v>4664</v>
      </c>
      <c r="B2839" t="str">
        <f>"002155"</f>
        <v>002155</v>
      </c>
      <c r="C2839" t="s">
        <v>6014</v>
      </c>
      <c r="D2839" t="s">
        <v>701</v>
      </c>
      <c r="F2839">
        <v>276599297</v>
      </c>
      <c r="G2839">
        <v>204115572</v>
      </c>
      <c r="H2839">
        <v>101443670</v>
      </c>
      <c r="I2839">
        <v>179218533</v>
      </c>
      <c r="J2839">
        <v>250367067</v>
      </c>
      <c r="K2839">
        <v>106535249</v>
      </c>
      <c r="L2839">
        <v>21884051</v>
      </c>
      <c r="M2839">
        <v>103031458</v>
      </c>
      <c r="N2839">
        <v>131681013</v>
      </c>
      <c r="O2839">
        <v>473883905</v>
      </c>
      <c r="P2839">
        <v>219</v>
      </c>
      <c r="Q2839" t="s">
        <v>6015</v>
      </c>
    </row>
    <row r="2840" spans="1:17" x14ac:dyDescent="0.3">
      <c r="A2840" t="s">
        <v>4664</v>
      </c>
      <c r="B2840" t="str">
        <f>"002156"</f>
        <v>002156</v>
      </c>
      <c r="C2840" t="s">
        <v>6016</v>
      </c>
      <c r="D2840" t="s">
        <v>1180</v>
      </c>
      <c r="F2840">
        <v>703107658</v>
      </c>
      <c r="G2840">
        <v>261810369</v>
      </c>
      <c r="H2840">
        <v>-27330371</v>
      </c>
      <c r="I2840">
        <v>160962399</v>
      </c>
      <c r="J2840">
        <v>124700535</v>
      </c>
      <c r="K2840">
        <v>124153181</v>
      </c>
      <c r="L2840">
        <v>121794443</v>
      </c>
      <c r="M2840">
        <v>86079939</v>
      </c>
      <c r="N2840">
        <v>44177295</v>
      </c>
      <c r="O2840">
        <v>25997031</v>
      </c>
      <c r="P2840">
        <v>770</v>
      </c>
      <c r="Q2840" t="s">
        <v>6017</v>
      </c>
    </row>
    <row r="2841" spans="1:17" x14ac:dyDescent="0.3">
      <c r="A2841" t="s">
        <v>4664</v>
      </c>
      <c r="B2841" t="str">
        <f>"002157"</f>
        <v>002157</v>
      </c>
      <c r="C2841" t="s">
        <v>6018</v>
      </c>
      <c r="D2841" t="s">
        <v>1894</v>
      </c>
      <c r="F2841">
        <v>-7627138680</v>
      </c>
      <c r="G2841">
        <v>5433011803</v>
      </c>
      <c r="H2841">
        <v>50253149</v>
      </c>
      <c r="I2841">
        <v>35165827</v>
      </c>
      <c r="J2841">
        <v>408167465</v>
      </c>
      <c r="K2841">
        <v>906118395</v>
      </c>
      <c r="L2841">
        <v>183515118</v>
      </c>
      <c r="M2841">
        <v>-115500021</v>
      </c>
      <c r="N2841">
        <v>15906677</v>
      </c>
      <c r="O2841">
        <v>112419895</v>
      </c>
      <c r="P2841">
        <v>1128</v>
      </c>
      <c r="Q2841" t="s">
        <v>6019</v>
      </c>
    </row>
    <row r="2842" spans="1:17" x14ac:dyDescent="0.3">
      <c r="A2842" t="s">
        <v>4664</v>
      </c>
      <c r="B2842" t="str">
        <f>"002158"</f>
        <v>002158</v>
      </c>
      <c r="C2842" t="s">
        <v>6020</v>
      </c>
      <c r="D2842" t="s">
        <v>988</v>
      </c>
      <c r="F2842">
        <v>363568868</v>
      </c>
      <c r="G2842">
        <v>240786979</v>
      </c>
      <c r="H2842">
        <v>170426432</v>
      </c>
      <c r="I2842">
        <v>159471644</v>
      </c>
      <c r="J2842">
        <v>133829277</v>
      </c>
      <c r="K2842">
        <v>128885031</v>
      </c>
      <c r="L2842">
        <v>126898549</v>
      </c>
      <c r="M2842">
        <v>148685243</v>
      </c>
      <c r="N2842">
        <v>112396759</v>
      </c>
      <c r="O2842">
        <v>84455975</v>
      </c>
      <c r="P2842">
        <v>478</v>
      </c>
      <c r="Q2842" t="s">
        <v>6021</v>
      </c>
    </row>
    <row r="2843" spans="1:17" x14ac:dyDescent="0.3">
      <c r="A2843" t="s">
        <v>4664</v>
      </c>
      <c r="B2843" t="str">
        <f>"002159"</f>
        <v>002159</v>
      </c>
      <c r="C2843" t="s">
        <v>6022</v>
      </c>
      <c r="D2843" t="s">
        <v>119</v>
      </c>
      <c r="F2843">
        <v>-7047196</v>
      </c>
      <c r="G2843">
        <v>-10630753</v>
      </c>
      <c r="H2843">
        <v>18010300</v>
      </c>
      <c r="I2843">
        <v>158844178</v>
      </c>
      <c r="J2843">
        <v>14026880</v>
      </c>
      <c r="K2843">
        <v>-7753761</v>
      </c>
      <c r="L2843">
        <v>-10886359</v>
      </c>
      <c r="M2843">
        <v>-23157390</v>
      </c>
      <c r="N2843">
        <v>-21140220</v>
      </c>
      <c r="O2843">
        <v>64751846</v>
      </c>
      <c r="P2843">
        <v>119</v>
      </c>
      <c r="Q2843" t="s">
        <v>6023</v>
      </c>
    </row>
    <row r="2844" spans="1:17" x14ac:dyDescent="0.3">
      <c r="A2844" t="s">
        <v>4664</v>
      </c>
      <c r="B2844" t="str">
        <f>"002160"</f>
        <v>002160</v>
      </c>
      <c r="C2844" t="s">
        <v>6024</v>
      </c>
      <c r="D2844" t="s">
        <v>504</v>
      </c>
      <c r="F2844">
        <v>87879323</v>
      </c>
      <c r="G2844">
        <v>-62445479</v>
      </c>
      <c r="H2844">
        <v>11730608</v>
      </c>
      <c r="I2844">
        <v>27144798</v>
      </c>
      <c r="J2844">
        <v>110465482</v>
      </c>
      <c r="K2844">
        <v>70779530</v>
      </c>
      <c r="L2844">
        <v>76131736</v>
      </c>
      <c r="M2844">
        <v>17379922</v>
      </c>
      <c r="N2844">
        <v>-52713455</v>
      </c>
      <c r="O2844">
        <v>-49497144</v>
      </c>
      <c r="P2844">
        <v>166</v>
      </c>
      <c r="Q2844" t="s">
        <v>6025</v>
      </c>
    </row>
    <row r="2845" spans="1:17" x14ac:dyDescent="0.3">
      <c r="A2845" t="s">
        <v>4664</v>
      </c>
      <c r="B2845" t="str">
        <f>"002161"</f>
        <v>002161</v>
      </c>
      <c r="C2845" t="s">
        <v>6026</v>
      </c>
      <c r="D2845" t="s">
        <v>651</v>
      </c>
      <c r="F2845">
        <v>-115353943</v>
      </c>
      <c r="G2845">
        <v>-276789341</v>
      </c>
      <c r="H2845">
        <v>645219832</v>
      </c>
      <c r="I2845">
        <v>-79474837</v>
      </c>
      <c r="J2845">
        <v>-26499162</v>
      </c>
      <c r="K2845">
        <v>-16325255</v>
      </c>
      <c r="L2845">
        <v>3471785</v>
      </c>
      <c r="M2845">
        <v>10508166</v>
      </c>
      <c r="N2845">
        <v>67221506</v>
      </c>
      <c r="O2845">
        <v>107312078</v>
      </c>
      <c r="P2845">
        <v>211</v>
      </c>
      <c r="Q2845" t="s">
        <v>6027</v>
      </c>
    </row>
    <row r="2846" spans="1:17" x14ac:dyDescent="0.3">
      <c r="A2846" t="s">
        <v>4664</v>
      </c>
      <c r="B2846" t="str">
        <f>"002162"</f>
        <v>002162</v>
      </c>
      <c r="C2846" t="s">
        <v>6028</v>
      </c>
      <c r="D2846" t="s">
        <v>178</v>
      </c>
      <c r="F2846">
        <v>43451848</v>
      </c>
      <c r="G2846">
        <v>53305549</v>
      </c>
      <c r="H2846">
        <v>34217985</v>
      </c>
      <c r="I2846">
        <v>19772379</v>
      </c>
      <c r="J2846">
        <v>21246867</v>
      </c>
      <c r="K2846">
        <v>2105010</v>
      </c>
      <c r="L2846">
        <v>-9672059</v>
      </c>
      <c r="M2846">
        <v>7601347</v>
      </c>
      <c r="N2846">
        <v>19611076</v>
      </c>
      <c r="O2846">
        <v>-131423967</v>
      </c>
      <c r="P2846">
        <v>137</v>
      </c>
      <c r="Q2846" t="s">
        <v>6029</v>
      </c>
    </row>
    <row r="2847" spans="1:17" x14ac:dyDescent="0.3">
      <c r="A2847" t="s">
        <v>4664</v>
      </c>
      <c r="B2847" t="str">
        <f>"002163"</f>
        <v>002163</v>
      </c>
      <c r="C2847" t="s">
        <v>6030</v>
      </c>
      <c r="D2847" t="s">
        <v>666</v>
      </c>
      <c r="F2847">
        <v>84571864</v>
      </c>
      <c r="G2847">
        <v>48022200</v>
      </c>
      <c r="H2847">
        <v>4109312</v>
      </c>
      <c r="I2847">
        <v>-46120669</v>
      </c>
      <c r="J2847">
        <v>-45331329</v>
      </c>
      <c r="K2847">
        <v>-4271340</v>
      </c>
      <c r="L2847">
        <v>-120994241</v>
      </c>
      <c r="M2847">
        <v>-79127893</v>
      </c>
      <c r="N2847">
        <v>-261109157</v>
      </c>
      <c r="O2847">
        <v>-68642712</v>
      </c>
      <c r="P2847">
        <v>170</v>
      </c>
      <c r="Q2847" t="s">
        <v>6031</v>
      </c>
    </row>
    <row r="2848" spans="1:17" x14ac:dyDescent="0.3">
      <c r="A2848" t="s">
        <v>4664</v>
      </c>
      <c r="B2848" t="str">
        <f>"002164"</f>
        <v>002164</v>
      </c>
      <c r="C2848" t="s">
        <v>6032</v>
      </c>
      <c r="D2848" t="s">
        <v>274</v>
      </c>
      <c r="F2848">
        <v>-145217305</v>
      </c>
      <c r="G2848">
        <v>1423113879</v>
      </c>
      <c r="H2848">
        <v>86463018</v>
      </c>
      <c r="I2848">
        <v>-3192042257</v>
      </c>
      <c r="J2848">
        <v>67960536</v>
      </c>
      <c r="K2848">
        <v>5060477</v>
      </c>
      <c r="L2848">
        <v>-2452986</v>
      </c>
      <c r="M2848">
        <v>-9631790</v>
      </c>
      <c r="N2848">
        <v>1519883</v>
      </c>
      <c r="O2848">
        <v>-16144849</v>
      </c>
      <c r="P2848">
        <v>187</v>
      </c>
      <c r="Q2848" t="s">
        <v>6033</v>
      </c>
    </row>
    <row r="2849" spans="1:17" x14ac:dyDescent="0.3">
      <c r="A2849" t="s">
        <v>4664</v>
      </c>
      <c r="B2849" t="str">
        <f>"002165"</f>
        <v>002165</v>
      </c>
      <c r="C2849" t="s">
        <v>6034</v>
      </c>
      <c r="D2849" t="s">
        <v>528</v>
      </c>
      <c r="F2849">
        <v>42691994</v>
      </c>
      <c r="G2849">
        <v>72817678</v>
      </c>
      <c r="H2849">
        <v>65875665</v>
      </c>
      <c r="I2849">
        <v>24534235</v>
      </c>
      <c r="J2849">
        <v>54707130</v>
      </c>
      <c r="K2849">
        <v>74503534</v>
      </c>
      <c r="L2849">
        <v>82176496</v>
      </c>
      <c r="M2849">
        <v>81138864</v>
      </c>
      <c r="N2849">
        <v>37135996</v>
      </c>
      <c r="O2849">
        <v>69325880</v>
      </c>
      <c r="P2849">
        <v>100</v>
      </c>
      <c r="Q2849" t="s">
        <v>6035</v>
      </c>
    </row>
    <row r="2850" spans="1:17" x14ac:dyDescent="0.3">
      <c r="A2850" t="s">
        <v>4664</v>
      </c>
      <c r="B2850" t="str">
        <f>"002166"</f>
        <v>002166</v>
      </c>
      <c r="C2850" t="s">
        <v>6036</v>
      </c>
      <c r="D2850" t="s">
        <v>188</v>
      </c>
      <c r="F2850">
        <v>87597660</v>
      </c>
      <c r="G2850">
        <v>66056882</v>
      </c>
      <c r="H2850">
        <v>75750044</v>
      </c>
      <c r="I2850">
        <v>77478650</v>
      </c>
      <c r="J2850">
        <v>89999361</v>
      </c>
      <c r="K2850">
        <v>42749502</v>
      </c>
      <c r="L2850">
        <v>56509284</v>
      </c>
      <c r="M2850">
        <v>20263860</v>
      </c>
      <c r="N2850">
        <v>18462617</v>
      </c>
      <c r="O2850">
        <v>-34792447</v>
      </c>
      <c r="P2850">
        <v>200</v>
      </c>
      <c r="Q2850" t="s">
        <v>6037</v>
      </c>
    </row>
    <row r="2851" spans="1:17" x14ac:dyDescent="0.3">
      <c r="A2851" t="s">
        <v>4664</v>
      </c>
      <c r="B2851" t="str">
        <f>"002167"</f>
        <v>002167</v>
      </c>
      <c r="C2851" t="s">
        <v>6038</v>
      </c>
      <c r="D2851" t="s">
        <v>636</v>
      </c>
      <c r="F2851">
        <v>123019760</v>
      </c>
      <c r="G2851">
        <v>-45610237</v>
      </c>
      <c r="H2851">
        <v>7920959</v>
      </c>
      <c r="I2851">
        <v>15087856</v>
      </c>
      <c r="J2851">
        <v>21074744</v>
      </c>
      <c r="K2851">
        <v>3019207</v>
      </c>
      <c r="L2851">
        <v>-62353564</v>
      </c>
      <c r="M2851">
        <v>915324</v>
      </c>
      <c r="N2851">
        <v>24272278</v>
      </c>
      <c r="O2851">
        <v>56719406</v>
      </c>
      <c r="P2851">
        <v>111</v>
      </c>
      <c r="Q2851" t="s">
        <v>6039</v>
      </c>
    </row>
    <row r="2852" spans="1:17" x14ac:dyDescent="0.3">
      <c r="A2852" t="s">
        <v>4664</v>
      </c>
      <c r="B2852" t="str">
        <f>"002168"</f>
        <v>002168</v>
      </c>
      <c r="C2852" t="s">
        <v>6040</v>
      </c>
      <c r="D2852" t="s">
        <v>517</v>
      </c>
      <c r="F2852">
        <v>-137126624</v>
      </c>
      <c r="G2852">
        <v>25706644</v>
      </c>
      <c r="H2852">
        <v>97585434</v>
      </c>
      <c r="I2852">
        <v>325763763</v>
      </c>
      <c r="J2852">
        <v>-92245965</v>
      </c>
      <c r="K2852">
        <v>5015360</v>
      </c>
      <c r="L2852">
        <v>111803432</v>
      </c>
      <c r="M2852">
        <v>-18895950</v>
      </c>
      <c r="N2852">
        <v>35529084</v>
      </c>
      <c r="O2852">
        <v>47461212</v>
      </c>
      <c r="P2852">
        <v>158</v>
      </c>
      <c r="Q2852" t="s">
        <v>6041</v>
      </c>
    </row>
    <row r="2853" spans="1:17" x14ac:dyDescent="0.3">
      <c r="A2853" t="s">
        <v>4664</v>
      </c>
      <c r="B2853" t="str">
        <f>"002169"</f>
        <v>002169</v>
      </c>
      <c r="C2853" t="s">
        <v>6042</v>
      </c>
      <c r="D2853" t="s">
        <v>610</v>
      </c>
      <c r="F2853">
        <v>647925231</v>
      </c>
      <c r="G2853">
        <v>30065845</v>
      </c>
      <c r="H2853">
        <v>43683609</v>
      </c>
      <c r="I2853">
        <v>83623209</v>
      </c>
      <c r="J2853">
        <v>82920999</v>
      </c>
      <c r="K2853">
        <v>90551852</v>
      </c>
      <c r="L2853">
        <v>35703220</v>
      </c>
      <c r="M2853">
        <v>22180454</v>
      </c>
      <c r="N2853">
        <v>12578994</v>
      </c>
      <c r="O2853">
        <v>5392822</v>
      </c>
      <c r="P2853">
        <v>219</v>
      </c>
      <c r="Q2853" t="s">
        <v>6043</v>
      </c>
    </row>
    <row r="2854" spans="1:17" x14ac:dyDescent="0.3">
      <c r="A2854" t="s">
        <v>4664</v>
      </c>
      <c r="B2854" t="str">
        <f>"002170"</f>
        <v>002170</v>
      </c>
      <c r="C2854" t="s">
        <v>6044</v>
      </c>
      <c r="D2854" t="s">
        <v>5489</v>
      </c>
      <c r="F2854">
        <v>58449113</v>
      </c>
      <c r="G2854">
        <v>44892430</v>
      </c>
      <c r="H2854">
        <v>19118393</v>
      </c>
      <c r="I2854">
        <v>14352362</v>
      </c>
      <c r="J2854">
        <v>18442957</v>
      </c>
      <c r="K2854">
        <v>131925967</v>
      </c>
      <c r="L2854">
        <v>131796364</v>
      </c>
      <c r="M2854">
        <v>148284350</v>
      </c>
      <c r="N2854">
        <v>96719193</v>
      </c>
      <c r="O2854">
        <v>73932313</v>
      </c>
      <c r="P2854">
        <v>103</v>
      </c>
      <c r="Q2854" t="s">
        <v>6045</v>
      </c>
    </row>
    <row r="2855" spans="1:17" x14ac:dyDescent="0.3">
      <c r="A2855" t="s">
        <v>4664</v>
      </c>
      <c r="B2855" t="str">
        <f>"002171"</f>
        <v>002171</v>
      </c>
      <c r="C2855" t="s">
        <v>6046</v>
      </c>
      <c r="D2855" t="s">
        <v>263</v>
      </c>
      <c r="F2855">
        <v>407510766</v>
      </c>
      <c r="G2855">
        <v>198207494</v>
      </c>
      <c r="H2855">
        <v>356326525</v>
      </c>
      <c r="I2855">
        <v>311244349</v>
      </c>
      <c r="J2855">
        <v>263118416</v>
      </c>
      <c r="K2855">
        <v>145018896</v>
      </c>
      <c r="L2855">
        <v>42346865</v>
      </c>
      <c r="M2855">
        <v>36493553</v>
      </c>
      <c r="N2855">
        <v>400791</v>
      </c>
      <c r="O2855">
        <v>-26237560</v>
      </c>
      <c r="P2855">
        <v>237</v>
      </c>
      <c r="Q2855" t="s">
        <v>6047</v>
      </c>
    </row>
    <row r="2856" spans="1:17" x14ac:dyDescent="0.3">
      <c r="A2856" t="s">
        <v>4664</v>
      </c>
      <c r="B2856" t="str">
        <f>"002172"</f>
        <v>002172</v>
      </c>
      <c r="C2856" t="s">
        <v>6048</v>
      </c>
      <c r="D2856" t="s">
        <v>888</v>
      </c>
      <c r="F2856">
        <v>-911062744</v>
      </c>
      <c r="G2856">
        <v>-204465904</v>
      </c>
      <c r="H2856">
        <v>-292578372</v>
      </c>
      <c r="I2856">
        <v>24946645</v>
      </c>
      <c r="J2856">
        <v>170542141</v>
      </c>
      <c r="K2856">
        <v>200723830</v>
      </c>
      <c r="L2856">
        <v>90949155</v>
      </c>
      <c r="M2856">
        <v>-49858085</v>
      </c>
      <c r="N2856">
        <v>37248538</v>
      </c>
      <c r="O2856">
        <v>-28055707</v>
      </c>
      <c r="P2856">
        <v>141</v>
      </c>
      <c r="Q2856" t="s">
        <v>6049</v>
      </c>
    </row>
    <row r="2857" spans="1:17" x14ac:dyDescent="0.3">
      <c r="A2857" t="s">
        <v>4664</v>
      </c>
      <c r="B2857" t="str">
        <f>"002173"</f>
        <v>002173</v>
      </c>
      <c r="C2857" t="s">
        <v>6050</v>
      </c>
      <c r="D2857" t="s">
        <v>1147</v>
      </c>
      <c r="F2857">
        <v>-36017216</v>
      </c>
      <c r="G2857">
        <v>-49463809</v>
      </c>
      <c r="H2857">
        <v>-60801130</v>
      </c>
      <c r="I2857">
        <v>122654452</v>
      </c>
      <c r="J2857">
        <v>95690248</v>
      </c>
      <c r="K2857">
        <v>67565074</v>
      </c>
      <c r="L2857">
        <v>-16715613</v>
      </c>
      <c r="M2857">
        <v>3464081</v>
      </c>
      <c r="N2857">
        <v>30628682</v>
      </c>
      <c r="O2857">
        <v>29861046</v>
      </c>
      <c r="P2857">
        <v>125</v>
      </c>
      <c r="Q2857" t="s">
        <v>6051</v>
      </c>
    </row>
    <row r="2858" spans="1:17" x14ac:dyDescent="0.3">
      <c r="A2858" t="s">
        <v>4664</v>
      </c>
      <c r="B2858" t="str">
        <f>"002174"</f>
        <v>002174</v>
      </c>
      <c r="C2858" t="s">
        <v>6052</v>
      </c>
      <c r="D2858" t="s">
        <v>517</v>
      </c>
      <c r="F2858">
        <v>354246381</v>
      </c>
      <c r="G2858">
        <v>560263309</v>
      </c>
      <c r="H2858">
        <v>705276066</v>
      </c>
      <c r="I2858">
        <v>682801558</v>
      </c>
      <c r="J2858">
        <v>459343991</v>
      </c>
      <c r="K2858">
        <v>360865381</v>
      </c>
      <c r="L2858">
        <v>340719229</v>
      </c>
      <c r="M2858">
        <v>254511294</v>
      </c>
      <c r="N2858">
        <v>-12470844</v>
      </c>
      <c r="O2858">
        <v>1910006</v>
      </c>
      <c r="P2858">
        <v>736</v>
      </c>
      <c r="Q2858" t="s">
        <v>6053</v>
      </c>
    </row>
    <row r="2859" spans="1:17" x14ac:dyDescent="0.3">
      <c r="A2859" t="s">
        <v>4664</v>
      </c>
      <c r="B2859" t="str">
        <f>"002175"</f>
        <v>002175</v>
      </c>
      <c r="C2859" t="s">
        <v>6054</v>
      </c>
      <c r="D2859" t="s">
        <v>110</v>
      </c>
      <c r="F2859">
        <v>-119696997</v>
      </c>
      <c r="G2859">
        <v>-670979946</v>
      </c>
      <c r="H2859">
        <v>-89066912</v>
      </c>
      <c r="I2859">
        <v>-105851162</v>
      </c>
      <c r="J2859">
        <v>49019616</v>
      </c>
      <c r="K2859">
        <v>24365022</v>
      </c>
      <c r="L2859">
        <v>18983240</v>
      </c>
      <c r="M2859">
        <v>9214510</v>
      </c>
      <c r="N2859">
        <v>6980295</v>
      </c>
      <c r="O2859">
        <v>6146276</v>
      </c>
      <c r="P2859">
        <v>79</v>
      </c>
      <c r="Q2859" t="s">
        <v>6055</v>
      </c>
    </row>
    <row r="2860" spans="1:17" x14ac:dyDescent="0.3">
      <c r="A2860" t="s">
        <v>4664</v>
      </c>
      <c r="B2860" t="str">
        <f>"002176"</f>
        <v>002176</v>
      </c>
      <c r="C2860" t="s">
        <v>6056</v>
      </c>
      <c r="D2860" t="s">
        <v>1171</v>
      </c>
      <c r="F2860">
        <v>249431527</v>
      </c>
      <c r="G2860">
        <v>21385946</v>
      </c>
      <c r="H2860">
        <v>6480824</v>
      </c>
      <c r="I2860">
        <v>297601138</v>
      </c>
      <c r="J2860">
        <v>210655537</v>
      </c>
      <c r="K2860">
        <v>172852214</v>
      </c>
      <c r="L2860">
        <v>45306342</v>
      </c>
      <c r="M2860">
        <v>43676597</v>
      </c>
      <c r="N2860">
        <v>53227782</v>
      </c>
      <c r="O2860">
        <v>45036516</v>
      </c>
      <c r="P2860">
        <v>317</v>
      </c>
      <c r="Q2860" t="s">
        <v>6057</v>
      </c>
    </row>
    <row r="2861" spans="1:17" x14ac:dyDescent="0.3">
      <c r="A2861" t="s">
        <v>4664</v>
      </c>
      <c r="B2861" t="str">
        <f>"002177"</f>
        <v>002177</v>
      </c>
      <c r="C2861" t="s">
        <v>6058</v>
      </c>
      <c r="D2861" t="s">
        <v>236</v>
      </c>
      <c r="F2861">
        <v>-73299775</v>
      </c>
      <c r="G2861">
        <v>67863265</v>
      </c>
      <c r="H2861">
        <v>60491263</v>
      </c>
      <c r="I2861">
        <v>2627881</v>
      </c>
      <c r="J2861">
        <v>12632575</v>
      </c>
      <c r="K2861">
        <v>33536714</v>
      </c>
      <c r="L2861">
        <v>61310357</v>
      </c>
      <c r="M2861">
        <v>119063696</v>
      </c>
      <c r="N2861">
        <v>131818979</v>
      </c>
      <c r="O2861">
        <v>145603966</v>
      </c>
      <c r="P2861">
        <v>3025</v>
      </c>
      <c r="Q2861" t="s">
        <v>6059</v>
      </c>
    </row>
    <row r="2862" spans="1:17" x14ac:dyDescent="0.3">
      <c r="A2862" t="s">
        <v>4664</v>
      </c>
      <c r="B2862" t="str">
        <f>"002178"</f>
        <v>002178</v>
      </c>
      <c r="C2862" t="s">
        <v>6060</v>
      </c>
      <c r="D2862" t="s">
        <v>945</v>
      </c>
      <c r="F2862">
        <v>2736191</v>
      </c>
      <c r="G2862">
        <v>-12340750</v>
      </c>
      <c r="H2862">
        <v>-15512420</v>
      </c>
      <c r="I2862">
        <v>17616748</v>
      </c>
      <c r="J2862">
        <v>-21572516</v>
      </c>
      <c r="K2862">
        <v>39604454</v>
      </c>
      <c r="L2862">
        <v>51879857</v>
      </c>
      <c r="M2862">
        <v>40463813</v>
      </c>
      <c r="N2862">
        <v>28049933</v>
      </c>
      <c r="O2862">
        <v>14695041</v>
      </c>
      <c r="P2862">
        <v>89</v>
      </c>
      <c r="Q2862" t="s">
        <v>6061</v>
      </c>
    </row>
    <row r="2863" spans="1:17" x14ac:dyDescent="0.3">
      <c r="A2863" t="s">
        <v>4664</v>
      </c>
      <c r="B2863" t="str">
        <f>"002179"</f>
        <v>002179</v>
      </c>
      <c r="C2863" t="s">
        <v>6062</v>
      </c>
      <c r="D2863" t="s">
        <v>1136</v>
      </c>
      <c r="F2863">
        <v>1622943311</v>
      </c>
      <c r="G2863">
        <v>1099141060</v>
      </c>
      <c r="H2863">
        <v>831137958</v>
      </c>
      <c r="I2863">
        <v>697122123</v>
      </c>
      <c r="J2863">
        <v>629428014</v>
      </c>
      <c r="K2863">
        <v>562888389</v>
      </c>
      <c r="L2863">
        <v>422760491</v>
      </c>
      <c r="M2863">
        <v>236984906</v>
      </c>
      <c r="N2863">
        <v>172862673</v>
      </c>
      <c r="O2863">
        <v>157591196</v>
      </c>
      <c r="P2863">
        <v>1737</v>
      </c>
      <c r="Q2863" t="s">
        <v>6063</v>
      </c>
    </row>
    <row r="2864" spans="1:17" x14ac:dyDescent="0.3">
      <c r="A2864" t="s">
        <v>4664</v>
      </c>
      <c r="B2864" t="str">
        <f>"002180"</f>
        <v>002180</v>
      </c>
      <c r="C2864" t="s">
        <v>6064</v>
      </c>
      <c r="D2864" t="s">
        <v>461</v>
      </c>
      <c r="F2864">
        <v>674514511</v>
      </c>
      <c r="G2864">
        <v>415017093</v>
      </c>
      <c r="H2864">
        <v>703558281</v>
      </c>
      <c r="I2864">
        <v>495990749</v>
      </c>
      <c r="J2864">
        <v>-507021979</v>
      </c>
      <c r="K2864">
        <v>257210752</v>
      </c>
      <c r="L2864">
        <v>282153549</v>
      </c>
      <c r="M2864">
        <v>155827332</v>
      </c>
      <c r="N2864">
        <v>-1230810</v>
      </c>
      <c r="O2864">
        <v>15662825</v>
      </c>
      <c r="P2864">
        <v>472</v>
      </c>
      <c r="Q2864" t="s">
        <v>6065</v>
      </c>
    </row>
    <row r="2865" spans="1:17" x14ac:dyDescent="0.3">
      <c r="A2865" t="s">
        <v>4664</v>
      </c>
      <c r="B2865" t="str">
        <f>"002181"</f>
        <v>002181</v>
      </c>
      <c r="C2865" t="s">
        <v>6066</v>
      </c>
      <c r="D2865" t="s">
        <v>525</v>
      </c>
      <c r="F2865">
        <v>62853669</v>
      </c>
      <c r="G2865">
        <v>239680971</v>
      </c>
      <c r="H2865">
        <v>104664235</v>
      </c>
      <c r="I2865">
        <v>27107620</v>
      </c>
      <c r="J2865">
        <v>-55267424</v>
      </c>
      <c r="K2865">
        <v>-240745651</v>
      </c>
      <c r="L2865">
        <v>85684969</v>
      </c>
      <c r="M2865">
        <v>124498766</v>
      </c>
      <c r="N2865">
        <v>232195198</v>
      </c>
      <c r="O2865">
        <v>227238269</v>
      </c>
      <c r="P2865">
        <v>107</v>
      </c>
      <c r="Q2865" t="s">
        <v>6067</v>
      </c>
    </row>
    <row r="2866" spans="1:17" x14ac:dyDescent="0.3">
      <c r="A2866" t="s">
        <v>4664</v>
      </c>
      <c r="B2866" t="str">
        <f>"002182"</f>
        <v>002182</v>
      </c>
      <c r="C2866" t="s">
        <v>6068</v>
      </c>
      <c r="D2866" t="s">
        <v>636</v>
      </c>
      <c r="F2866">
        <v>263664574</v>
      </c>
      <c r="G2866">
        <v>171512247</v>
      </c>
      <c r="H2866">
        <v>517584531</v>
      </c>
      <c r="I2866">
        <v>247640287</v>
      </c>
      <c r="J2866">
        <v>134846850</v>
      </c>
      <c r="K2866">
        <v>117179162</v>
      </c>
      <c r="L2866">
        <v>24455147</v>
      </c>
      <c r="M2866">
        <v>26795547</v>
      </c>
      <c r="N2866">
        <v>17463961</v>
      </c>
      <c r="O2866">
        <v>14631707</v>
      </c>
      <c r="P2866">
        <v>372</v>
      </c>
      <c r="Q2866" t="s">
        <v>6069</v>
      </c>
    </row>
    <row r="2867" spans="1:17" x14ac:dyDescent="0.3">
      <c r="A2867" t="s">
        <v>4664</v>
      </c>
      <c r="B2867" t="str">
        <f>"002183"</f>
        <v>002183</v>
      </c>
      <c r="C2867" t="s">
        <v>6070</v>
      </c>
      <c r="D2867" t="s">
        <v>3098</v>
      </c>
      <c r="F2867">
        <v>415394368</v>
      </c>
      <c r="G2867">
        <v>81304943</v>
      </c>
      <c r="H2867">
        <v>71082709</v>
      </c>
      <c r="I2867">
        <v>390375275</v>
      </c>
      <c r="J2867">
        <v>476051477</v>
      </c>
      <c r="K2867">
        <v>451423679</v>
      </c>
      <c r="L2867">
        <v>348912728</v>
      </c>
      <c r="M2867">
        <v>231979216</v>
      </c>
      <c r="N2867">
        <v>145449775</v>
      </c>
      <c r="O2867">
        <v>116791434</v>
      </c>
      <c r="P2867">
        <v>261</v>
      </c>
      <c r="Q2867" t="s">
        <v>6071</v>
      </c>
    </row>
    <row r="2868" spans="1:17" x14ac:dyDescent="0.3">
      <c r="A2868" t="s">
        <v>4664</v>
      </c>
      <c r="B2868" t="str">
        <f>"002184"</f>
        <v>002184</v>
      </c>
      <c r="C2868" t="s">
        <v>6072</v>
      </c>
      <c r="D2868" t="s">
        <v>2423</v>
      </c>
      <c r="F2868">
        <v>85232560</v>
      </c>
      <c r="G2868">
        <v>81587500</v>
      </c>
      <c r="H2868">
        <v>16401343</v>
      </c>
      <c r="I2868">
        <v>-49059643</v>
      </c>
      <c r="J2868">
        <v>7782053</v>
      </c>
      <c r="K2868">
        <v>10223713</v>
      </c>
      <c r="L2868">
        <v>49228241</v>
      </c>
      <c r="M2868">
        <v>28708296</v>
      </c>
      <c r="N2868">
        <v>4796106</v>
      </c>
      <c r="O2868">
        <v>-17969763</v>
      </c>
      <c r="P2868">
        <v>186</v>
      </c>
      <c r="Q2868" t="s">
        <v>6073</v>
      </c>
    </row>
    <row r="2869" spans="1:17" x14ac:dyDescent="0.3">
      <c r="A2869" t="s">
        <v>4664</v>
      </c>
      <c r="B2869" t="str">
        <f>"002185"</f>
        <v>002185</v>
      </c>
      <c r="C2869" t="s">
        <v>6074</v>
      </c>
      <c r="D2869" t="s">
        <v>1180</v>
      </c>
      <c r="F2869">
        <v>1027976621</v>
      </c>
      <c r="G2869">
        <v>447369296</v>
      </c>
      <c r="H2869">
        <v>167595333</v>
      </c>
      <c r="I2869">
        <v>327403024</v>
      </c>
      <c r="J2869">
        <v>387694302</v>
      </c>
      <c r="K2869">
        <v>291441058</v>
      </c>
      <c r="L2869">
        <v>260707351</v>
      </c>
      <c r="M2869">
        <v>224571459</v>
      </c>
      <c r="N2869">
        <v>150235228</v>
      </c>
      <c r="O2869">
        <v>115144431</v>
      </c>
      <c r="P2869">
        <v>1176</v>
      </c>
      <c r="Q2869" t="s">
        <v>6075</v>
      </c>
    </row>
    <row r="2870" spans="1:17" x14ac:dyDescent="0.3">
      <c r="A2870" t="s">
        <v>4664</v>
      </c>
      <c r="B2870" t="str">
        <f>"002186"</f>
        <v>002186</v>
      </c>
      <c r="C2870" t="s">
        <v>6076</v>
      </c>
      <c r="D2870" t="s">
        <v>3571</v>
      </c>
      <c r="F2870">
        <v>-66825183</v>
      </c>
      <c r="G2870">
        <v>-202209631</v>
      </c>
      <c r="H2870">
        <v>52604110</v>
      </c>
      <c r="I2870">
        <v>128578367</v>
      </c>
      <c r="J2870">
        <v>133669556</v>
      </c>
      <c r="K2870">
        <v>129664504</v>
      </c>
      <c r="L2870">
        <v>122893054</v>
      </c>
      <c r="M2870">
        <v>120645123</v>
      </c>
      <c r="N2870">
        <v>117133690</v>
      </c>
      <c r="O2870">
        <v>135366631</v>
      </c>
      <c r="P2870">
        <v>179</v>
      </c>
      <c r="Q2870" t="s">
        <v>6077</v>
      </c>
    </row>
    <row r="2871" spans="1:17" x14ac:dyDescent="0.3">
      <c r="A2871" t="s">
        <v>4664</v>
      </c>
      <c r="B2871" t="str">
        <f>"002187"</f>
        <v>002187</v>
      </c>
      <c r="C2871" t="s">
        <v>6078</v>
      </c>
      <c r="D2871" t="s">
        <v>633</v>
      </c>
      <c r="F2871">
        <v>173488956</v>
      </c>
      <c r="G2871">
        <v>10621789</v>
      </c>
      <c r="H2871">
        <v>156121442</v>
      </c>
      <c r="I2871">
        <v>152968757</v>
      </c>
      <c r="J2871">
        <v>144379208</v>
      </c>
      <c r="K2871">
        <v>116663066</v>
      </c>
      <c r="L2871">
        <v>166255841</v>
      </c>
      <c r="M2871">
        <v>164486202</v>
      </c>
      <c r="N2871">
        <v>151293370</v>
      </c>
      <c r="O2871">
        <v>128706851</v>
      </c>
      <c r="P2871">
        <v>147</v>
      </c>
      <c r="Q2871" t="s">
        <v>6079</v>
      </c>
    </row>
    <row r="2872" spans="1:17" x14ac:dyDescent="0.3">
      <c r="A2872" t="s">
        <v>4664</v>
      </c>
      <c r="B2872" t="str">
        <f>"002188"</f>
        <v>002188</v>
      </c>
      <c r="C2872" t="s">
        <v>6080</v>
      </c>
      <c r="D2872" t="s">
        <v>207</v>
      </c>
      <c r="F2872">
        <v>7401781</v>
      </c>
      <c r="G2872">
        <v>-2278661</v>
      </c>
      <c r="H2872">
        <v>-35543382</v>
      </c>
      <c r="I2872">
        <v>-497734761</v>
      </c>
      <c r="J2872">
        <v>69500152</v>
      </c>
      <c r="K2872">
        <v>27177828</v>
      </c>
      <c r="L2872">
        <v>-13768058</v>
      </c>
      <c r="M2872">
        <v>-7914787</v>
      </c>
      <c r="N2872">
        <v>-15158422</v>
      </c>
      <c r="O2872">
        <v>3023802</v>
      </c>
      <c r="P2872">
        <v>69</v>
      </c>
      <c r="Q2872" t="s">
        <v>6081</v>
      </c>
    </row>
    <row r="2873" spans="1:17" x14ac:dyDescent="0.3">
      <c r="A2873" t="s">
        <v>4664</v>
      </c>
      <c r="B2873" t="str">
        <f>"002189"</f>
        <v>002189</v>
      </c>
      <c r="C2873" t="s">
        <v>6082</v>
      </c>
      <c r="D2873" t="s">
        <v>1136</v>
      </c>
      <c r="F2873">
        <v>106066180</v>
      </c>
      <c r="G2873">
        <v>84574973</v>
      </c>
      <c r="H2873">
        <v>79003484</v>
      </c>
      <c r="I2873">
        <v>44247524</v>
      </c>
      <c r="J2873">
        <v>15778116</v>
      </c>
      <c r="K2873">
        <v>13555869</v>
      </c>
      <c r="L2873">
        <v>12518345</v>
      </c>
      <c r="M2873">
        <v>9296569</v>
      </c>
      <c r="N2873">
        <v>1458816</v>
      </c>
      <c r="O2873">
        <v>14866870</v>
      </c>
      <c r="P2873">
        <v>221</v>
      </c>
      <c r="Q2873" t="s">
        <v>6083</v>
      </c>
    </row>
    <row r="2874" spans="1:17" x14ac:dyDescent="0.3">
      <c r="A2874" t="s">
        <v>4664</v>
      </c>
      <c r="B2874" t="str">
        <f>"002190"</f>
        <v>002190</v>
      </c>
      <c r="C2874" t="s">
        <v>6084</v>
      </c>
      <c r="D2874" t="s">
        <v>98</v>
      </c>
      <c r="F2874">
        <v>40932827</v>
      </c>
      <c r="G2874">
        <v>10793860</v>
      </c>
      <c r="H2874">
        <v>598123639</v>
      </c>
      <c r="I2874">
        <v>-99617213</v>
      </c>
      <c r="J2874">
        <v>608433</v>
      </c>
      <c r="K2874">
        <v>89578829</v>
      </c>
      <c r="L2874">
        <v>44549811</v>
      </c>
      <c r="M2874">
        <v>5215357</v>
      </c>
      <c r="N2874">
        <v>21206560</v>
      </c>
      <c r="O2874">
        <v>36050200</v>
      </c>
      <c r="P2874">
        <v>184</v>
      </c>
      <c r="Q2874" t="s">
        <v>6085</v>
      </c>
    </row>
    <row r="2875" spans="1:17" x14ac:dyDescent="0.3">
      <c r="A2875" t="s">
        <v>4664</v>
      </c>
      <c r="B2875" t="str">
        <f>"002191"</f>
        <v>002191</v>
      </c>
      <c r="C2875" t="s">
        <v>6086</v>
      </c>
      <c r="D2875" t="s">
        <v>2156</v>
      </c>
      <c r="F2875">
        <v>816816509</v>
      </c>
      <c r="G2875">
        <v>661983672</v>
      </c>
      <c r="H2875">
        <v>673350004</v>
      </c>
      <c r="I2875">
        <v>545501105</v>
      </c>
      <c r="J2875">
        <v>435419770</v>
      </c>
      <c r="K2875">
        <v>440906147</v>
      </c>
      <c r="L2875">
        <v>512399615</v>
      </c>
      <c r="M2875">
        <v>433330263</v>
      </c>
      <c r="N2875">
        <v>351349283</v>
      </c>
      <c r="O2875">
        <v>312616946</v>
      </c>
      <c r="P2875">
        <v>6347</v>
      </c>
      <c r="Q2875" t="s">
        <v>6087</v>
      </c>
    </row>
    <row r="2876" spans="1:17" x14ac:dyDescent="0.3">
      <c r="A2876" t="s">
        <v>4664</v>
      </c>
      <c r="B2876" t="str">
        <f>"002192"</f>
        <v>002192</v>
      </c>
      <c r="C2876" t="s">
        <v>6088</v>
      </c>
      <c r="D2876" t="s">
        <v>3749</v>
      </c>
      <c r="F2876">
        <v>27081992</v>
      </c>
      <c r="G2876">
        <v>3730490</v>
      </c>
      <c r="H2876">
        <v>-45161187</v>
      </c>
      <c r="I2876">
        <v>-6865006</v>
      </c>
      <c r="J2876">
        <v>1706370</v>
      </c>
      <c r="K2876">
        <v>1032312</v>
      </c>
      <c r="L2876">
        <v>-10746977</v>
      </c>
      <c r="M2876">
        <v>-57132503</v>
      </c>
      <c r="N2876">
        <v>107944</v>
      </c>
      <c r="O2876">
        <v>4485659</v>
      </c>
      <c r="P2876">
        <v>230</v>
      </c>
      <c r="Q2876" t="s">
        <v>6089</v>
      </c>
    </row>
    <row r="2877" spans="1:17" x14ac:dyDescent="0.3">
      <c r="A2877" t="s">
        <v>4664</v>
      </c>
      <c r="B2877" t="str">
        <f>"002193"</f>
        <v>002193</v>
      </c>
      <c r="C2877" t="s">
        <v>6090</v>
      </c>
      <c r="D2877" t="s">
        <v>366</v>
      </c>
      <c r="F2877">
        <v>-43296287</v>
      </c>
      <c r="G2877">
        <v>20635694</v>
      </c>
      <c r="H2877">
        <v>70894319</v>
      </c>
      <c r="I2877">
        <v>60863437</v>
      </c>
      <c r="J2877">
        <v>33196390</v>
      </c>
      <c r="K2877">
        <v>32922244</v>
      </c>
      <c r="L2877">
        <v>15691338</v>
      </c>
      <c r="M2877">
        <v>13365443</v>
      </c>
      <c r="N2877">
        <v>2408395</v>
      </c>
      <c r="O2877">
        <v>3921196</v>
      </c>
      <c r="P2877">
        <v>93</v>
      </c>
      <c r="Q2877" t="s">
        <v>6091</v>
      </c>
    </row>
    <row r="2878" spans="1:17" x14ac:dyDescent="0.3">
      <c r="A2878" t="s">
        <v>4664</v>
      </c>
      <c r="B2878" t="str">
        <f>"002194"</f>
        <v>002194</v>
      </c>
      <c r="C2878" t="s">
        <v>6092</v>
      </c>
      <c r="D2878" t="s">
        <v>1019</v>
      </c>
      <c r="F2878">
        <v>173076736</v>
      </c>
      <c r="G2878">
        <v>158660191</v>
      </c>
      <c r="H2878">
        <v>117661125</v>
      </c>
      <c r="I2878">
        <v>-52882919</v>
      </c>
      <c r="J2878">
        <v>-365465275</v>
      </c>
      <c r="K2878">
        <v>-62469919</v>
      </c>
      <c r="L2878">
        <v>61600321</v>
      </c>
      <c r="M2878">
        <v>95339340</v>
      </c>
      <c r="N2878">
        <v>33491574</v>
      </c>
      <c r="O2878">
        <v>26041094</v>
      </c>
      <c r="P2878">
        <v>906</v>
      </c>
      <c r="Q2878" t="s">
        <v>6093</v>
      </c>
    </row>
    <row r="2879" spans="1:17" x14ac:dyDescent="0.3">
      <c r="A2879" t="s">
        <v>4664</v>
      </c>
      <c r="B2879" t="str">
        <f>"002195"</f>
        <v>002195</v>
      </c>
      <c r="C2879" t="s">
        <v>6094</v>
      </c>
      <c r="D2879" t="s">
        <v>316</v>
      </c>
      <c r="F2879">
        <v>321005518</v>
      </c>
      <c r="G2879">
        <v>308175099</v>
      </c>
      <c r="H2879">
        <v>731671290</v>
      </c>
      <c r="I2879">
        <v>1080824906</v>
      </c>
      <c r="J2879">
        <v>711921277</v>
      </c>
      <c r="K2879">
        <v>366255096</v>
      </c>
      <c r="L2879">
        <v>291516737</v>
      </c>
      <c r="M2879">
        <v>37716620</v>
      </c>
      <c r="N2879">
        <v>19859708</v>
      </c>
      <c r="O2879">
        <v>50936172</v>
      </c>
      <c r="P2879">
        <v>558</v>
      </c>
      <c r="Q2879" t="s">
        <v>6095</v>
      </c>
    </row>
    <row r="2880" spans="1:17" x14ac:dyDescent="0.3">
      <c r="A2880" t="s">
        <v>4664</v>
      </c>
      <c r="B2880" t="str">
        <f>"002196"</f>
        <v>002196</v>
      </c>
      <c r="C2880" t="s">
        <v>6096</v>
      </c>
      <c r="D2880" t="s">
        <v>1171</v>
      </c>
      <c r="F2880">
        <v>-21938746</v>
      </c>
      <c r="G2880">
        <v>-58491045</v>
      </c>
      <c r="H2880">
        <v>16795577</v>
      </c>
      <c r="I2880">
        <v>56915118</v>
      </c>
      <c r="J2880">
        <v>86374522</v>
      </c>
      <c r="K2880">
        <v>71764572</v>
      </c>
      <c r="L2880">
        <v>18184938</v>
      </c>
      <c r="M2880">
        <v>5351161</v>
      </c>
      <c r="N2880">
        <v>6361805</v>
      </c>
      <c r="O2880">
        <v>20587777</v>
      </c>
      <c r="P2880">
        <v>163</v>
      </c>
      <c r="Q2880" t="s">
        <v>6097</v>
      </c>
    </row>
    <row r="2881" spans="1:17" x14ac:dyDescent="0.3">
      <c r="A2881" t="s">
        <v>4664</v>
      </c>
      <c r="B2881" t="str">
        <f>"002197"</f>
        <v>002197</v>
      </c>
      <c r="C2881" t="s">
        <v>6098</v>
      </c>
      <c r="D2881" t="s">
        <v>236</v>
      </c>
      <c r="F2881">
        <v>19804699</v>
      </c>
      <c r="G2881">
        <v>14292765</v>
      </c>
      <c r="H2881">
        <v>19585580</v>
      </c>
      <c r="I2881">
        <v>36401221</v>
      </c>
      <c r="J2881">
        <v>23194268</v>
      </c>
      <c r="K2881">
        <v>31888821</v>
      </c>
      <c r="L2881">
        <v>30826627</v>
      </c>
      <c r="M2881">
        <v>46759454</v>
      </c>
      <c r="N2881">
        <v>45005881</v>
      </c>
      <c r="O2881">
        <v>45070862</v>
      </c>
      <c r="P2881">
        <v>230</v>
      </c>
      <c r="Q2881" t="s">
        <v>6099</v>
      </c>
    </row>
    <row r="2882" spans="1:17" x14ac:dyDescent="0.3">
      <c r="A2882" t="s">
        <v>4664</v>
      </c>
      <c r="B2882" t="str">
        <f>"002198"</f>
        <v>002198</v>
      </c>
      <c r="C2882" t="s">
        <v>6100</v>
      </c>
      <c r="D2882" t="s">
        <v>188</v>
      </c>
      <c r="F2882">
        <v>4494565</v>
      </c>
      <c r="G2882">
        <v>-253203</v>
      </c>
      <c r="H2882">
        <v>20719487</v>
      </c>
      <c r="I2882">
        <v>17025565</v>
      </c>
      <c r="J2882">
        <v>13744939</v>
      </c>
      <c r="K2882">
        <v>20417197</v>
      </c>
      <c r="L2882">
        <v>41575590</v>
      </c>
      <c r="M2882">
        <v>50578088</v>
      </c>
      <c r="N2882">
        <v>16522700</v>
      </c>
      <c r="O2882">
        <v>1013365</v>
      </c>
      <c r="P2882">
        <v>120</v>
      </c>
      <c r="Q2882" t="s">
        <v>6101</v>
      </c>
    </row>
    <row r="2883" spans="1:17" x14ac:dyDescent="0.3">
      <c r="A2883" t="s">
        <v>4664</v>
      </c>
      <c r="B2883" t="str">
        <f>"002199"</f>
        <v>002199</v>
      </c>
      <c r="C2883" t="s">
        <v>6102</v>
      </c>
      <c r="D2883" t="s">
        <v>546</v>
      </c>
      <c r="F2883">
        <v>32027489</v>
      </c>
      <c r="G2883">
        <v>4685170</v>
      </c>
      <c r="H2883">
        <v>18424757</v>
      </c>
      <c r="I2883">
        <v>-18279029</v>
      </c>
      <c r="J2883">
        <v>-5480700</v>
      </c>
      <c r="K2883">
        <v>-88841957</v>
      </c>
      <c r="L2883">
        <v>-73838320</v>
      </c>
      <c r="M2883">
        <v>-64192297</v>
      </c>
      <c r="N2883">
        <v>7582696</v>
      </c>
      <c r="O2883">
        <v>8253227</v>
      </c>
      <c r="P2883">
        <v>111</v>
      </c>
      <c r="Q2883" t="s">
        <v>6103</v>
      </c>
    </row>
    <row r="2884" spans="1:17" x14ac:dyDescent="0.3">
      <c r="A2884" t="s">
        <v>4664</v>
      </c>
      <c r="B2884" t="str">
        <f>"002200"</f>
        <v>002200</v>
      </c>
      <c r="C2884" t="s">
        <v>6104</v>
      </c>
      <c r="D2884" t="s">
        <v>2408</v>
      </c>
      <c r="F2884">
        <v>6091193</v>
      </c>
      <c r="G2884">
        <v>-109410877</v>
      </c>
      <c r="H2884">
        <v>28001980</v>
      </c>
      <c r="I2884">
        <v>-233276089</v>
      </c>
      <c r="J2884">
        <v>-38414605</v>
      </c>
      <c r="K2884">
        <v>34416582</v>
      </c>
      <c r="L2884">
        <v>4926615</v>
      </c>
      <c r="M2884">
        <v>-11816578</v>
      </c>
      <c r="N2884">
        <v>-23457218</v>
      </c>
      <c r="O2884">
        <v>-4526223</v>
      </c>
      <c r="P2884">
        <v>53</v>
      </c>
      <c r="Q2884" t="s">
        <v>6105</v>
      </c>
    </row>
    <row r="2885" spans="1:17" x14ac:dyDescent="0.3">
      <c r="A2885" t="s">
        <v>4664</v>
      </c>
      <c r="B2885" t="str">
        <f>"002201"</f>
        <v>002201</v>
      </c>
      <c r="C2885" t="s">
        <v>6106</v>
      </c>
      <c r="D2885" t="s">
        <v>411</v>
      </c>
      <c r="F2885">
        <v>32438977</v>
      </c>
      <c r="G2885">
        <v>11076084</v>
      </c>
      <c r="H2885">
        <v>5112459</v>
      </c>
      <c r="I2885">
        <v>7436329</v>
      </c>
      <c r="J2885">
        <v>5390418</v>
      </c>
      <c r="K2885">
        <v>7517927</v>
      </c>
      <c r="L2885">
        <v>13639994</v>
      </c>
      <c r="M2885">
        <v>5523306</v>
      </c>
      <c r="N2885">
        <v>6483007</v>
      </c>
      <c r="O2885">
        <v>12498580</v>
      </c>
      <c r="P2885">
        <v>132</v>
      </c>
      <c r="Q2885" t="s">
        <v>6107</v>
      </c>
    </row>
    <row r="2886" spans="1:17" x14ac:dyDescent="0.3">
      <c r="A2886" t="s">
        <v>4664</v>
      </c>
      <c r="B2886" t="str">
        <f>"002202"</f>
        <v>002202</v>
      </c>
      <c r="C2886" t="s">
        <v>6108</v>
      </c>
      <c r="D2886" t="s">
        <v>895</v>
      </c>
      <c r="F2886">
        <v>3012813281</v>
      </c>
      <c r="G2886">
        <v>2069110399</v>
      </c>
      <c r="H2886">
        <v>1590809544</v>
      </c>
      <c r="I2886">
        <v>2419014402</v>
      </c>
      <c r="J2886">
        <v>2296165384</v>
      </c>
      <c r="K2886">
        <v>2140717293</v>
      </c>
      <c r="L2886">
        <v>2107906465</v>
      </c>
      <c r="M2886">
        <v>1194927572</v>
      </c>
      <c r="N2886">
        <v>187946781</v>
      </c>
      <c r="O2886">
        <v>38516241</v>
      </c>
      <c r="P2886">
        <v>1283</v>
      </c>
      <c r="Q2886" t="s">
        <v>6109</v>
      </c>
    </row>
    <row r="2887" spans="1:17" x14ac:dyDescent="0.3">
      <c r="A2887" t="s">
        <v>4664</v>
      </c>
      <c r="B2887" t="str">
        <f>"002203"</f>
        <v>002203</v>
      </c>
      <c r="C2887" t="s">
        <v>6110</v>
      </c>
      <c r="D2887" t="s">
        <v>263</v>
      </c>
      <c r="F2887">
        <v>922548019</v>
      </c>
      <c r="G2887">
        <v>542397659</v>
      </c>
      <c r="H2887">
        <v>819416950</v>
      </c>
      <c r="I2887">
        <v>691184877</v>
      </c>
      <c r="J2887">
        <v>575138888</v>
      </c>
      <c r="K2887">
        <v>396759915</v>
      </c>
      <c r="L2887">
        <v>302167563</v>
      </c>
      <c r="M2887">
        <v>351866044</v>
      </c>
      <c r="N2887">
        <v>211198327</v>
      </c>
      <c r="O2887">
        <v>120536068</v>
      </c>
      <c r="P2887">
        <v>239</v>
      </c>
      <c r="Q2887" t="s">
        <v>6111</v>
      </c>
    </row>
    <row r="2888" spans="1:17" x14ac:dyDescent="0.3">
      <c r="A2888" t="s">
        <v>4664</v>
      </c>
      <c r="B2888" t="str">
        <f>"002204"</f>
        <v>002204</v>
      </c>
      <c r="C2888" t="s">
        <v>6112</v>
      </c>
      <c r="D2888" t="s">
        <v>395</v>
      </c>
      <c r="F2888">
        <v>92264959</v>
      </c>
      <c r="G2888">
        <v>38958092</v>
      </c>
      <c r="H2888">
        <v>24446578</v>
      </c>
      <c r="I2888">
        <v>-149836222</v>
      </c>
      <c r="J2888">
        <v>10700262</v>
      </c>
      <c r="K2888">
        <v>57160168</v>
      </c>
      <c r="L2888">
        <v>29804454</v>
      </c>
      <c r="M2888">
        <v>34371038</v>
      </c>
      <c r="N2888">
        <v>135010486</v>
      </c>
      <c r="O2888">
        <v>437589018</v>
      </c>
      <c r="P2888">
        <v>137</v>
      </c>
      <c r="Q2888" t="s">
        <v>6113</v>
      </c>
    </row>
    <row r="2889" spans="1:17" x14ac:dyDescent="0.3">
      <c r="A2889" t="s">
        <v>4664</v>
      </c>
      <c r="B2889" t="str">
        <f>"002205"</f>
        <v>002205</v>
      </c>
      <c r="C2889" t="s">
        <v>6114</v>
      </c>
      <c r="D2889" t="s">
        <v>3548</v>
      </c>
      <c r="F2889">
        <v>-27511451</v>
      </c>
      <c r="G2889">
        <v>-29894297</v>
      </c>
      <c r="H2889">
        <v>1665757</v>
      </c>
      <c r="I2889">
        <v>-4705452</v>
      </c>
      <c r="J2889">
        <v>2798347</v>
      </c>
      <c r="K2889">
        <v>-19736889</v>
      </c>
      <c r="L2889">
        <v>-8700330</v>
      </c>
      <c r="M2889">
        <v>38433340</v>
      </c>
      <c r="N2889">
        <v>24602809</v>
      </c>
      <c r="O2889">
        <v>4685635</v>
      </c>
      <c r="P2889">
        <v>86</v>
      </c>
      <c r="Q2889" t="s">
        <v>6115</v>
      </c>
    </row>
    <row r="2890" spans="1:17" x14ac:dyDescent="0.3">
      <c r="A2890" t="s">
        <v>4664</v>
      </c>
      <c r="B2890" t="str">
        <f>"002206"</f>
        <v>002206</v>
      </c>
      <c r="C2890" t="s">
        <v>6116</v>
      </c>
      <c r="D2890" t="s">
        <v>2708</v>
      </c>
      <c r="F2890">
        <v>445573395</v>
      </c>
      <c r="G2890">
        <v>148587607</v>
      </c>
      <c r="H2890">
        <v>243399981</v>
      </c>
      <c r="I2890">
        <v>290306636</v>
      </c>
      <c r="J2890">
        <v>256670355</v>
      </c>
      <c r="K2890">
        <v>231846020</v>
      </c>
      <c r="L2890">
        <v>169831443</v>
      </c>
      <c r="M2890">
        <v>137168574</v>
      </c>
      <c r="N2890">
        <v>81227782</v>
      </c>
      <c r="O2890">
        <v>80377720</v>
      </c>
      <c r="P2890">
        <v>369</v>
      </c>
      <c r="Q2890" t="s">
        <v>6117</v>
      </c>
    </row>
    <row r="2891" spans="1:17" x14ac:dyDescent="0.3">
      <c r="A2891" t="s">
        <v>4664</v>
      </c>
      <c r="B2891" t="str">
        <f>"002207"</f>
        <v>002207</v>
      </c>
      <c r="C2891" t="s">
        <v>6118</v>
      </c>
      <c r="D2891" t="s">
        <v>1758</v>
      </c>
      <c r="F2891">
        <v>-22875550</v>
      </c>
      <c r="G2891">
        <v>953462</v>
      </c>
      <c r="H2891">
        <v>-1015147</v>
      </c>
      <c r="I2891">
        <v>-17282582</v>
      </c>
      <c r="J2891">
        <v>44662293</v>
      </c>
      <c r="K2891">
        <v>-75090883</v>
      </c>
      <c r="L2891">
        <v>-31050306</v>
      </c>
      <c r="M2891">
        <v>3296102</v>
      </c>
      <c r="N2891">
        <v>3376270</v>
      </c>
      <c r="O2891">
        <v>1805968</v>
      </c>
      <c r="P2891">
        <v>73</v>
      </c>
      <c r="Q2891" t="s">
        <v>6119</v>
      </c>
    </row>
    <row r="2892" spans="1:17" x14ac:dyDescent="0.3">
      <c r="A2892" t="s">
        <v>4664</v>
      </c>
      <c r="B2892" t="str">
        <f>"002208"</f>
        <v>002208</v>
      </c>
      <c r="C2892" t="s">
        <v>6120</v>
      </c>
      <c r="D2892" t="s">
        <v>104</v>
      </c>
      <c r="F2892">
        <v>688102692</v>
      </c>
      <c r="G2892">
        <v>471723720</v>
      </c>
      <c r="H2892">
        <v>91044771</v>
      </c>
      <c r="I2892">
        <v>179437384</v>
      </c>
      <c r="J2892">
        <v>21994573</v>
      </c>
      <c r="K2892">
        <v>66575064</v>
      </c>
      <c r="L2892">
        <v>-9245065</v>
      </c>
      <c r="M2892">
        <v>55778023</v>
      </c>
      <c r="N2892">
        <v>45658671</v>
      </c>
      <c r="O2892">
        <v>71131634</v>
      </c>
      <c r="P2892">
        <v>198</v>
      </c>
      <c r="Q2892" t="s">
        <v>6121</v>
      </c>
    </row>
    <row r="2893" spans="1:17" x14ac:dyDescent="0.3">
      <c r="A2893" t="s">
        <v>4664</v>
      </c>
      <c r="B2893" t="str">
        <f>"002209"</f>
        <v>002209</v>
      </c>
      <c r="C2893" t="s">
        <v>6122</v>
      </c>
      <c r="D2893" t="s">
        <v>3388</v>
      </c>
      <c r="F2893">
        <v>-9084851</v>
      </c>
      <c r="G2893">
        <v>23323414</v>
      </c>
      <c r="H2893">
        <v>-29180456</v>
      </c>
      <c r="I2893">
        <v>-532110</v>
      </c>
      <c r="J2893">
        <v>-10811262</v>
      </c>
      <c r="K2893">
        <v>-26142373</v>
      </c>
      <c r="L2893">
        <v>-5492744</v>
      </c>
      <c r="M2893">
        <v>10917593</v>
      </c>
      <c r="N2893">
        <v>14685035</v>
      </c>
      <c r="O2893">
        <v>35716430</v>
      </c>
      <c r="P2893">
        <v>75</v>
      </c>
      <c r="Q2893" t="s">
        <v>6123</v>
      </c>
    </row>
    <row r="2894" spans="1:17" x14ac:dyDescent="0.3">
      <c r="A2894" t="s">
        <v>4664</v>
      </c>
      <c r="B2894" t="str">
        <f>"002210"</f>
        <v>002210</v>
      </c>
      <c r="C2894" t="s">
        <v>6124</v>
      </c>
      <c r="D2894" t="s">
        <v>128</v>
      </c>
      <c r="F2894">
        <v>3834460</v>
      </c>
      <c r="G2894">
        <v>-880764313</v>
      </c>
      <c r="H2894">
        <v>-564028222</v>
      </c>
      <c r="I2894">
        <v>127237732</v>
      </c>
      <c r="J2894">
        <v>187679513</v>
      </c>
      <c r="K2894">
        <v>141688668</v>
      </c>
      <c r="L2894">
        <v>132991370</v>
      </c>
      <c r="M2894">
        <v>116418861</v>
      </c>
      <c r="N2894">
        <v>89297099</v>
      </c>
      <c r="O2894">
        <v>60409178</v>
      </c>
      <c r="P2894">
        <v>83</v>
      </c>
      <c r="Q2894" t="s">
        <v>6125</v>
      </c>
    </row>
    <row r="2895" spans="1:17" x14ac:dyDescent="0.3">
      <c r="A2895" t="s">
        <v>4664</v>
      </c>
      <c r="B2895" t="str">
        <f>"002211"</f>
        <v>002211</v>
      </c>
      <c r="C2895" t="s">
        <v>6126</v>
      </c>
      <c r="D2895" t="s">
        <v>1205</v>
      </c>
      <c r="F2895">
        <v>-204526679</v>
      </c>
      <c r="G2895">
        <v>34292574</v>
      </c>
      <c r="H2895">
        <v>201604</v>
      </c>
      <c r="I2895">
        <v>14635000</v>
      </c>
      <c r="J2895">
        <v>19813903</v>
      </c>
      <c r="K2895">
        <v>-11279657</v>
      </c>
      <c r="L2895">
        <v>-36348719</v>
      </c>
      <c r="M2895">
        <v>6815797</v>
      </c>
      <c r="N2895">
        <v>-650338356</v>
      </c>
      <c r="O2895">
        <v>-7300723</v>
      </c>
      <c r="P2895">
        <v>85</v>
      </c>
      <c r="Q2895" t="s">
        <v>6127</v>
      </c>
    </row>
    <row r="2896" spans="1:17" x14ac:dyDescent="0.3">
      <c r="A2896" t="s">
        <v>4664</v>
      </c>
      <c r="B2896" t="str">
        <f>"002212"</f>
        <v>002212</v>
      </c>
      <c r="C2896" t="s">
        <v>6128</v>
      </c>
      <c r="D2896" t="s">
        <v>1189</v>
      </c>
      <c r="F2896">
        <v>-93374145</v>
      </c>
      <c r="G2896">
        <v>-301728254</v>
      </c>
      <c r="H2896">
        <v>-112025701</v>
      </c>
      <c r="I2896">
        <v>25153901</v>
      </c>
      <c r="J2896">
        <v>33685801</v>
      </c>
      <c r="K2896">
        <v>67725846</v>
      </c>
      <c r="L2896">
        <v>41316206</v>
      </c>
      <c r="M2896">
        <v>40994735</v>
      </c>
      <c r="N2896">
        <v>38283922</v>
      </c>
      <c r="O2896">
        <v>74703771</v>
      </c>
      <c r="P2896">
        <v>249</v>
      </c>
      <c r="Q2896" t="s">
        <v>6129</v>
      </c>
    </row>
    <row r="2897" spans="1:17" x14ac:dyDescent="0.3">
      <c r="A2897" t="s">
        <v>4664</v>
      </c>
      <c r="B2897" t="str">
        <f>"002213"</f>
        <v>002213</v>
      </c>
      <c r="C2897" t="s">
        <v>6130</v>
      </c>
      <c r="D2897" t="s">
        <v>348</v>
      </c>
      <c r="F2897">
        <v>7919965</v>
      </c>
      <c r="G2897">
        <v>2297217</v>
      </c>
      <c r="H2897">
        <v>-4090979</v>
      </c>
      <c r="I2897">
        <v>2341694</v>
      </c>
      <c r="J2897">
        <v>11170792</v>
      </c>
      <c r="K2897">
        <v>11821610</v>
      </c>
      <c r="L2897">
        <v>10567152</v>
      </c>
      <c r="M2897">
        <v>12647994</v>
      </c>
      <c r="N2897">
        <v>18673101</v>
      </c>
      <c r="O2897">
        <v>27116588</v>
      </c>
      <c r="P2897">
        <v>90</v>
      </c>
      <c r="Q2897" t="s">
        <v>6131</v>
      </c>
    </row>
    <row r="2898" spans="1:17" x14ac:dyDescent="0.3">
      <c r="A2898" t="s">
        <v>4664</v>
      </c>
      <c r="B2898" t="str">
        <f>"002214"</f>
        <v>002214</v>
      </c>
      <c r="C2898" t="s">
        <v>6132</v>
      </c>
      <c r="D2898" t="s">
        <v>1136</v>
      </c>
      <c r="F2898">
        <v>250845312</v>
      </c>
      <c r="G2898">
        <v>338806333</v>
      </c>
      <c r="H2898">
        <v>91561606</v>
      </c>
      <c r="I2898">
        <v>32627868</v>
      </c>
      <c r="J2898">
        <v>26940470</v>
      </c>
      <c r="K2898">
        <v>28834709</v>
      </c>
      <c r="L2898">
        <v>28006780</v>
      </c>
      <c r="M2898">
        <v>32445402</v>
      </c>
      <c r="N2898">
        <v>20828702</v>
      </c>
      <c r="O2898">
        <v>20055807</v>
      </c>
      <c r="P2898">
        <v>511</v>
      </c>
      <c r="Q2898" t="s">
        <v>6133</v>
      </c>
    </row>
    <row r="2899" spans="1:17" x14ac:dyDescent="0.3">
      <c r="A2899" t="s">
        <v>4664</v>
      </c>
      <c r="B2899" t="str">
        <f>"002215"</f>
        <v>002215</v>
      </c>
      <c r="C2899" t="s">
        <v>6134</v>
      </c>
      <c r="D2899" t="s">
        <v>853</v>
      </c>
      <c r="F2899">
        <v>330592158</v>
      </c>
      <c r="G2899">
        <v>285953063</v>
      </c>
      <c r="H2899">
        <v>262851997</v>
      </c>
      <c r="I2899">
        <v>296181658</v>
      </c>
      <c r="J2899">
        <v>250691347</v>
      </c>
      <c r="K2899">
        <v>-239837764</v>
      </c>
      <c r="L2899">
        <v>196821320</v>
      </c>
      <c r="M2899">
        <v>178101133</v>
      </c>
      <c r="N2899">
        <v>170120105</v>
      </c>
      <c r="O2899">
        <v>135006028</v>
      </c>
      <c r="P2899">
        <v>175</v>
      </c>
      <c r="Q2899" t="s">
        <v>6135</v>
      </c>
    </row>
    <row r="2900" spans="1:17" x14ac:dyDescent="0.3">
      <c r="A2900" t="s">
        <v>4664</v>
      </c>
      <c r="B2900" t="str">
        <f>"002216"</f>
        <v>002216</v>
      </c>
      <c r="C2900" t="s">
        <v>6136</v>
      </c>
      <c r="D2900" t="s">
        <v>2838</v>
      </c>
      <c r="F2900">
        <v>385578100</v>
      </c>
      <c r="G2900">
        <v>570589507</v>
      </c>
      <c r="H2900">
        <v>116591627</v>
      </c>
      <c r="I2900">
        <v>89505419</v>
      </c>
      <c r="J2900">
        <v>79906148</v>
      </c>
      <c r="K2900">
        <v>68185926</v>
      </c>
      <c r="L2900">
        <v>67133726</v>
      </c>
      <c r="M2900">
        <v>70914826</v>
      </c>
      <c r="N2900">
        <v>100563109</v>
      </c>
      <c r="O2900">
        <v>91715636</v>
      </c>
      <c r="P2900">
        <v>1276</v>
      </c>
      <c r="Q2900" t="s">
        <v>6137</v>
      </c>
    </row>
    <row r="2901" spans="1:17" x14ac:dyDescent="0.3">
      <c r="A2901" t="s">
        <v>4664</v>
      </c>
      <c r="B2901" t="str">
        <f>"002217"</f>
        <v>002217</v>
      </c>
      <c r="C2901" t="s">
        <v>6138</v>
      </c>
      <c r="D2901" t="s">
        <v>1117</v>
      </c>
      <c r="F2901">
        <v>69233711</v>
      </c>
      <c r="G2901">
        <v>128871988</v>
      </c>
      <c r="H2901">
        <v>668543237</v>
      </c>
      <c r="I2901">
        <v>1187855961</v>
      </c>
      <c r="J2901">
        <v>907784391</v>
      </c>
      <c r="K2901">
        <v>578205533</v>
      </c>
      <c r="L2901">
        <v>172505443</v>
      </c>
      <c r="M2901">
        <v>117213564</v>
      </c>
      <c r="N2901">
        <v>-56847747</v>
      </c>
      <c r="O2901">
        <v>-14394533</v>
      </c>
      <c r="P2901">
        <v>490</v>
      </c>
      <c r="Q2901" t="s">
        <v>6139</v>
      </c>
    </row>
    <row r="2902" spans="1:17" x14ac:dyDescent="0.3">
      <c r="A2902" t="s">
        <v>4664</v>
      </c>
      <c r="B2902" t="str">
        <f>"002218"</f>
        <v>002218</v>
      </c>
      <c r="C2902" t="s">
        <v>6140</v>
      </c>
      <c r="D2902" t="s">
        <v>478</v>
      </c>
      <c r="F2902">
        <v>170025461</v>
      </c>
      <c r="G2902">
        <v>141434374</v>
      </c>
      <c r="H2902">
        <v>73323574</v>
      </c>
      <c r="I2902">
        <v>72923175</v>
      </c>
      <c r="J2902">
        <v>120651751</v>
      </c>
      <c r="K2902">
        <v>84392589</v>
      </c>
      <c r="L2902">
        <v>30554758</v>
      </c>
      <c r="M2902">
        <v>10327458</v>
      </c>
      <c r="N2902">
        <v>9514308</v>
      </c>
      <c r="O2902">
        <v>13127122</v>
      </c>
      <c r="P2902">
        <v>218</v>
      </c>
      <c r="Q2902" t="s">
        <v>6141</v>
      </c>
    </row>
    <row r="2903" spans="1:17" x14ac:dyDescent="0.3">
      <c r="A2903" t="s">
        <v>4664</v>
      </c>
      <c r="B2903" t="str">
        <f>"002219"</f>
        <v>002219</v>
      </c>
      <c r="C2903" t="s">
        <v>6142</v>
      </c>
      <c r="D2903" t="s">
        <v>1147</v>
      </c>
      <c r="F2903">
        <v>-59073630</v>
      </c>
      <c r="G2903">
        <v>-49026425</v>
      </c>
      <c r="H2903">
        <v>-169489376</v>
      </c>
      <c r="I2903">
        <v>-386694690</v>
      </c>
      <c r="J2903">
        <v>251927101</v>
      </c>
      <c r="K2903">
        <v>201852707</v>
      </c>
      <c r="L2903">
        <v>190131507</v>
      </c>
      <c r="M2903">
        <v>217968588</v>
      </c>
      <c r="N2903">
        <v>136773452</v>
      </c>
      <c r="O2903">
        <v>53172907</v>
      </c>
      <c r="P2903">
        <v>94</v>
      </c>
      <c r="Q2903" t="s">
        <v>6143</v>
      </c>
    </row>
    <row r="2904" spans="1:17" x14ac:dyDescent="0.3">
      <c r="A2904" t="s">
        <v>4664</v>
      </c>
      <c r="B2904" t="str">
        <f>"002220"</f>
        <v>002220</v>
      </c>
      <c r="C2904" t="s">
        <v>6144</v>
      </c>
      <c r="H2904">
        <v>-439755763</v>
      </c>
      <c r="I2904">
        <v>34673460</v>
      </c>
      <c r="J2904">
        <v>110035971</v>
      </c>
      <c r="K2904">
        <v>150005377</v>
      </c>
      <c r="L2904">
        <v>138680615</v>
      </c>
      <c r="M2904">
        <v>129148378</v>
      </c>
      <c r="N2904">
        <v>119105320</v>
      </c>
      <c r="O2904">
        <v>113237402</v>
      </c>
      <c r="P2904">
        <v>51</v>
      </c>
      <c r="Q2904" t="s">
        <v>6145</v>
      </c>
    </row>
    <row r="2905" spans="1:17" x14ac:dyDescent="0.3">
      <c r="A2905" t="s">
        <v>4664</v>
      </c>
      <c r="B2905" t="str">
        <f>"002221"</f>
        <v>002221</v>
      </c>
      <c r="C2905" t="s">
        <v>6146</v>
      </c>
      <c r="D2905" t="s">
        <v>1615</v>
      </c>
      <c r="F2905">
        <v>958355740</v>
      </c>
      <c r="G2905">
        <v>1029459307</v>
      </c>
      <c r="H2905">
        <v>1010483128</v>
      </c>
      <c r="I2905">
        <v>902582539</v>
      </c>
      <c r="J2905">
        <v>815124699</v>
      </c>
      <c r="K2905">
        <v>364837677</v>
      </c>
      <c r="L2905">
        <v>139193181</v>
      </c>
      <c r="M2905">
        <v>45630062</v>
      </c>
      <c r="N2905">
        <v>34292349</v>
      </c>
      <c r="O2905">
        <v>30655189</v>
      </c>
      <c r="P2905">
        <v>390</v>
      </c>
      <c r="Q2905" t="s">
        <v>6147</v>
      </c>
    </row>
    <row r="2906" spans="1:17" x14ac:dyDescent="0.3">
      <c r="A2906" t="s">
        <v>4664</v>
      </c>
      <c r="B2906" t="str">
        <f>"002222"</f>
        <v>002222</v>
      </c>
      <c r="C2906" t="s">
        <v>6148</v>
      </c>
      <c r="D2906" t="s">
        <v>164</v>
      </c>
      <c r="F2906">
        <v>160680247</v>
      </c>
      <c r="G2906">
        <v>122258208</v>
      </c>
      <c r="H2906">
        <v>110511819</v>
      </c>
      <c r="I2906">
        <v>131035937</v>
      </c>
      <c r="J2906">
        <v>105449040</v>
      </c>
      <c r="K2906">
        <v>52200629</v>
      </c>
      <c r="L2906">
        <v>35050259</v>
      </c>
      <c r="M2906">
        <v>-21871283</v>
      </c>
      <c r="N2906">
        <v>34145258</v>
      </c>
      <c r="O2906">
        <v>35487649</v>
      </c>
      <c r="P2906">
        <v>517</v>
      </c>
      <c r="Q2906" t="s">
        <v>6149</v>
      </c>
    </row>
    <row r="2907" spans="1:17" x14ac:dyDescent="0.3">
      <c r="A2907" t="s">
        <v>4664</v>
      </c>
      <c r="B2907" t="str">
        <f>"002223"</f>
        <v>002223</v>
      </c>
      <c r="C2907" t="s">
        <v>6150</v>
      </c>
      <c r="D2907" t="s">
        <v>122</v>
      </c>
      <c r="F2907">
        <v>1351595681</v>
      </c>
      <c r="G2907">
        <v>1510192492</v>
      </c>
      <c r="H2907">
        <v>712902684</v>
      </c>
      <c r="I2907">
        <v>628071830</v>
      </c>
      <c r="J2907">
        <v>527537420</v>
      </c>
      <c r="K2907">
        <v>432012155</v>
      </c>
      <c r="L2907">
        <v>332035296</v>
      </c>
      <c r="M2907">
        <v>252350192</v>
      </c>
      <c r="N2907">
        <v>210057988</v>
      </c>
      <c r="O2907">
        <v>188862104</v>
      </c>
      <c r="P2907">
        <v>17494</v>
      </c>
      <c r="Q2907" t="s">
        <v>6151</v>
      </c>
    </row>
    <row r="2908" spans="1:17" x14ac:dyDescent="0.3">
      <c r="A2908" t="s">
        <v>4664</v>
      </c>
      <c r="B2908" t="str">
        <f>"002224"</f>
        <v>002224</v>
      </c>
      <c r="C2908" t="s">
        <v>6152</v>
      </c>
      <c r="D2908" t="s">
        <v>2460</v>
      </c>
      <c r="F2908">
        <v>113356691</v>
      </c>
      <c r="G2908">
        <v>125034307</v>
      </c>
      <c r="H2908">
        <v>100489976</v>
      </c>
      <c r="I2908">
        <v>92886003</v>
      </c>
      <c r="J2908">
        <v>125049665</v>
      </c>
      <c r="K2908">
        <v>154350462</v>
      </c>
      <c r="L2908">
        <v>182697009</v>
      </c>
      <c r="M2908">
        <v>134309987</v>
      </c>
      <c r="N2908">
        <v>103259396</v>
      </c>
      <c r="O2908">
        <v>54259808</v>
      </c>
      <c r="P2908">
        <v>186</v>
      </c>
      <c r="Q2908" t="s">
        <v>6153</v>
      </c>
    </row>
    <row r="2909" spans="1:17" x14ac:dyDescent="0.3">
      <c r="A2909" t="s">
        <v>4664</v>
      </c>
      <c r="B2909" t="str">
        <f>"002225"</f>
        <v>002225</v>
      </c>
      <c r="C2909" t="s">
        <v>6154</v>
      </c>
      <c r="D2909" t="s">
        <v>5835</v>
      </c>
      <c r="F2909">
        <v>155620112</v>
      </c>
      <c r="G2909">
        <v>244949780</v>
      </c>
      <c r="H2909">
        <v>203352591</v>
      </c>
      <c r="I2909">
        <v>172149092</v>
      </c>
      <c r="J2909">
        <v>41195894</v>
      </c>
      <c r="K2909">
        <v>63783544</v>
      </c>
      <c r="L2909">
        <v>124845457</v>
      </c>
      <c r="M2909">
        <v>120414214</v>
      </c>
      <c r="N2909">
        <v>85112865</v>
      </c>
      <c r="O2909">
        <v>65819620</v>
      </c>
      <c r="P2909">
        <v>142</v>
      </c>
      <c r="Q2909" t="s">
        <v>6155</v>
      </c>
    </row>
    <row r="2910" spans="1:17" x14ac:dyDescent="0.3">
      <c r="A2910" t="s">
        <v>4664</v>
      </c>
      <c r="B2910" t="str">
        <f>"002226"</f>
        <v>002226</v>
      </c>
      <c r="C2910" t="s">
        <v>6156</v>
      </c>
      <c r="D2910" t="s">
        <v>2713</v>
      </c>
      <c r="F2910">
        <v>521463340</v>
      </c>
      <c r="G2910">
        <v>395055305</v>
      </c>
      <c r="H2910">
        <v>362359446</v>
      </c>
      <c r="I2910">
        <v>213887431</v>
      </c>
      <c r="J2910">
        <v>91729109</v>
      </c>
      <c r="K2910">
        <v>63258306</v>
      </c>
      <c r="L2910">
        <v>47854033</v>
      </c>
      <c r="M2910">
        <v>158723987</v>
      </c>
      <c r="N2910">
        <v>196003980</v>
      </c>
      <c r="O2910">
        <v>180824104</v>
      </c>
      <c r="P2910">
        <v>172</v>
      </c>
      <c r="Q2910" t="s">
        <v>6157</v>
      </c>
    </row>
    <row r="2911" spans="1:17" x14ac:dyDescent="0.3">
      <c r="A2911" t="s">
        <v>4664</v>
      </c>
      <c r="B2911" t="str">
        <f>"002227"</f>
        <v>002227</v>
      </c>
      <c r="C2911" t="s">
        <v>6158</v>
      </c>
      <c r="D2911" t="s">
        <v>470</v>
      </c>
      <c r="F2911">
        <v>-13404836</v>
      </c>
      <c r="G2911">
        <v>-19551631</v>
      </c>
      <c r="H2911">
        <v>-7193731</v>
      </c>
      <c r="I2911">
        <v>-9868513</v>
      </c>
      <c r="J2911">
        <v>1678590</v>
      </c>
      <c r="K2911">
        <v>-8367082</v>
      </c>
      <c r="L2911">
        <v>-4941208</v>
      </c>
      <c r="M2911">
        <v>17724154</v>
      </c>
      <c r="N2911">
        <v>13554927</v>
      </c>
      <c r="O2911">
        <v>7565856</v>
      </c>
      <c r="P2911">
        <v>162</v>
      </c>
      <c r="Q2911" t="s">
        <v>6159</v>
      </c>
    </row>
    <row r="2912" spans="1:17" x14ac:dyDescent="0.3">
      <c r="A2912" t="s">
        <v>4664</v>
      </c>
      <c r="B2912" t="str">
        <f>"002228"</f>
        <v>002228</v>
      </c>
      <c r="C2912" t="s">
        <v>6160</v>
      </c>
      <c r="D2912" t="s">
        <v>2156</v>
      </c>
      <c r="F2912">
        <v>204738358</v>
      </c>
      <c r="G2912">
        <v>217786624</v>
      </c>
      <c r="H2912">
        <v>194463481</v>
      </c>
      <c r="I2912">
        <v>482346167</v>
      </c>
      <c r="J2912">
        <v>103071684</v>
      </c>
      <c r="K2912">
        <v>70001721</v>
      </c>
      <c r="L2912">
        <v>93030003</v>
      </c>
      <c r="M2912">
        <v>90645722</v>
      </c>
      <c r="N2912">
        <v>66563157</v>
      </c>
      <c r="O2912">
        <v>41208726</v>
      </c>
      <c r="P2912">
        <v>290</v>
      </c>
      <c r="Q2912" t="s">
        <v>6161</v>
      </c>
    </row>
    <row r="2913" spans="1:17" x14ac:dyDescent="0.3">
      <c r="A2913" t="s">
        <v>4664</v>
      </c>
      <c r="B2913" t="str">
        <f>"002229"</f>
        <v>002229</v>
      </c>
      <c r="C2913" t="s">
        <v>6162</v>
      </c>
      <c r="D2913" t="s">
        <v>1692</v>
      </c>
      <c r="F2913">
        <v>10605965</v>
      </c>
      <c r="G2913">
        <v>29655101</v>
      </c>
      <c r="H2913">
        <v>-4018998</v>
      </c>
      <c r="I2913">
        <v>-5344430</v>
      </c>
      <c r="J2913">
        <v>-11359214</v>
      </c>
      <c r="K2913">
        <v>-12029660</v>
      </c>
      <c r="L2913">
        <v>-11395830</v>
      </c>
      <c r="M2913">
        <v>21032634</v>
      </c>
      <c r="N2913">
        <v>36382230</v>
      </c>
      <c r="O2913">
        <v>33516342</v>
      </c>
      <c r="P2913">
        <v>118</v>
      </c>
      <c r="Q2913" t="s">
        <v>6163</v>
      </c>
    </row>
    <row r="2914" spans="1:17" x14ac:dyDescent="0.3">
      <c r="A2914" t="s">
        <v>4664</v>
      </c>
      <c r="B2914" t="str">
        <f>"002230"</f>
        <v>002230</v>
      </c>
      <c r="C2914" t="s">
        <v>6164</v>
      </c>
      <c r="D2914" t="s">
        <v>1189</v>
      </c>
      <c r="F2914">
        <v>728765413</v>
      </c>
      <c r="G2914">
        <v>554260019</v>
      </c>
      <c r="H2914">
        <v>373585128</v>
      </c>
      <c r="I2914">
        <v>219103403</v>
      </c>
      <c r="J2914">
        <v>168618839</v>
      </c>
      <c r="K2914">
        <v>278475158</v>
      </c>
      <c r="L2914">
        <v>223648016</v>
      </c>
      <c r="M2914">
        <v>198083917</v>
      </c>
      <c r="N2914">
        <v>140269517</v>
      </c>
      <c r="O2914">
        <v>99665068</v>
      </c>
      <c r="P2914">
        <v>3020</v>
      </c>
      <c r="Q2914" t="s">
        <v>6165</v>
      </c>
    </row>
    <row r="2915" spans="1:17" x14ac:dyDescent="0.3">
      <c r="A2915" t="s">
        <v>4664</v>
      </c>
      <c r="B2915" t="str">
        <f>"002231"</f>
        <v>002231</v>
      </c>
      <c r="C2915" t="s">
        <v>6166</v>
      </c>
      <c r="D2915" t="s">
        <v>1136</v>
      </c>
      <c r="F2915">
        <v>14842024</v>
      </c>
      <c r="G2915">
        <v>-11444780</v>
      </c>
      <c r="H2915">
        <v>409435</v>
      </c>
      <c r="I2915">
        <v>-4692850</v>
      </c>
      <c r="J2915">
        <v>-6368228</v>
      </c>
      <c r="K2915">
        <v>-20576437</v>
      </c>
      <c r="L2915">
        <v>-4770047</v>
      </c>
      <c r="M2915">
        <v>-13769623</v>
      </c>
      <c r="N2915">
        <v>-14920359</v>
      </c>
      <c r="O2915">
        <v>24598095</v>
      </c>
      <c r="P2915">
        <v>155</v>
      </c>
      <c r="Q2915" t="s">
        <v>6167</v>
      </c>
    </row>
    <row r="2916" spans="1:17" x14ac:dyDescent="0.3">
      <c r="A2916" t="s">
        <v>4664</v>
      </c>
      <c r="B2916" t="str">
        <f>"002232"</f>
        <v>002232</v>
      </c>
      <c r="C2916" t="s">
        <v>6168</v>
      </c>
      <c r="D2916" t="s">
        <v>316</v>
      </c>
      <c r="F2916">
        <v>44480855</v>
      </c>
      <c r="G2916">
        <v>88465259</v>
      </c>
      <c r="H2916">
        <v>41938024</v>
      </c>
      <c r="I2916">
        <v>40149221</v>
      </c>
      <c r="J2916">
        <v>19199809</v>
      </c>
      <c r="K2916">
        <v>466940</v>
      </c>
      <c r="L2916">
        <v>-9053933</v>
      </c>
      <c r="M2916">
        <v>3459783</v>
      </c>
      <c r="N2916">
        <v>3492007</v>
      </c>
      <c r="O2916">
        <v>65259710</v>
      </c>
      <c r="P2916">
        <v>247</v>
      </c>
      <c r="Q2916" t="s">
        <v>6169</v>
      </c>
    </row>
    <row r="2917" spans="1:17" x14ac:dyDescent="0.3">
      <c r="A2917" t="s">
        <v>4664</v>
      </c>
      <c r="B2917" t="str">
        <f>"002233"</f>
        <v>002233</v>
      </c>
      <c r="C2917" t="s">
        <v>6170</v>
      </c>
      <c r="D2917" t="s">
        <v>731</v>
      </c>
      <c r="F2917">
        <v>1312378760</v>
      </c>
      <c r="G2917">
        <v>1377750624</v>
      </c>
      <c r="H2917">
        <v>1053190087</v>
      </c>
      <c r="I2917">
        <v>1248529523</v>
      </c>
      <c r="J2917">
        <v>504692843</v>
      </c>
      <c r="K2917">
        <v>227199783</v>
      </c>
      <c r="L2917">
        <v>209145816</v>
      </c>
      <c r="M2917">
        <v>493691173</v>
      </c>
      <c r="N2917">
        <v>183841339</v>
      </c>
      <c r="O2917">
        <v>123443471</v>
      </c>
      <c r="P2917">
        <v>1388</v>
      </c>
      <c r="Q2917" t="s">
        <v>6171</v>
      </c>
    </row>
    <row r="2918" spans="1:17" x14ac:dyDescent="0.3">
      <c r="A2918" t="s">
        <v>4664</v>
      </c>
      <c r="B2918" t="str">
        <f>"002234"</f>
        <v>002234</v>
      </c>
      <c r="C2918" t="s">
        <v>6172</v>
      </c>
      <c r="D2918" t="s">
        <v>6173</v>
      </c>
      <c r="F2918">
        <v>166402869</v>
      </c>
      <c r="G2918">
        <v>78716188</v>
      </c>
      <c r="H2918">
        <v>1252325494</v>
      </c>
      <c r="I2918">
        <v>139033203</v>
      </c>
      <c r="J2918">
        <v>-289474889</v>
      </c>
      <c r="K2918">
        <v>249964184</v>
      </c>
      <c r="L2918">
        <v>-216481652</v>
      </c>
      <c r="M2918">
        <v>55031802</v>
      </c>
      <c r="N2918">
        <v>-136511710</v>
      </c>
      <c r="O2918">
        <v>-49615268</v>
      </c>
      <c r="P2918">
        <v>577</v>
      </c>
      <c r="Q2918" t="s">
        <v>6174</v>
      </c>
    </row>
    <row r="2919" spans="1:17" x14ac:dyDescent="0.3">
      <c r="A2919" t="s">
        <v>4664</v>
      </c>
      <c r="B2919" t="str">
        <f>"002235"</f>
        <v>002235</v>
      </c>
      <c r="C2919" t="s">
        <v>6175</v>
      </c>
      <c r="D2919" t="s">
        <v>244</v>
      </c>
      <c r="F2919">
        <v>16817541</v>
      </c>
      <c r="G2919">
        <v>-89422008</v>
      </c>
      <c r="H2919">
        <v>87012879</v>
      </c>
      <c r="I2919">
        <v>66906839</v>
      </c>
      <c r="J2919">
        <v>63204478</v>
      </c>
      <c r="K2919">
        <v>11020833</v>
      </c>
      <c r="L2919">
        <v>8506495</v>
      </c>
      <c r="M2919">
        <v>2111289</v>
      </c>
      <c r="N2919">
        <v>9322188</v>
      </c>
      <c r="O2919">
        <v>13169340</v>
      </c>
      <c r="P2919">
        <v>142</v>
      </c>
      <c r="Q2919" t="s">
        <v>6176</v>
      </c>
    </row>
    <row r="2920" spans="1:17" x14ac:dyDescent="0.3">
      <c r="A2920" t="s">
        <v>4664</v>
      </c>
      <c r="B2920" t="str">
        <f>"002236"</f>
        <v>002236</v>
      </c>
      <c r="C2920" t="s">
        <v>6177</v>
      </c>
      <c r="D2920" t="s">
        <v>2953</v>
      </c>
      <c r="F2920">
        <v>2399047216</v>
      </c>
      <c r="G2920">
        <v>2825124364</v>
      </c>
      <c r="H2920">
        <v>1877352424</v>
      </c>
      <c r="I2920">
        <v>1563681388</v>
      </c>
      <c r="J2920">
        <v>1444493831</v>
      </c>
      <c r="K2920">
        <v>1069555717</v>
      </c>
      <c r="L2920">
        <v>761185688</v>
      </c>
      <c r="M2920">
        <v>724596499</v>
      </c>
      <c r="N2920">
        <v>615966667</v>
      </c>
      <c r="O2920">
        <v>377997723</v>
      </c>
      <c r="P2920">
        <v>32899</v>
      </c>
      <c r="Q2920" t="s">
        <v>6178</v>
      </c>
    </row>
    <row r="2921" spans="1:17" x14ac:dyDescent="0.3">
      <c r="A2921" t="s">
        <v>4664</v>
      </c>
      <c r="B2921" t="str">
        <f>"002237"</f>
        <v>002237</v>
      </c>
      <c r="C2921" t="s">
        <v>6179</v>
      </c>
      <c r="D2921" t="s">
        <v>701</v>
      </c>
      <c r="F2921">
        <v>348978052</v>
      </c>
      <c r="G2921">
        <v>217303314</v>
      </c>
      <c r="H2921">
        <v>253816720</v>
      </c>
      <c r="I2921">
        <v>293346293</v>
      </c>
      <c r="J2921">
        <v>302465834</v>
      </c>
      <c r="K2921">
        <v>194799766</v>
      </c>
      <c r="L2921">
        <v>167477978</v>
      </c>
      <c r="M2921">
        <v>234820020</v>
      </c>
      <c r="N2921">
        <v>189368829</v>
      </c>
      <c r="O2921">
        <v>221402307</v>
      </c>
      <c r="P2921">
        <v>193</v>
      </c>
      <c r="Q2921" t="s">
        <v>6180</v>
      </c>
    </row>
    <row r="2922" spans="1:17" x14ac:dyDescent="0.3">
      <c r="A2922" t="s">
        <v>4664</v>
      </c>
      <c r="B2922" t="str">
        <f>"002238"</f>
        <v>002238</v>
      </c>
      <c r="C2922" t="s">
        <v>6181</v>
      </c>
      <c r="D2922" t="s">
        <v>95</v>
      </c>
      <c r="F2922">
        <v>91870857</v>
      </c>
      <c r="G2922">
        <v>128288603</v>
      </c>
      <c r="H2922">
        <v>160456484</v>
      </c>
      <c r="I2922">
        <v>150673788</v>
      </c>
      <c r="J2922">
        <v>187368733</v>
      </c>
      <c r="K2922">
        <v>231371041</v>
      </c>
      <c r="L2922">
        <v>202050478</v>
      </c>
      <c r="M2922">
        <v>114564678</v>
      </c>
      <c r="N2922">
        <v>109548358</v>
      </c>
      <c r="O2922">
        <v>96300695</v>
      </c>
      <c r="P2922">
        <v>205</v>
      </c>
      <c r="Q2922" t="s">
        <v>6182</v>
      </c>
    </row>
    <row r="2923" spans="1:17" x14ac:dyDescent="0.3">
      <c r="A2923" t="s">
        <v>4664</v>
      </c>
      <c r="B2923" t="str">
        <f>"002239"</f>
        <v>002239</v>
      </c>
      <c r="C2923" t="s">
        <v>6183</v>
      </c>
      <c r="D2923" t="s">
        <v>1415</v>
      </c>
      <c r="F2923">
        <v>27992151</v>
      </c>
      <c r="G2923">
        <v>-46283813</v>
      </c>
      <c r="H2923">
        <v>24343625</v>
      </c>
      <c r="I2923">
        <v>426725391</v>
      </c>
      <c r="J2923">
        <v>250319912</v>
      </c>
      <c r="K2923">
        <v>270649953</v>
      </c>
      <c r="L2923">
        <v>121651311</v>
      </c>
      <c r="M2923">
        <v>7720547</v>
      </c>
      <c r="N2923">
        <v>98066440</v>
      </c>
      <c r="O2923">
        <v>8246505</v>
      </c>
      <c r="P2923">
        <v>242</v>
      </c>
      <c r="Q2923" t="s">
        <v>6184</v>
      </c>
    </row>
    <row r="2924" spans="1:17" x14ac:dyDescent="0.3">
      <c r="A2924" t="s">
        <v>4664</v>
      </c>
      <c r="B2924" t="str">
        <f>"002240"</f>
        <v>002240</v>
      </c>
      <c r="C2924" t="s">
        <v>6185</v>
      </c>
      <c r="D2924" t="s">
        <v>5300</v>
      </c>
      <c r="F2924">
        <v>538360935</v>
      </c>
      <c r="G2924">
        <v>50540323</v>
      </c>
      <c r="H2924">
        <v>80571744</v>
      </c>
      <c r="I2924">
        <v>125066518</v>
      </c>
      <c r="J2924">
        <v>18513001</v>
      </c>
      <c r="K2924">
        <v>-58122100</v>
      </c>
      <c r="L2924">
        <v>-46724934</v>
      </c>
      <c r="M2924">
        <v>7237400</v>
      </c>
      <c r="N2924">
        <v>3671103</v>
      </c>
      <c r="O2924">
        <v>-82488209</v>
      </c>
      <c r="P2924">
        <v>389</v>
      </c>
      <c r="Q2924" t="s">
        <v>6186</v>
      </c>
    </row>
    <row r="2925" spans="1:17" x14ac:dyDescent="0.3">
      <c r="A2925" t="s">
        <v>4664</v>
      </c>
      <c r="B2925" t="str">
        <f>"002241"</f>
        <v>002241</v>
      </c>
      <c r="C2925" t="s">
        <v>6187</v>
      </c>
      <c r="D2925" t="s">
        <v>313</v>
      </c>
      <c r="F2925">
        <v>3332523963</v>
      </c>
      <c r="G2925">
        <v>2016340691</v>
      </c>
      <c r="H2925">
        <v>984992924</v>
      </c>
      <c r="I2925">
        <v>856198277</v>
      </c>
      <c r="J2925">
        <v>1385338757</v>
      </c>
      <c r="K2925">
        <v>1036440812</v>
      </c>
      <c r="L2925">
        <v>854197671</v>
      </c>
      <c r="M2925">
        <v>1072807581</v>
      </c>
      <c r="N2925">
        <v>839181310</v>
      </c>
      <c r="O2925">
        <v>578723053</v>
      </c>
      <c r="P2925">
        <v>3528</v>
      </c>
      <c r="Q2925" t="s">
        <v>6188</v>
      </c>
    </row>
    <row r="2926" spans="1:17" x14ac:dyDescent="0.3">
      <c r="A2926" t="s">
        <v>4664</v>
      </c>
      <c r="B2926" t="str">
        <f>"002242"</f>
        <v>002242</v>
      </c>
      <c r="C2926" t="s">
        <v>6189</v>
      </c>
      <c r="D2926" t="s">
        <v>5712</v>
      </c>
      <c r="F2926">
        <v>663158913</v>
      </c>
      <c r="G2926">
        <v>643988210</v>
      </c>
      <c r="H2926">
        <v>617827914</v>
      </c>
      <c r="I2926">
        <v>569207402</v>
      </c>
      <c r="J2926">
        <v>538608899</v>
      </c>
      <c r="K2926">
        <v>546163676</v>
      </c>
      <c r="L2926">
        <v>504944479</v>
      </c>
      <c r="M2926">
        <v>436945031</v>
      </c>
      <c r="N2926">
        <v>407744502</v>
      </c>
      <c r="O2926">
        <v>402342947</v>
      </c>
      <c r="P2926">
        <v>54902</v>
      </c>
      <c r="Q2926" t="s">
        <v>6190</v>
      </c>
    </row>
    <row r="2927" spans="1:17" x14ac:dyDescent="0.3">
      <c r="A2927" t="s">
        <v>4664</v>
      </c>
      <c r="B2927" t="str">
        <f>"002243"</f>
        <v>002243</v>
      </c>
      <c r="C2927" t="s">
        <v>6191</v>
      </c>
      <c r="D2927" t="s">
        <v>5892</v>
      </c>
      <c r="F2927">
        <v>369624064</v>
      </c>
      <c r="G2927">
        <v>290873111</v>
      </c>
      <c r="H2927">
        <v>91783236</v>
      </c>
      <c r="I2927">
        <v>54292818</v>
      </c>
      <c r="J2927">
        <v>34523433</v>
      </c>
      <c r="K2927">
        <v>17441565</v>
      </c>
      <c r="L2927">
        <v>-2685206</v>
      </c>
      <c r="M2927">
        <v>-6551086</v>
      </c>
      <c r="N2927">
        <v>55235501</v>
      </c>
      <c r="O2927">
        <v>54966624</v>
      </c>
      <c r="P2927">
        <v>155</v>
      </c>
      <c r="Q2927" t="s">
        <v>6192</v>
      </c>
    </row>
    <row r="2928" spans="1:17" x14ac:dyDescent="0.3">
      <c r="A2928" t="s">
        <v>4664</v>
      </c>
      <c r="B2928" t="str">
        <f>"002244"</f>
        <v>002244</v>
      </c>
      <c r="C2928" t="s">
        <v>6193</v>
      </c>
      <c r="D2928" t="s">
        <v>104</v>
      </c>
      <c r="F2928">
        <v>1324911209</v>
      </c>
      <c r="G2928">
        <v>888715702</v>
      </c>
      <c r="H2928">
        <v>861486030</v>
      </c>
      <c r="I2928">
        <v>707111344</v>
      </c>
      <c r="J2928">
        <v>1101930114</v>
      </c>
      <c r="K2928">
        <v>1016278448</v>
      </c>
      <c r="L2928">
        <v>684807769</v>
      </c>
      <c r="M2928">
        <v>569253915</v>
      </c>
      <c r="N2928">
        <v>1191712806</v>
      </c>
      <c r="O2928">
        <v>369378125</v>
      </c>
      <c r="P2928">
        <v>403</v>
      </c>
      <c r="Q2928" t="s">
        <v>6194</v>
      </c>
    </row>
    <row r="2929" spans="1:17" x14ac:dyDescent="0.3">
      <c r="A2929" t="s">
        <v>4664</v>
      </c>
      <c r="B2929" t="str">
        <f>"002245"</f>
        <v>002245</v>
      </c>
      <c r="C2929" t="s">
        <v>6195</v>
      </c>
      <c r="D2929" t="s">
        <v>359</v>
      </c>
      <c r="F2929">
        <v>505121707</v>
      </c>
      <c r="G2929">
        <v>175784939</v>
      </c>
      <c r="H2929">
        <v>95912630</v>
      </c>
      <c r="I2929">
        <v>221488621</v>
      </c>
      <c r="J2929">
        <v>256932253</v>
      </c>
      <c r="K2929">
        <v>154064665</v>
      </c>
      <c r="L2929">
        <v>180678232</v>
      </c>
      <c r="M2929">
        <v>119727881</v>
      </c>
      <c r="N2929">
        <v>70514534</v>
      </c>
      <c r="O2929">
        <v>84086235</v>
      </c>
      <c r="P2929">
        <v>377</v>
      </c>
      <c r="Q2929" t="s">
        <v>6196</v>
      </c>
    </row>
    <row r="2930" spans="1:17" x14ac:dyDescent="0.3">
      <c r="A2930" t="s">
        <v>4664</v>
      </c>
      <c r="B2930" t="str">
        <f>"002246"</f>
        <v>002246</v>
      </c>
      <c r="C2930" t="s">
        <v>6197</v>
      </c>
      <c r="D2930" t="s">
        <v>2713</v>
      </c>
      <c r="F2930">
        <v>74974056</v>
      </c>
      <c r="G2930">
        <v>69521857</v>
      </c>
      <c r="H2930">
        <v>108176715</v>
      </c>
      <c r="I2930">
        <v>75069617</v>
      </c>
      <c r="J2930">
        <v>66906613</v>
      </c>
      <c r="K2930">
        <v>68783993</v>
      </c>
      <c r="L2930">
        <v>39556615</v>
      </c>
      <c r="M2930">
        <v>47971065</v>
      </c>
      <c r="N2930">
        <v>25733173</v>
      </c>
      <c r="O2930">
        <v>7967176</v>
      </c>
      <c r="P2930">
        <v>117</v>
      </c>
      <c r="Q2930" t="s">
        <v>6198</v>
      </c>
    </row>
    <row r="2931" spans="1:17" x14ac:dyDescent="0.3">
      <c r="A2931" t="s">
        <v>4664</v>
      </c>
      <c r="B2931" t="str">
        <f>"002247"</f>
        <v>002247</v>
      </c>
      <c r="C2931" t="s">
        <v>6199</v>
      </c>
      <c r="D2931" t="s">
        <v>207</v>
      </c>
      <c r="F2931">
        <v>67216740</v>
      </c>
      <c r="G2931">
        <v>165378569</v>
      </c>
      <c r="H2931">
        <v>-7292224</v>
      </c>
      <c r="I2931">
        <v>350092305</v>
      </c>
      <c r="J2931">
        <v>338438322</v>
      </c>
      <c r="K2931">
        <v>257781104</v>
      </c>
      <c r="L2931">
        <v>68324580</v>
      </c>
      <c r="M2931">
        <v>64545707</v>
      </c>
      <c r="N2931">
        <v>54416812</v>
      </c>
      <c r="O2931">
        <v>39640650</v>
      </c>
      <c r="P2931">
        <v>90</v>
      </c>
      <c r="Q2931" t="s">
        <v>6200</v>
      </c>
    </row>
    <row r="2932" spans="1:17" x14ac:dyDescent="0.3">
      <c r="A2932" t="s">
        <v>4664</v>
      </c>
      <c r="B2932" t="str">
        <f>"002248"</f>
        <v>002248</v>
      </c>
      <c r="C2932" t="s">
        <v>6201</v>
      </c>
      <c r="D2932" t="s">
        <v>2312</v>
      </c>
      <c r="F2932">
        <v>9177036</v>
      </c>
      <c r="G2932">
        <v>-74193857</v>
      </c>
      <c r="H2932">
        <v>9085111</v>
      </c>
      <c r="I2932">
        <v>-168560936</v>
      </c>
      <c r="J2932">
        <v>-162418720</v>
      </c>
      <c r="K2932">
        <v>-115698724</v>
      </c>
      <c r="L2932">
        <v>-114843056</v>
      </c>
      <c r="M2932">
        <v>-73271526</v>
      </c>
      <c r="N2932">
        <v>-56102269</v>
      </c>
      <c r="O2932">
        <v>-28879882</v>
      </c>
      <c r="P2932">
        <v>109</v>
      </c>
      <c r="Q2932" t="s">
        <v>6202</v>
      </c>
    </row>
    <row r="2933" spans="1:17" x14ac:dyDescent="0.3">
      <c r="A2933" t="s">
        <v>4664</v>
      </c>
      <c r="B2933" t="str">
        <f>"002249"</f>
        <v>002249</v>
      </c>
      <c r="C2933" t="s">
        <v>6203</v>
      </c>
      <c r="D2933" t="s">
        <v>1171</v>
      </c>
      <c r="F2933">
        <v>373086094</v>
      </c>
      <c r="G2933">
        <v>198025192</v>
      </c>
      <c r="H2933">
        <v>264649411</v>
      </c>
      <c r="I2933">
        <v>144638578</v>
      </c>
      <c r="J2933">
        <v>213161775</v>
      </c>
      <c r="K2933">
        <v>299286187</v>
      </c>
      <c r="L2933">
        <v>217355006</v>
      </c>
      <c r="M2933">
        <v>201998270</v>
      </c>
      <c r="N2933">
        <v>149706035</v>
      </c>
      <c r="O2933">
        <v>124153761</v>
      </c>
      <c r="P2933">
        <v>338</v>
      </c>
      <c r="Q2933" t="s">
        <v>6204</v>
      </c>
    </row>
    <row r="2934" spans="1:17" x14ac:dyDescent="0.3">
      <c r="A2934" t="s">
        <v>4664</v>
      </c>
      <c r="B2934" t="str">
        <f>"002250"</f>
        <v>002250</v>
      </c>
      <c r="C2934" t="s">
        <v>6205</v>
      </c>
      <c r="D2934" t="s">
        <v>853</v>
      </c>
      <c r="F2934">
        <v>277503785</v>
      </c>
      <c r="G2934">
        <v>221718911</v>
      </c>
      <c r="H2934">
        <v>293156172</v>
      </c>
      <c r="I2934">
        <v>-12967298</v>
      </c>
      <c r="J2934">
        <v>170667768</v>
      </c>
      <c r="K2934">
        <v>239297576</v>
      </c>
      <c r="L2934">
        <v>432707065</v>
      </c>
      <c r="M2934">
        <v>368183927</v>
      </c>
      <c r="N2934">
        <v>295909182</v>
      </c>
      <c r="O2934">
        <v>249871488</v>
      </c>
      <c r="P2934">
        <v>348</v>
      </c>
      <c r="Q2934" t="s">
        <v>6206</v>
      </c>
    </row>
    <row r="2935" spans="1:17" x14ac:dyDescent="0.3">
      <c r="A2935" t="s">
        <v>4664</v>
      </c>
      <c r="B2935" t="str">
        <f>"002251"</f>
        <v>002251</v>
      </c>
      <c r="C2935" t="s">
        <v>6207</v>
      </c>
      <c r="D2935" t="s">
        <v>798</v>
      </c>
      <c r="F2935">
        <v>172373813</v>
      </c>
      <c r="G2935">
        <v>169374385</v>
      </c>
      <c r="H2935">
        <v>235567553</v>
      </c>
      <c r="I2935">
        <v>196751786</v>
      </c>
      <c r="J2935">
        <v>183639423</v>
      </c>
      <c r="K2935">
        <v>173996208</v>
      </c>
      <c r="L2935">
        <v>239218816</v>
      </c>
      <c r="M2935">
        <v>335729854</v>
      </c>
      <c r="N2935">
        <v>300518651</v>
      </c>
      <c r="O2935">
        <v>246839004</v>
      </c>
      <c r="P2935">
        <v>196</v>
      </c>
      <c r="Q2935" t="s">
        <v>6208</v>
      </c>
    </row>
    <row r="2936" spans="1:17" x14ac:dyDescent="0.3">
      <c r="A2936" t="s">
        <v>4664</v>
      </c>
      <c r="B2936" t="str">
        <f>"002252"</f>
        <v>002252</v>
      </c>
      <c r="C2936" t="s">
        <v>6209</v>
      </c>
      <c r="D2936" t="s">
        <v>378</v>
      </c>
      <c r="F2936">
        <v>1396174488</v>
      </c>
      <c r="G2936">
        <v>1095585063</v>
      </c>
      <c r="H2936">
        <v>605949573</v>
      </c>
      <c r="I2936">
        <v>-1292817219</v>
      </c>
      <c r="J2936">
        <v>940143971</v>
      </c>
      <c r="K2936">
        <v>1233459115</v>
      </c>
      <c r="L2936">
        <v>1167672703</v>
      </c>
      <c r="M2936">
        <v>319125708</v>
      </c>
      <c r="N2936">
        <v>148370906</v>
      </c>
      <c r="O2936">
        <v>142085518</v>
      </c>
      <c r="P2936">
        <v>602</v>
      </c>
      <c r="Q2936" t="s">
        <v>6210</v>
      </c>
    </row>
    <row r="2937" spans="1:17" x14ac:dyDescent="0.3">
      <c r="A2937" t="s">
        <v>4664</v>
      </c>
      <c r="B2937" t="str">
        <f>"002253"</f>
        <v>002253</v>
      </c>
      <c r="C2937" t="s">
        <v>6211</v>
      </c>
      <c r="D2937" t="s">
        <v>945</v>
      </c>
      <c r="F2937">
        <v>34063839</v>
      </c>
      <c r="G2937">
        <v>33816653</v>
      </c>
      <c r="H2937">
        <v>24960150</v>
      </c>
      <c r="I2937">
        <v>31298539</v>
      </c>
      <c r="J2937">
        <v>21062649</v>
      </c>
      <c r="K2937">
        <v>20675820</v>
      </c>
      <c r="L2937">
        <v>19508966</v>
      </c>
      <c r="M2937">
        <v>18403431</v>
      </c>
      <c r="N2937">
        <v>30177568</v>
      </c>
      <c r="O2937">
        <v>24717432</v>
      </c>
      <c r="P2937">
        <v>151</v>
      </c>
      <c r="Q2937" t="s">
        <v>6212</v>
      </c>
    </row>
    <row r="2938" spans="1:17" x14ac:dyDescent="0.3">
      <c r="A2938" t="s">
        <v>4664</v>
      </c>
      <c r="B2938" t="str">
        <f>"002254"</f>
        <v>002254</v>
      </c>
      <c r="C2938" t="s">
        <v>6213</v>
      </c>
      <c r="D2938" t="s">
        <v>5558</v>
      </c>
      <c r="F2938">
        <v>731264007</v>
      </c>
      <c r="G2938">
        <v>182373850</v>
      </c>
      <c r="H2938">
        <v>151018186</v>
      </c>
      <c r="I2938">
        <v>141237660</v>
      </c>
      <c r="J2938">
        <v>69286726</v>
      </c>
      <c r="K2938">
        <v>49154932</v>
      </c>
      <c r="L2938">
        <v>81715068</v>
      </c>
      <c r="M2938">
        <v>126434679</v>
      </c>
      <c r="N2938">
        <v>59740133</v>
      </c>
      <c r="O2938">
        <v>40320741</v>
      </c>
      <c r="P2938">
        <v>215</v>
      </c>
      <c r="Q2938" t="s">
        <v>6214</v>
      </c>
    </row>
    <row r="2939" spans="1:17" x14ac:dyDescent="0.3">
      <c r="A2939" t="s">
        <v>4664</v>
      </c>
      <c r="B2939" t="str">
        <f>"002255"</f>
        <v>002255</v>
      </c>
      <c r="C2939" t="s">
        <v>6215</v>
      </c>
      <c r="D2939" t="s">
        <v>470</v>
      </c>
      <c r="F2939">
        <v>271865671</v>
      </c>
      <c r="G2939">
        <v>666778663</v>
      </c>
      <c r="H2939">
        <v>70302792</v>
      </c>
      <c r="I2939">
        <v>125837690</v>
      </c>
      <c r="J2939">
        <v>72592333</v>
      </c>
      <c r="K2939">
        <v>51400801</v>
      </c>
      <c r="L2939">
        <v>66491105</v>
      </c>
      <c r="M2939">
        <v>50632963</v>
      </c>
      <c r="N2939">
        <v>93563481</v>
      </c>
      <c r="O2939">
        <v>113899000</v>
      </c>
      <c r="P2939">
        <v>107</v>
      </c>
      <c r="Q2939" t="s">
        <v>6216</v>
      </c>
    </row>
    <row r="2940" spans="1:17" x14ac:dyDescent="0.3">
      <c r="A2940" t="s">
        <v>4664</v>
      </c>
      <c r="B2940" t="str">
        <f>"002256"</f>
        <v>002256</v>
      </c>
      <c r="C2940" t="s">
        <v>6217</v>
      </c>
      <c r="D2940" t="s">
        <v>86</v>
      </c>
      <c r="F2940">
        <v>-308049421</v>
      </c>
      <c r="G2940">
        <v>-76565520</v>
      </c>
      <c r="H2940">
        <v>-29628607</v>
      </c>
      <c r="I2940">
        <v>84085423</v>
      </c>
      <c r="J2940">
        <v>91091656</v>
      </c>
      <c r="K2940">
        <v>90951386</v>
      </c>
      <c r="L2940">
        <v>42719483</v>
      </c>
      <c r="M2940">
        <v>50565418</v>
      </c>
      <c r="N2940">
        <v>56612485</v>
      </c>
      <c r="O2940">
        <v>4790901</v>
      </c>
      <c r="P2940">
        <v>151</v>
      </c>
      <c r="Q2940" t="s">
        <v>6218</v>
      </c>
    </row>
    <row r="2941" spans="1:17" x14ac:dyDescent="0.3">
      <c r="A2941" t="s">
        <v>4664</v>
      </c>
      <c r="B2941" t="str">
        <f>"002258"</f>
        <v>002258</v>
      </c>
      <c r="C2941" t="s">
        <v>6219</v>
      </c>
      <c r="D2941" t="s">
        <v>853</v>
      </c>
      <c r="F2941">
        <v>611644438</v>
      </c>
      <c r="G2941">
        <v>416738527</v>
      </c>
      <c r="H2941">
        <v>234386064</v>
      </c>
      <c r="I2941">
        <v>418707581</v>
      </c>
      <c r="J2941">
        <v>228924703</v>
      </c>
      <c r="K2941">
        <v>134937774</v>
      </c>
      <c r="L2941">
        <v>111133183</v>
      </c>
      <c r="M2941">
        <v>87961659</v>
      </c>
      <c r="N2941">
        <v>97936280</v>
      </c>
      <c r="O2941">
        <v>70031177</v>
      </c>
      <c r="P2941">
        <v>646</v>
      </c>
      <c r="Q2941" t="s">
        <v>6220</v>
      </c>
    </row>
    <row r="2942" spans="1:17" x14ac:dyDescent="0.3">
      <c r="A2942" t="s">
        <v>4664</v>
      </c>
      <c r="B2942" t="str">
        <f>"002259"</f>
        <v>002259</v>
      </c>
      <c r="C2942" t="s">
        <v>6221</v>
      </c>
      <c r="D2942" t="s">
        <v>749</v>
      </c>
      <c r="F2942">
        <v>39396109</v>
      </c>
      <c r="G2942">
        <v>6899461</v>
      </c>
      <c r="H2942">
        <v>-82179640</v>
      </c>
      <c r="I2942">
        <v>-40574191</v>
      </c>
      <c r="J2942">
        <v>12315955</v>
      </c>
      <c r="K2942">
        <v>9566915</v>
      </c>
      <c r="L2942">
        <v>9798778</v>
      </c>
      <c r="M2942">
        <v>9554623</v>
      </c>
      <c r="N2942">
        <v>7325809</v>
      </c>
      <c r="O2942">
        <v>6441660</v>
      </c>
      <c r="P2942">
        <v>59</v>
      </c>
      <c r="Q2942" t="s">
        <v>6222</v>
      </c>
    </row>
    <row r="2943" spans="1:17" x14ac:dyDescent="0.3">
      <c r="A2943" t="s">
        <v>4664</v>
      </c>
      <c r="B2943" t="str">
        <f>"002260"</f>
        <v>002260</v>
      </c>
      <c r="C2943" t="s">
        <v>6223</v>
      </c>
      <c r="D2943" t="s">
        <v>5712</v>
      </c>
      <c r="F2943">
        <v>-15773016</v>
      </c>
      <c r="G2943">
        <v>26043181</v>
      </c>
      <c r="H2943">
        <v>9056363</v>
      </c>
      <c r="I2943">
        <v>-64035642</v>
      </c>
      <c r="J2943">
        <v>-41571757</v>
      </c>
      <c r="K2943">
        <v>3160780</v>
      </c>
      <c r="L2943">
        <v>-8419633</v>
      </c>
      <c r="M2943">
        <v>9974728</v>
      </c>
      <c r="N2943">
        <v>9895335</v>
      </c>
      <c r="O2943">
        <v>7875953</v>
      </c>
      <c r="P2943">
        <v>57</v>
      </c>
      <c r="Q2943" t="s">
        <v>6224</v>
      </c>
    </row>
    <row r="2944" spans="1:17" x14ac:dyDescent="0.3">
      <c r="A2944" t="s">
        <v>4664</v>
      </c>
      <c r="B2944" t="str">
        <f>"002261"</f>
        <v>002261</v>
      </c>
      <c r="C2944" t="s">
        <v>6225</v>
      </c>
      <c r="D2944" t="s">
        <v>1285</v>
      </c>
      <c r="F2944">
        <v>87752363</v>
      </c>
      <c r="G2944">
        <v>65438993</v>
      </c>
      <c r="H2944">
        <v>62920902</v>
      </c>
      <c r="I2944">
        <v>50135001</v>
      </c>
      <c r="J2944">
        <v>151531075</v>
      </c>
      <c r="K2944">
        <v>163544631</v>
      </c>
      <c r="L2944">
        <v>140882296</v>
      </c>
      <c r="M2944">
        <v>55547918</v>
      </c>
      <c r="N2944">
        <v>28639728</v>
      </c>
      <c r="O2944">
        <v>33293456</v>
      </c>
      <c r="P2944">
        <v>299</v>
      </c>
      <c r="Q2944" t="s">
        <v>6226</v>
      </c>
    </row>
    <row r="2945" spans="1:17" x14ac:dyDescent="0.3">
      <c r="A2945" t="s">
        <v>4664</v>
      </c>
      <c r="B2945" t="str">
        <f>"002262"</f>
        <v>002262</v>
      </c>
      <c r="C2945" t="s">
        <v>6227</v>
      </c>
      <c r="D2945" t="s">
        <v>143</v>
      </c>
      <c r="F2945">
        <v>672911290</v>
      </c>
      <c r="G2945">
        <v>571422509</v>
      </c>
      <c r="H2945">
        <v>520747726</v>
      </c>
      <c r="I2945">
        <v>422198619</v>
      </c>
      <c r="J2945">
        <v>344590691</v>
      </c>
      <c r="K2945">
        <v>254168520</v>
      </c>
      <c r="L2945">
        <v>215884867</v>
      </c>
      <c r="M2945">
        <v>182347619</v>
      </c>
      <c r="N2945">
        <v>145737511</v>
      </c>
      <c r="O2945">
        <v>116213444</v>
      </c>
      <c r="P2945">
        <v>51364</v>
      </c>
      <c r="Q2945" t="s">
        <v>6228</v>
      </c>
    </row>
    <row r="2946" spans="1:17" x14ac:dyDescent="0.3">
      <c r="A2946" t="s">
        <v>4664</v>
      </c>
      <c r="B2946" t="str">
        <f>"002263"</f>
        <v>002263</v>
      </c>
      <c r="C2946" t="s">
        <v>6229</v>
      </c>
      <c r="D2946" t="s">
        <v>324</v>
      </c>
      <c r="F2946">
        <v>154957688</v>
      </c>
      <c r="G2946">
        <v>70326590</v>
      </c>
      <c r="H2946">
        <v>30795903</v>
      </c>
      <c r="I2946">
        <v>5060275</v>
      </c>
      <c r="J2946">
        <v>-14766415</v>
      </c>
      <c r="K2946">
        <v>-27149748</v>
      </c>
      <c r="L2946">
        <v>4452493</v>
      </c>
      <c r="M2946">
        <v>-19711409</v>
      </c>
      <c r="N2946">
        <v>-14592797</v>
      </c>
      <c r="O2946">
        <v>-9016285</v>
      </c>
      <c r="P2946">
        <v>126</v>
      </c>
      <c r="Q2946" t="s">
        <v>6230</v>
      </c>
    </row>
    <row r="2947" spans="1:17" x14ac:dyDescent="0.3">
      <c r="A2947" t="s">
        <v>4664</v>
      </c>
      <c r="B2947" t="str">
        <f>"002264"</f>
        <v>002264</v>
      </c>
      <c r="C2947" t="s">
        <v>6231</v>
      </c>
      <c r="D2947" t="s">
        <v>798</v>
      </c>
      <c r="F2947">
        <v>49362624</v>
      </c>
      <c r="G2947">
        <v>149974240</v>
      </c>
      <c r="H2947">
        <v>-201951365</v>
      </c>
      <c r="I2947">
        <v>15492398</v>
      </c>
      <c r="J2947">
        <v>1268737</v>
      </c>
      <c r="K2947">
        <v>211901083</v>
      </c>
      <c r="L2947">
        <v>-98376490</v>
      </c>
      <c r="M2947">
        <v>47727824</v>
      </c>
      <c r="N2947">
        <v>-49387386</v>
      </c>
      <c r="O2947">
        <v>117131330</v>
      </c>
      <c r="P2947">
        <v>96</v>
      </c>
      <c r="Q2947" t="s">
        <v>6232</v>
      </c>
    </row>
    <row r="2948" spans="1:17" x14ac:dyDescent="0.3">
      <c r="A2948" t="s">
        <v>4664</v>
      </c>
      <c r="B2948" t="str">
        <f>"002265"</f>
        <v>002265</v>
      </c>
      <c r="C2948" t="s">
        <v>6233</v>
      </c>
      <c r="D2948" t="s">
        <v>348</v>
      </c>
      <c r="F2948">
        <v>-8061999</v>
      </c>
      <c r="G2948">
        <v>-32393156</v>
      </c>
      <c r="H2948">
        <v>-22484640</v>
      </c>
      <c r="I2948">
        <v>1142945</v>
      </c>
      <c r="J2948">
        <v>18431417</v>
      </c>
      <c r="K2948">
        <v>3431008</v>
      </c>
      <c r="L2948">
        <v>-15592736</v>
      </c>
      <c r="M2948">
        <v>1276606</v>
      </c>
      <c r="N2948">
        <v>-4746416</v>
      </c>
      <c r="O2948">
        <v>-30306146</v>
      </c>
      <c r="P2948">
        <v>86</v>
      </c>
      <c r="Q2948" t="s">
        <v>6234</v>
      </c>
    </row>
    <row r="2949" spans="1:17" x14ac:dyDescent="0.3">
      <c r="A2949" t="s">
        <v>4664</v>
      </c>
      <c r="B2949" t="str">
        <f>"002266"</f>
        <v>002266</v>
      </c>
      <c r="C2949" t="s">
        <v>6235</v>
      </c>
      <c r="D2949" t="s">
        <v>499</v>
      </c>
      <c r="F2949">
        <v>1873982256</v>
      </c>
      <c r="G2949">
        <v>786821261</v>
      </c>
      <c r="H2949">
        <v>82219549</v>
      </c>
      <c r="I2949">
        <v>104597973</v>
      </c>
      <c r="J2949">
        <v>77230417</v>
      </c>
      <c r="K2949">
        <v>50452141</v>
      </c>
      <c r="L2949">
        <v>49875773</v>
      </c>
      <c r="M2949">
        <v>70039254</v>
      </c>
      <c r="N2949">
        <v>72729179</v>
      </c>
      <c r="O2949">
        <v>100599767</v>
      </c>
      <c r="P2949">
        <v>297</v>
      </c>
      <c r="Q2949" t="s">
        <v>6236</v>
      </c>
    </row>
    <row r="2950" spans="1:17" x14ac:dyDescent="0.3">
      <c r="A2950" t="s">
        <v>4664</v>
      </c>
      <c r="B2950" t="str">
        <f>"002267"</f>
        <v>002267</v>
      </c>
      <c r="C2950" t="s">
        <v>6237</v>
      </c>
      <c r="D2950" t="s">
        <v>749</v>
      </c>
      <c r="F2950">
        <v>360540173</v>
      </c>
      <c r="G2950">
        <v>202583756</v>
      </c>
      <c r="H2950">
        <v>238982532</v>
      </c>
      <c r="I2950">
        <v>348762734</v>
      </c>
      <c r="J2950">
        <v>259305252</v>
      </c>
      <c r="K2950">
        <v>413638695</v>
      </c>
      <c r="L2950">
        <v>427463956</v>
      </c>
      <c r="M2950">
        <v>330506506</v>
      </c>
      <c r="N2950">
        <v>230188950</v>
      </c>
      <c r="O2950">
        <v>250404978</v>
      </c>
      <c r="P2950">
        <v>202</v>
      </c>
      <c r="Q2950" t="s">
        <v>6238</v>
      </c>
    </row>
    <row r="2951" spans="1:17" x14ac:dyDescent="0.3">
      <c r="A2951" t="s">
        <v>4664</v>
      </c>
      <c r="B2951" t="str">
        <f>"002268"</f>
        <v>002268</v>
      </c>
      <c r="C2951" t="s">
        <v>6239</v>
      </c>
      <c r="D2951" t="s">
        <v>236</v>
      </c>
      <c r="F2951">
        <v>9474822</v>
      </c>
      <c r="G2951">
        <v>-93827875</v>
      </c>
      <c r="H2951">
        <v>-63604244</v>
      </c>
      <c r="I2951">
        <v>-73462221</v>
      </c>
      <c r="J2951">
        <v>-96202205</v>
      </c>
      <c r="K2951">
        <v>5059300</v>
      </c>
      <c r="L2951">
        <v>4782080</v>
      </c>
      <c r="M2951">
        <v>11457222</v>
      </c>
      <c r="N2951">
        <v>5375505</v>
      </c>
      <c r="O2951">
        <v>4143411</v>
      </c>
      <c r="P2951">
        <v>525</v>
      </c>
      <c r="Q2951" t="s">
        <v>6240</v>
      </c>
    </row>
    <row r="2952" spans="1:17" x14ac:dyDescent="0.3">
      <c r="A2952" t="s">
        <v>4664</v>
      </c>
      <c r="B2952" t="str">
        <f>"002269"</f>
        <v>002269</v>
      </c>
      <c r="C2952" t="s">
        <v>6241</v>
      </c>
      <c r="D2952" t="s">
        <v>255</v>
      </c>
      <c r="F2952">
        <v>-124722386</v>
      </c>
      <c r="G2952">
        <v>-705715842</v>
      </c>
      <c r="H2952">
        <v>-237793000</v>
      </c>
      <c r="I2952">
        <v>40139494</v>
      </c>
      <c r="J2952">
        <v>-124249556</v>
      </c>
      <c r="K2952">
        <v>-154040525</v>
      </c>
      <c r="L2952">
        <v>-176513694</v>
      </c>
      <c r="M2952">
        <v>225959059</v>
      </c>
      <c r="N2952">
        <v>382563722</v>
      </c>
      <c r="O2952">
        <v>751909562</v>
      </c>
      <c r="P2952">
        <v>143</v>
      </c>
      <c r="Q2952" t="s">
        <v>6242</v>
      </c>
    </row>
    <row r="2953" spans="1:17" x14ac:dyDescent="0.3">
      <c r="A2953" t="s">
        <v>4664</v>
      </c>
      <c r="B2953" t="str">
        <f>"002270"</f>
        <v>002270</v>
      </c>
      <c r="C2953" t="s">
        <v>6243</v>
      </c>
      <c r="D2953" t="s">
        <v>210</v>
      </c>
      <c r="F2953">
        <v>384343846</v>
      </c>
      <c r="G2953">
        <v>259999053</v>
      </c>
      <c r="H2953">
        <v>100455583</v>
      </c>
      <c r="I2953">
        <v>73483118</v>
      </c>
      <c r="J2953">
        <v>147067048</v>
      </c>
      <c r="K2953">
        <v>143738976</v>
      </c>
      <c r="L2953">
        <v>-87274</v>
      </c>
      <c r="M2953">
        <v>10721730</v>
      </c>
      <c r="N2953">
        <v>13834088</v>
      </c>
      <c r="O2953">
        <v>18652054</v>
      </c>
      <c r="P2953">
        <v>160</v>
      </c>
      <c r="Q2953" t="s">
        <v>6244</v>
      </c>
    </row>
    <row r="2954" spans="1:17" x14ac:dyDescent="0.3">
      <c r="A2954" t="s">
        <v>4664</v>
      </c>
      <c r="B2954" t="str">
        <f>"002271"</f>
        <v>002271</v>
      </c>
      <c r="C2954" t="s">
        <v>6245</v>
      </c>
      <c r="D2954" t="s">
        <v>6246</v>
      </c>
      <c r="F2954">
        <v>2677862788</v>
      </c>
      <c r="G2954">
        <v>2130331882</v>
      </c>
      <c r="H2954">
        <v>1566103897</v>
      </c>
      <c r="I2954">
        <v>1114300444</v>
      </c>
      <c r="J2954">
        <v>868731700</v>
      </c>
      <c r="K2954">
        <v>720696430</v>
      </c>
      <c r="L2954">
        <v>464062910</v>
      </c>
      <c r="M2954">
        <v>428893251</v>
      </c>
      <c r="N2954">
        <v>232006776</v>
      </c>
      <c r="O2954">
        <v>117179527</v>
      </c>
      <c r="P2954">
        <v>22866</v>
      </c>
      <c r="Q2954" t="s">
        <v>6247</v>
      </c>
    </row>
    <row r="2955" spans="1:17" x14ac:dyDescent="0.3">
      <c r="A2955" t="s">
        <v>4664</v>
      </c>
      <c r="B2955" t="str">
        <f>"002272"</f>
        <v>002272</v>
      </c>
      <c r="C2955" t="s">
        <v>6248</v>
      </c>
      <c r="D2955" t="s">
        <v>2001</v>
      </c>
      <c r="F2955">
        <v>53189576</v>
      </c>
      <c r="G2955">
        <v>50273575</v>
      </c>
      <c r="H2955">
        <v>43897529</v>
      </c>
      <c r="I2955">
        <v>75583278</v>
      </c>
      <c r="J2955">
        <v>1046345</v>
      </c>
      <c r="K2955">
        <v>7684814</v>
      </c>
      <c r="L2955">
        <v>-8381717</v>
      </c>
      <c r="M2955">
        <v>4046745</v>
      </c>
      <c r="N2955">
        <v>-7693165</v>
      </c>
      <c r="O2955">
        <v>27177380</v>
      </c>
      <c r="P2955">
        <v>107</v>
      </c>
      <c r="Q2955" t="s">
        <v>6249</v>
      </c>
    </row>
    <row r="2956" spans="1:17" x14ac:dyDescent="0.3">
      <c r="A2956" t="s">
        <v>4664</v>
      </c>
      <c r="B2956" t="str">
        <f>"002273"</f>
        <v>002273</v>
      </c>
      <c r="C2956" t="s">
        <v>6250</v>
      </c>
      <c r="D2956" t="s">
        <v>164</v>
      </c>
      <c r="F2956">
        <v>353690196</v>
      </c>
      <c r="G2956">
        <v>312584400</v>
      </c>
      <c r="H2956">
        <v>359620932</v>
      </c>
      <c r="I2956">
        <v>404867517</v>
      </c>
      <c r="J2956">
        <v>270454122</v>
      </c>
      <c r="K2956">
        <v>169661415</v>
      </c>
      <c r="L2956">
        <v>114176329</v>
      </c>
      <c r="M2956">
        <v>128021390</v>
      </c>
      <c r="N2956">
        <v>92787292</v>
      </c>
      <c r="O2956">
        <v>102410381</v>
      </c>
      <c r="P2956">
        <v>949</v>
      </c>
      <c r="Q2956" t="s">
        <v>6251</v>
      </c>
    </row>
    <row r="2957" spans="1:17" x14ac:dyDescent="0.3">
      <c r="A2957" t="s">
        <v>4664</v>
      </c>
      <c r="B2957" t="str">
        <f>"002274"</f>
        <v>002274</v>
      </c>
      <c r="C2957" t="s">
        <v>6252</v>
      </c>
      <c r="D2957" t="s">
        <v>5489</v>
      </c>
      <c r="F2957">
        <v>1439301972</v>
      </c>
      <c r="G2957">
        <v>25264992</v>
      </c>
      <c r="H2957">
        <v>251008209</v>
      </c>
      <c r="I2957">
        <v>122139938</v>
      </c>
      <c r="J2957">
        <v>18539795</v>
      </c>
      <c r="K2957">
        <v>16463088</v>
      </c>
      <c r="L2957">
        <v>18820742</v>
      </c>
      <c r="M2957">
        <v>-49070873</v>
      </c>
      <c r="N2957">
        <v>-62276527</v>
      </c>
      <c r="O2957">
        <v>-15897455</v>
      </c>
      <c r="P2957">
        <v>217</v>
      </c>
      <c r="Q2957" t="s">
        <v>6253</v>
      </c>
    </row>
    <row r="2958" spans="1:17" x14ac:dyDescent="0.3">
      <c r="A2958" t="s">
        <v>4664</v>
      </c>
      <c r="B2958" t="str">
        <f>"002275"</f>
        <v>002275</v>
      </c>
      <c r="C2958" t="s">
        <v>6254</v>
      </c>
      <c r="D2958" t="s">
        <v>188</v>
      </c>
      <c r="F2958">
        <v>292898189</v>
      </c>
      <c r="G2958">
        <v>305026990</v>
      </c>
      <c r="H2958">
        <v>330620327</v>
      </c>
      <c r="I2958">
        <v>366826453</v>
      </c>
      <c r="J2958">
        <v>348423303</v>
      </c>
      <c r="K2958">
        <v>316184412</v>
      </c>
      <c r="L2958">
        <v>283471733</v>
      </c>
      <c r="M2958">
        <v>326403741</v>
      </c>
      <c r="N2958">
        <v>313122827</v>
      </c>
      <c r="O2958">
        <v>270554969</v>
      </c>
      <c r="P2958">
        <v>11978</v>
      </c>
      <c r="Q2958" t="s">
        <v>6255</v>
      </c>
    </row>
    <row r="2959" spans="1:17" x14ac:dyDescent="0.3">
      <c r="A2959" t="s">
        <v>4664</v>
      </c>
      <c r="B2959" t="str">
        <f>"002276"</f>
        <v>002276</v>
      </c>
      <c r="C2959" t="s">
        <v>6256</v>
      </c>
      <c r="D2959" t="s">
        <v>1164</v>
      </c>
      <c r="F2959">
        <v>188449158</v>
      </c>
      <c r="G2959">
        <v>173159762</v>
      </c>
      <c r="H2959">
        <v>170225237</v>
      </c>
      <c r="I2959">
        <v>66948009</v>
      </c>
      <c r="J2959">
        <v>82221294</v>
      </c>
      <c r="K2959">
        <v>131021866</v>
      </c>
      <c r="L2959">
        <v>155978810</v>
      </c>
      <c r="M2959">
        <v>148879014</v>
      </c>
      <c r="N2959">
        <v>135705800</v>
      </c>
      <c r="O2959">
        <v>98416424</v>
      </c>
      <c r="P2959">
        <v>255</v>
      </c>
      <c r="Q2959" t="s">
        <v>6257</v>
      </c>
    </row>
    <row r="2960" spans="1:17" x14ac:dyDescent="0.3">
      <c r="A2960" t="s">
        <v>4664</v>
      </c>
      <c r="B2960" t="str">
        <f>"002277"</f>
        <v>002277</v>
      </c>
      <c r="C2960" t="s">
        <v>6258</v>
      </c>
      <c r="D2960" t="s">
        <v>633</v>
      </c>
      <c r="F2960">
        <v>208916429</v>
      </c>
      <c r="G2960">
        <v>165850561</v>
      </c>
      <c r="H2960">
        <v>322138204</v>
      </c>
      <c r="I2960">
        <v>216334798</v>
      </c>
      <c r="J2960">
        <v>301469955</v>
      </c>
      <c r="K2960">
        <v>234069633</v>
      </c>
      <c r="L2960">
        <v>288171196</v>
      </c>
      <c r="M2960">
        <v>314618362</v>
      </c>
      <c r="N2960">
        <v>365740888</v>
      </c>
      <c r="O2960">
        <v>327418524</v>
      </c>
      <c r="P2960">
        <v>145</v>
      </c>
      <c r="Q2960" t="s">
        <v>6259</v>
      </c>
    </row>
    <row r="2961" spans="1:17" x14ac:dyDescent="0.3">
      <c r="A2961" t="s">
        <v>4664</v>
      </c>
      <c r="B2961" t="str">
        <f>"002278"</f>
        <v>002278</v>
      </c>
      <c r="C2961" t="s">
        <v>6260</v>
      </c>
      <c r="D2961" t="s">
        <v>395</v>
      </c>
      <c r="F2961">
        <v>11253959</v>
      </c>
      <c r="G2961">
        <v>17916880</v>
      </c>
      <c r="H2961">
        <v>32018460</v>
      </c>
      <c r="I2961">
        <v>14743840</v>
      </c>
      <c r="J2961">
        <v>-6961627</v>
      </c>
      <c r="K2961">
        <v>-66056224</v>
      </c>
      <c r="L2961">
        <v>34201850</v>
      </c>
      <c r="M2961">
        <v>54910554</v>
      </c>
      <c r="N2961">
        <v>50068790</v>
      </c>
      <c r="O2961">
        <v>42345928</v>
      </c>
      <c r="P2961">
        <v>57</v>
      </c>
      <c r="Q2961" t="s">
        <v>6261</v>
      </c>
    </row>
    <row r="2962" spans="1:17" x14ac:dyDescent="0.3">
      <c r="A2962" t="s">
        <v>4664</v>
      </c>
      <c r="B2962" t="str">
        <f>"002279"</f>
        <v>002279</v>
      </c>
      <c r="C2962" t="s">
        <v>6262</v>
      </c>
      <c r="D2962" t="s">
        <v>1189</v>
      </c>
      <c r="F2962">
        <v>-112776437</v>
      </c>
      <c r="G2962">
        <v>-128618486</v>
      </c>
      <c r="H2962">
        <v>6626722</v>
      </c>
      <c r="I2962">
        <v>167288832</v>
      </c>
      <c r="J2962">
        <v>145313382</v>
      </c>
      <c r="K2962">
        <v>76224526</v>
      </c>
      <c r="L2962">
        <v>40035417</v>
      </c>
      <c r="M2962">
        <v>9130731</v>
      </c>
      <c r="N2962">
        <v>5208006</v>
      </c>
      <c r="O2962">
        <v>-35227368</v>
      </c>
      <c r="P2962">
        <v>323</v>
      </c>
      <c r="Q2962" t="s">
        <v>6263</v>
      </c>
    </row>
    <row r="2963" spans="1:17" x14ac:dyDescent="0.3">
      <c r="A2963" t="s">
        <v>4664</v>
      </c>
      <c r="B2963" t="str">
        <f>"002280"</f>
        <v>002280</v>
      </c>
      <c r="C2963" t="s">
        <v>6264</v>
      </c>
      <c r="D2963" t="s">
        <v>2014</v>
      </c>
      <c r="F2963">
        <v>-282062717</v>
      </c>
      <c r="G2963">
        <v>-100330248</v>
      </c>
      <c r="H2963">
        <v>21108516</v>
      </c>
      <c r="I2963">
        <v>141258820</v>
      </c>
      <c r="J2963">
        <v>33327894</v>
      </c>
      <c r="K2963">
        <v>262646880</v>
      </c>
      <c r="L2963">
        <v>200201308</v>
      </c>
      <c r="M2963">
        <v>-890545</v>
      </c>
      <c r="N2963">
        <v>-21010625</v>
      </c>
      <c r="O2963">
        <v>11127323</v>
      </c>
      <c r="P2963">
        <v>179</v>
      </c>
      <c r="Q2963" t="s">
        <v>6265</v>
      </c>
    </row>
    <row r="2964" spans="1:17" x14ac:dyDescent="0.3">
      <c r="A2964" t="s">
        <v>4664</v>
      </c>
      <c r="B2964" t="str">
        <f>"002281"</f>
        <v>002281</v>
      </c>
      <c r="C2964" t="s">
        <v>6266</v>
      </c>
      <c r="D2964" t="s">
        <v>1019</v>
      </c>
      <c r="F2964">
        <v>456369676</v>
      </c>
      <c r="G2964">
        <v>388817538</v>
      </c>
      <c r="H2964">
        <v>265609212</v>
      </c>
      <c r="I2964">
        <v>263315934</v>
      </c>
      <c r="J2964">
        <v>251589017</v>
      </c>
      <c r="K2964">
        <v>211411691</v>
      </c>
      <c r="L2964">
        <v>177196711</v>
      </c>
      <c r="M2964">
        <v>130291302</v>
      </c>
      <c r="N2964">
        <v>131141018</v>
      </c>
      <c r="O2964">
        <v>76479809</v>
      </c>
      <c r="P2964">
        <v>894</v>
      </c>
      <c r="Q2964" t="s">
        <v>6267</v>
      </c>
    </row>
    <row r="2965" spans="1:17" x14ac:dyDescent="0.3">
      <c r="A2965" t="s">
        <v>4664</v>
      </c>
      <c r="B2965" t="str">
        <f>"002282"</f>
        <v>002282</v>
      </c>
      <c r="C2965" t="s">
        <v>6268</v>
      </c>
      <c r="D2965" t="s">
        <v>404</v>
      </c>
      <c r="F2965">
        <v>154175964</v>
      </c>
      <c r="G2965">
        <v>95299887</v>
      </c>
      <c r="H2965">
        <v>64814533</v>
      </c>
      <c r="I2965">
        <v>76579194</v>
      </c>
      <c r="J2965">
        <v>49042790</v>
      </c>
      <c r="K2965">
        <v>13866683</v>
      </c>
      <c r="L2965">
        <v>20051998</v>
      </c>
      <c r="M2965">
        <v>28914147</v>
      </c>
      <c r="N2965">
        <v>35547786</v>
      </c>
      <c r="O2965">
        <v>28245691</v>
      </c>
      <c r="P2965">
        <v>97</v>
      </c>
      <c r="Q2965" t="s">
        <v>6269</v>
      </c>
    </row>
    <row r="2966" spans="1:17" x14ac:dyDescent="0.3">
      <c r="A2966" t="s">
        <v>4664</v>
      </c>
      <c r="B2966" t="str">
        <f>"002283"</f>
        <v>002283</v>
      </c>
      <c r="C2966" t="s">
        <v>6270</v>
      </c>
      <c r="D2966" t="s">
        <v>348</v>
      </c>
      <c r="F2966">
        <v>443766541</v>
      </c>
      <c r="G2966">
        <v>340811527</v>
      </c>
      <c r="H2966">
        <v>253696080</v>
      </c>
      <c r="I2966">
        <v>235906516</v>
      </c>
      <c r="J2966">
        <v>226619087</v>
      </c>
      <c r="K2966">
        <v>124444840</v>
      </c>
      <c r="L2966">
        <v>114102725</v>
      </c>
      <c r="M2966">
        <v>103018522</v>
      </c>
      <c r="N2966">
        <v>75903128</v>
      </c>
      <c r="O2966">
        <v>52696338</v>
      </c>
      <c r="P2966">
        <v>202</v>
      </c>
      <c r="Q2966" t="s">
        <v>6271</v>
      </c>
    </row>
    <row r="2967" spans="1:17" x14ac:dyDescent="0.3">
      <c r="A2967" t="s">
        <v>4664</v>
      </c>
      <c r="B2967" t="str">
        <f>"002284"</f>
        <v>002284</v>
      </c>
      <c r="C2967" t="s">
        <v>6272</v>
      </c>
      <c r="D2967" t="s">
        <v>348</v>
      </c>
      <c r="F2967">
        <v>32267850</v>
      </c>
      <c r="G2967">
        <v>-35777193</v>
      </c>
      <c r="H2967">
        <v>-74832211</v>
      </c>
      <c r="I2967">
        <v>35342769</v>
      </c>
      <c r="J2967">
        <v>79568022</v>
      </c>
      <c r="K2967">
        <v>124734387</v>
      </c>
      <c r="L2967">
        <v>118279657</v>
      </c>
      <c r="M2967">
        <v>127581221</v>
      </c>
      <c r="N2967">
        <v>98293151</v>
      </c>
      <c r="O2967">
        <v>60634723</v>
      </c>
      <c r="P2967">
        <v>197</v>
      </c>
      <c r="Q2967" t="s">
        <v>6273</v>
      </c>
    </row>
    <row r="2968" spans="1:17" x14ac:dyDescent="0.3">
      <c r="A2968" t="s">
        <v>4664</v>
      </c>
      <c r="B2968" t="str">
        <f>"002285"</f>
        <v>002285</v>
      </c>
      <c r="C2968" t="s">
        <v>6274</v>
      </c>
      <c r="D2968" t="s">
        <v>4982</v>
      </c>
      <c r="F2968">
        <v>113089010</v>
      </c>
      <c r="G2968">
        <v>-68732260</v>
      </c>
      <c r="H2968">
        <v>65787170</v>
      </c>
      <c r="I2968">
        <v>375418186</v>
      </c>
      <c r="J2968">
        <v>532262873</v>
      </c>
      <c r="K2968">
        <v>379641919</v>
      </c>
      <c r="L2968">
        <v>251603704</v>
      </c>
      <c r="M2968">
        <v>218731299</v>
      </c>
      <c r="N2968">
        <v>204296647</v>
      </c>
      <c r="O2968">
        <v>85693031</v>
      </c>
      <c r="P2968">
        <v>477</v>
      </c>
      <c r="Q2968" t="s">
        <v>6275</v>
      </c>
    </row>
    <row r="2969" spans="1:17" x14ac:dyDescent="0.3">
      <c r="A2969" t="s">
        <v>4664</v>
      </c>
      <c r="B2969" t="str">
        <f>"002286"</f>
        <v>002286</v>
      </c>
      <c r="C2969" t="s">
        <v>6276</v>
      </c>
      <c r="D2969" t="s">
        <v>445</v>
      </c>
      <c r="F2969">
        <v>160328127</v>
      </c>
      <c r="G2969">
        <v>53670977</v>
      </c>
      <c r="H2969">
        <v>40100844</v>
      </c>
      <c r="I2969">
        <v>43826970</v>
      </c>
      <c r="J2969">
        <v>42794623</v>
      </c>
      <c r="K2969">
        <v>40107486</v>
      </c>
      <c r="L2969">
        <v>36544796</v>
      </c>
      <c r="M2969">
        <v>31027764</v>
      </c>
      <c r="N2969">
        <v>38624462</v>
      </c>
      <c r="O2969">
        <v>54550408</v>
      </c>
      <c r="P2969">
        <v>179</v>
      </c>
      <c r="Q2969" t="s">
        <v>6277</v>
      </c>
    </row>
    <row r="2970" spans="1:17" x14ac:dyDescent="0.3">
      <c r="A2970" t="s">
        <v>4664</v>
      </c>
      <c r="B2970" t="str">
        <f>"002287"</f>
        <v>002287</v>
      </c>
      <c r="C2970" t="s">
        <v>6278</v>
      </c>
      <c r="D2970" t="s">
        <v>188</v>
      </c>
      <c r="F2970">
        <v>647389348</v>
      </c>
      <c r="G2970">
        <v>324576564</v>
      </c>
      <c r="H2970">
        <v>275319267</v>
      </c>
      <c r="I2970">
        <v>245757264</v>
      </c>
      <c r="J2970">
        <v>208023087</v>
      </c>
      <c r="K2970">
        <v>201321956</v>
      </c>
      <c r="L2970">
        <v>187482436</v>
      </c>
      <c r="M2970">
        <v>172678589</v>
      </c>
      <c r="N2970">
        <v>152297078</v>
      </c>
      <c r="O2970">
        <v>112836612</v>
      </c>
      <c r="P2970">
        <v>13304</v>
      </c>
      <c r="Q2970" t="s">
        <v>6279</v>
      </c>
    </row>
    <row r="2971" spans="1:17" x14ac:dyDescent="0.3">
      <c r="A2971" t="s">
        <v>4664</v>
      </c>
      <c r="B2971" t="str">
        <f>"002288"</f>
        <v>002288</v>
      </c>
      <c r="C2971" t="s">
        <v>6280</v>
      </c>
      <c r="D2971" t="s">
        <v>425</v>
      </c>
      <c r="F2971">
        <v>101204365</v>
      </c>
      <c r="G2971">
        <v>-24119990</v>
      </c>
      <c r="H2971">
        <v>25637462</v>
      </c>
      <c r="I2971">
        <v>40695469</v>
      </c>
      <c r="J2971">
        <v>36359365</v>
      </c>
      <c r="K2971">
        <v>4467171</v>
      </c>
      <c r="L2971">
        <v>29147140</v>
      </c>
      <c r="M2971">
        <v>35271843</v>
      </c>
      <c r="N2971">
        <v>33730583</v>
      </c>
      <c r="O2971">
        <v>30787066</v>
      </c>
      <c r="P2971">
        <v>176</v>
      </c>
      <c r="Q2971" t="s">
        <v>6281</v>
      </c>
    </row>
    <row r="2972" spans="1:17" x14ac:dyDescent="0.3">
      <c r="A2972" t="s">
        <v>4664</v>
      </c>
      <c r="B2972" t="str">
        <f>"002289"</f>
        <v>002289</v>
      </c>
      <c r="C2972" t="s">
        <v>6282</v>
      </c>
      <c r="D2972" t="s">
        <v>1117</v>
      </c>
      <c r="F2972">
        <v>-16311668</v>
      </c>
      <c r="G2972">
        <v>-21991140</v>
      </c>
      <c r="H2972">
        <v>-51064810</v>
      </c>
      <c r="I2972">
        <v>-67381904</v>
      </c>
      <c r="J2972">
        <v>-71680278</v>
      </c>
      <c r="K2972">
        <v>-217304735</v>
      </c>
      <c r="L2972">
        <v>2230191</v>
      </c>
      <c r="M2972">
        <v>13169680</v>
      </c>
      <c r="N2972">
        <v>-4413837</v>
      </c>
      <c r="O2972">
        <v>-68998884</v>
      </c>
      <c r="P2972">
        <v>70</v>
      </c>
      <c r="Q2972" t="s">
        <v>6283</v>
      </c>
    </row>
    <row r="2973" spans="1:17" x14ac:dyDescent="0.3">
      <c r="A2973" t="s">
        <v>4664</v>
      </c>
      <c r="B2973" t="str">
        <f>"002290"</f>
        <v>002290</v>
      </c>
      <c r="C2973" t="s">
        <v>6284</v>
      </c>
      <c r="D2973" t="s">
        <v>1253</v>
      </c>
      <c r="F2973">
        <v>80143762</v>
      </c>
      <c r="G2973">
        <v>50883991</v>
      </c>
      <c r="H2973">
        <v>-354701139</v>
      </c>
      <c r="I2973">
        <v>77920488</v>
      </c>
      <c r="J2973">
        <v>43802290</v>
      </c>
      <c r="K2973">
        <v>27273091</v>
      </c>
      <c r="L2973">
        <v>30185223</v>
      </c>
      <c r="M2973">
        <v>30096891</v>
      </c>
      <c r="N2973">
        <v>29863923</v>
      </c>
      <c r="O2973">
        <v>44860402</v>
      </c>
      <c r="P2973">
        <v>80</v>
      </c>
      <c r="Q2973" t="s">
        <v>6285</v>
      </c>
    </row>
    <row r="2974" spans="1:17" x14ac:dyDescent="0.3">
      <c r="A2974" t="s">
        <v>4664</v>
      </c>
      <c r="B2974" t="str">
        <f>"002291"</f>
        <v>002291</v>
      </c>
      <c r="C2974" t="s">
        <v>6286</v>
      </c>
      <c r="D2974" t="s">
        <v>207</v>
      </c>
      <c r="F2974">
        <v>-145972969</v>
      </c>
      <c r="G2974">
        <v>-113359736</v>
      </c>
      <c r="H2974">
        <v>105078324</v>
      </c>
      <c r="I2974">
        <v>19730896</v>
      </c>
      <c r="J2974">
        <v>19198282</v>
      </c>
      <c r="K2974">
        <v>17541242</v>
      </c>
      <c r="L2974">
        <v>23693825</v>
      </c>
      <c r="M2974">
        <v>28819605</v>
      </c>
      <c r="N2974">
        <v>26432719</v>
      </c>
      <c r="O2974">
        <v>41787134</v>
      </c>
      <c r="P2974">
        <v>172</v>
      </c>
      <c r="Q2974" t="s">
        <v>6287</v>
      </c>
    </row>
    <row r="2975" spans="1:17" x14ac:dyDescent="0.3">
      <c r="A2975" t="s">
        <v>4664</v>
      </c>
      <c r="B2975" t="str">
        <f>"002292"</f>
        <v>002292</v>
      </c>
      <c r="C2975" t="s">
        <v>6288</v>
      </c>
      <c r="D2975" t="s">
        <v>113</v>
      </c>
      <c r="F2975">
        <v>-93274296</v>
      </c>
      <c r="G2975">
        <v>-46358315</v>
      </c>
      <c r="H2975">
        <v>118501690</v>
      </c>
      <c r="I2975">
        <v>72597725</v>
      </c>
      <c r="J2975">
        <v>315429223</v>
      </c>
      <c r="K2975">
        <v>437878709</v>
      </c>
      <c r="L2975">
        <v>381044671</v>
      </c>
      <c r="M2975">
        <v>289326620</v>
      </c>
      <c r="N2975">
        <v>145855479</v>
      </c>
      <c r="O2975">
        <v>103848616</v>
      </c>
      <c r="P2975">
        <v>291</v>
      </c>
      <c r="Q2975" t="s">
        <v>6289</v>
      </c>
    </row>
    <row r="2976" spans="1:17" x14ac:dyDescent="0.3">
      <c r="A2976" t="s">
        <v>4664</v>
      </c>
      <c r="B2976" t="str">
        <f>"002293"</f>
        <v>002293</v>
      </c>
      <c r="C2976" t="s">
        <v>6290</v>
      </c>
      <c r="D2976" t="s">
        <v>2862</v>
      </c>
      <c r="F2976">
        <v>490969934</v>
      </c>
      <c r="G2976">
        <v>362236189</v>
      </c>
      <c r="H2976">
        <v>358231178</v>
      </c>
      <c r="I2976">
        <v>377094857</v>
      </c>
      <c r="J2976">
        <v>310526985</v>
      </c>
      <c r="K2976">
        <v>259455473</v>
      </c>
      <c r="L2976">
        <v>323821791</v>
      </c>
      <c r="M2976">
        <v>276700908</v>
      </c>
      <c r="N2976">
        <v>237183892</v>
      </c>
      <c r="O2976">
        <v>253142473</v>
      </c>
      <c r="P2976">
        <v>4959</v>
      </c>
      <c r="Q2976" t="s">
        <v>6291</v>
      </c>
    </row>
    <row r="2977" spans="1:17" x14ac:dyDescent="0.3">
      <c r="A2977" t="s">
        <v>4664</v>
      </c>
      <c r="B2977" t="str">
        <f>"002294"</f>
        <v>002294</v>
      </c>
      <c r="C2977" t="s">
        <v>6292</v>
      </c>
      <c r="D2977" t="s">
        <v>143</v>
      </c>
      <c r="F2977">
        <v>391942331</v>
      </c>
      <c r="G2977">
        <v>267484166</v>
      </c>
      <c r="H2977">
        <v>716943300</v>
      </c>
      <c r="I2977">
        <v>1150007360</v>
      </c>
      <c r="J2977">
        <v>1094045468</v>
      </c>
      <c r="K2977">
        <v>1039578309</v>
      </c>
      <c r="L2977">
        <v>925913174</v>
      </c>
      <c r="M2977">
        <v>751396594</v>
      </c>
      <c r="N2977">
        <v>592645646</v>
      </c>
      <c r="O2977">
        <v>435023576</v>
      </c>
      <c r="P2977">
        <v>25590</v>
      </c>
      <c r="Q2977" t="s">
        <v>6293</v>
      </c>
    </row>
    <row r="2978" spans="1:17" x14ac:dyDescent="0.3">
      <c r="A2978" t="s">
        <v>4664</v>
      </c>
      <c r="B2978" t="str">
        <f>"002295"</f>
        <v>002295</v>
      </c>
      <c r="C2978" t="s">
        <v>6294</v>
      </c>
      <c r="D2978" t="s">
        <v>263</v>
      </c>
      <c r="F2978">
        <v>57180485</v>
      </c>
      <c r="G2978">
        <v>33808463</v>
      </c>
      <c r="H2978">
        <v>49668387</v>
      </c>
      <c r="I2978">
        <v>43579799</v>
      </c>
      <c r="J2978">
        <v>49253910</v>
      </c>
      <c r="K2978">
        <v>9063067</v>
      </c>
      <c r="L2978">
        <v>7402111</v>
      </c>
      <c r="M2978">
        <v>-31593967</v>
      </c>
      <c r="N2978">
        <v>-11247000</v>
      </c>
      <c r="O2978">
        <v>13020069</v>
      </c>
      <c r="P2978">
        <v>56</v>
      </c>
      <c r="Q2978" t="s">
        <v>6295</v>
      </c>
    </row>
    <row r="2979" spans="1:17" x14ac:dyDescent="0.3">
      <c r="A2979" t="s">
        <v>4664</v>
      </c>
      <c r="B2979" t="str">
        <f>"002296"</f>
        <v>002296</v>
      </c>
      <c r="C2979" t="s">
        <v>6296</v>
      </c>
      <c r="D2979" t="s">
        <v>1019</v>
      </c>
      <c r="F2979">
        <v>97627737</v>
      </c>
      <c r="G2979">
        <v>67129494</v>
      </c>
      <c r="H2979">
        <v>58059560</v>
      </c>
      <c r="I2979">
        <v>39695615</v>
      </c>
      <c r="J2979">
        <v>38300430</v>
      </c>
      <c r="K2979">
        <v>56874453</v>
      </c>
      <c r="L2979">
        <v>36420569</v>
      </c>
      <c r="M2979">
        <v>30956924</v>
      </c>
      <c r="N2979">
        <v>14257803</v>
      </c>
      <c r="O2979">
        <v>777130</v>
      </c>
      <c r="P2979">
        <v>160</v>
      </c>
      <c r="Q2979" t="s">
        <v>6297</v>
      </c>
    </row>
    <row r="2980" spans="1:17" x14ac:dyDescent="0.3">
      <c r="A2980" t="s">
        <v>4664</v>
      </c>
      <c r="B2980" t="str">
        <f>"002297"</f>
        <v>002297</v>
      </c>
      <c r="C2980" t="s">
        <v>6298</v>
      </c>
      <c r="D2980" t="s">
        <v>98</v>
      </c>
      <c r="F2980">
        <v>15153115</v>
      </c>
      <c r="G2980">
        <v>6812193</v>
      </c>
      <c r="H2980">
        <v>-13863942</v>
      </c>
      <c r="I2980">
        <v>6157305</v>
      </c>
      <c r="J2980">
        <v>-21866285</v>
      </c>
      <c r="K2980">
        <v>-28154197</v>
      </c>
      <c r="L2980">
        <v>-49891886</v>
      </c>
      <c r="M2980">
        <v>3253456</v>
      </c>
      <c r="N2980">
        <v>12966592</v>
      </c>
      <c r="O2980">
        <v>33428887</v>
      </c>
      <c r="P2980">
        <v>100</v>
      </c>
      <c r="Q2980" t="s">
        <v>6299</v>
      </c>
    </row>
    <row r="2981" spans="1:17" x14ac:dyDescent="0.3">
      <c r="A2981" t="s">
        <v>4664</v>
      </c>
      <c r="B2981" t="str">
        <f>"002298"</f>
        <v>002298</v>
      </c>
      <c r="C2981" t="s">
        <v>6300</v>
      </c>
      <c r="D2981" t="s">
        <v>945</v>
      </c>
      <c r="F2981">
        <v>138757985</v>
      </c>
      <c r="G2981">
        <v>265726828</v>
      </c>
      <c r="H2981">
        <v>166056922</v>
      </c>
      <c r="I2981">
        <v>117756646</v>
      </c>
      <c r="J2981">
        <v>116773953</v>
      </c>
      <c r="K2981">
        <v>103497609</v>
      </c>
      <c r="L2981">
        <v>20188076</v>
      </c>
      <c r="M2981">
        <v>10591970</v>
      </c>
      <c r="N2981">
        <v>73288232</v>
      </c>
      <c r="O2981">
        <v>68273001</v>
      </c>
      <c r="P2981">
        <v>181</v>
      </c>
      <c r="Q2981" t="s">
        <v>6301</v>
      </c>
    </row>
    <row r="2982" spans="1:17" x14ac:dyDescent="0.3">
      <c r="A2982" t="s">
        <v>4664</v>
      </c>
      <c r="B2982" t="str">
        <f>"002299"</f>
        <v>002299</v>
      </c>
      <c r="C2982" t="s">
        <v>6302</v>
      </c>
      <c r="D2982" t="s">
        <v>6173</v>
      </c>
      <c r="F2982">
        <v>368463716</v>
      </c>
      <c r="G2982">
        <v>1806436998</v>
      </c>
      <c r="H2982">
        <v>2705433336</v>
      </c>
      <c r="I2982">
        <v>804369941</v>
      </c>
      <c r="J2982">
        <v>94959949</v>
      </c>
      <c r="K2982">
        <v>503082586</v>
      </c>
      <c r="L2982">
        <v>-349047230</v>
      </c>
      <c r="M2982">
        <v>126468041</v>
      </c>
      <c r="N2982">
        <v>-217924975</v>
      </c>
      <c r="O2982">
        <v>95729200</v>
      </c>
      <c r="P2982">
        <v>1371</v>
      </c>
      <c r="Q2982" t="s">
        <v>6303</v>
      </c>
    </row>
    <row r="2983" spans="1:17" x14ac:dyDescent="0.3">
      <c r="A2983" t="s">
        <v>4664</v>
      </c>
      <c r="B2983" t="str">
        <f>"002300"</f>
        <v>002300</v>
      </c>
      <c r="C2983" t="s">
        <v>6304</v>
      </c>
      <c r="D2983" t="s">
        <v>1164</v>
      </c>
      <c r="F2983">
        <v>109236137</v>
      </c>
      <c r="G2983">
        <v>142207675</v>
      </c>
      <c r="H2983">
        <v>127349014</v>
      </c>
      <c r="I2983">
        <v>78186868</v>
      </c>
      <c r="J2983">
        <v>76480705</v>
      </c>
      <c r="K2983">
        <v>115669847</v>
      </c>
      <c r="L2983">
        <v>143724511</v>
      </c>
      <c r="M2983">
        <v>98486850</v>
      </c>
      <c r="N2983">
        <v>92173056</v>
      </c>
      <c r="O2983">
        <v>83111526</v>
      </c>
      <c r="P2983">
        <v>125</v>
      </c>
      <c r="Q2983" t="s">
        <v>6305</v>
      </c>
    </row>
    <row r="2984" spans="1:17" x14ac:dyDescent="0.3">
      <c r="A2984" t="s">
        <v>4664</v>
      </c>
      <c r="B2984" t="str">
        <f>"002301"</f>
        <v>002301</v>
      </c>
      <c r="C2984" t="s">
        <v>6306</v>
      </c>
      <c r="D2984" t="s">
        <v>3383</v>
      </c>
      <c r="F2984">
        <v>128668049</v>
      </c>
      <c r="G2984">
        <v>239634223</v>
      </c>
      <c r="H2984">
        <v>183400947</v>
      </c>
      <c r="I2984">
        <v>140012541</v>
      </c>
      <c r="J2984">
        <v>97502012</v>
      </c>
      <c r="K2984">
        <v>66746291</v>
      </c>
      <c r="L2984">
        <v>-18818059</v>
      </c>
      <c r="M2984">
        <v>15928759</v>
      </c>
      <c r="N2984">
        <v>15099211</v>
      </c>
      <c r="O2984">
        <v>53711527</v>
      </c>
      <c r="P2984">
        <v>202</v>
      </c>
      <c r="Q2984" t="s">
        <v>6307</v>
      </c>
    </row>
    <row r="2985" spans="1:17" x14ac:dyDescent="0.3">
      <c r="A2985" t="s">
        <v>4664</v>
      </c>
      <c r="B2985" t="str">
        <f>"002302"</f>
        <v>002302</v>
      </c>
      <c r="C2985" t="s">
        <v>6308</v>
      </c>
      <c r="D2985" t="s">
        <v>3071</v>
      </c>
      <c r="F2985">
        <v>557731384</v>
      </c>
      <c r="G2985">
        <v>650107291</v>
      </c>
      <c r="H2985">
        <v>611698017</v>
      </c>
      <c r="I2985">
        <v>223044158</v>
      </c>
      <c r="J2985">
        <v>99377262</v>
      </c>
      <c r="K2985">
        <v>181398289</v>
      </c>
      <c r="L2985">
        <v>228669282</v>
      </c>
      <c r="M2985">
        <v>170544134</v>
      </c>
      <c r="N2985">
        <v>251002551</v>
      </c>
      <c r="O2985">
        <v>67663115</v>
      </c>
      <c r="P2985">
        <v>201</v>
      </c>
      <c r="Q2985" t="s">
        <v>6309</v>
      </c>
    </row>
    <row r="2986" spans="1:17" x14ac:dyDescent="0.3">
      <c r="A2986" t="s">
        <v>4664</v>
      </c>
      <c r="B2986" t="str">
        <f>"002303"</f>
        <v>002303</v>
      </c>
      <c r="C2986" t="s">
        <v>6310</v>
      </c>
      <c r="D2986" t="s">
        <v>2156</v>
      </c>
      <c r="F2986">
        <v>78785449</v>
      </c>
      <c r="G2986">
        <v>153688092</v>
      </c>
      <c r="H2986">
        <v>302333788</v>
      </c>
      <c r="I2986">
        <v>293139628</v>
      </c>
      <c r="J2986">
        <v>247891800</v>
      </c>
      <c r="K2986">
        <v>211783147</v>
      </c>
      <c r="L2986">
        <v>190552916</v>
      </c>
      <c r="M2986">
        <v>182181891</v>
      </c>
      <c r="N2986">
        <v>121174751</v>
      </c>
      <c r="O2986">
        <v>68328558</v>
      </c>
      <c r="P2986">
        <v>224</v>
      </c>
      <c r="Q2986" t="s">
        <v>6311</v>
      </c>
    </row>
    <row r="2987" spans="1:17" x14ac:dyDescent="0.3">
      <c r="A2987" t="s">
        <v>4664</v>
      </c>
      <c r="B2987" t="str">
        <f>"002304"</f>
        <v>002304</v>
      </c>
      <c r="C2987" t="s">
        <v>6312</v>
      </c>
      <c r="D2987" t="s">
        <v>458</v>
      </c>
      <c r="F2987">
        <v>7212523605</v>
      </c>
      <c r="G2987">
        <v>7185703291</v>
      </c>
      <c r="H2987">
        <v>7146332278</v>
      </c>
      <c r="I2987">
        <v>7038754910</v>
      </c>
      <c r="J2987">
        <v>5581662088</v>
      </c>
      <c r="K2987">
        <v>4839158418</v>
      </c>
      <c r="L2987">
        <v>4461169759</v>
      </c>
      <c r="M2987">
        <v>3982741953</v>
      </c>
      <c r="N2987">
        <v>4497580509</v>
      </c>
      <c r="O2987">
        <v>4828124260</v>
      </c>
      <c r="P2987">
        <v>52721</v>
      </c>
      <c r="Q2987" t="s">
        <v>6313</v>
      </c>
    </row>
    <row r="2988" spans="1:17" x14ac:dyDescent="0.3">
      <c r="A2988" t="s">
        <v>4664</v>
      </c>
      <c r="B2988" t="str">
        <f>"002305"</f>
        <v>002305</v>
      </c>
      <c r="C2988" t="s">
        <v>6314</v>
      </c>
      <c r="D2988" t="s">
        <v>30</v>
      </c>
      <c r="F2988">
        <v>-613759879</v>
      </c>
      <c r="G2988">
        <v>-384435931</v>
      </c>
      <c r="H2988">
        <v>29944508</v>
      </c>
      <c r="I2988">
        <v>29712389</v>
      </c>
      <c r="J2988">
        <v>12641909</v>
      </c>
      <c r="K2988">
        <v>10635174</v>
      </c>
      <c r="L2988">
        <v>-114407206</v>
      </c>
      <c r="M2988">
        <v>139219837</v>
      </c>
      <c r="N2988">
        <v>173355798</v>
      </c>
      <c r="O2988">
        <v>12120085</v>
      </c>
      <c r="P2988">
        <v>107</v>
      </c>
      <c r="Q2988" t="s">
        <v>6315</v>
      </c>
    </row>
    <row r="2989" spans="1:17" x14ac:dyDescent="0.3">
      <c r="A2989" t="s">
        <v>4664</v>
      </c>
      <c r="B2989" t="str">
        <f>"002306"</f>
        <v>002306</v>
      </c>
      <c r="C2989" t="s">
        <v>6316</v>
      </c>
      <c r="D2989" t="s">
        <v>3571</v>
      </c>
      <c r="F2989">
        <v>-5695341</v>
      </c>
      <c r="G2989">
        <v>-23283588</v>
      </c>
      <c r="H2989">
        <v>-17056360</v>
      </c>
      <c r="I2989">
        <v>-15607823</v>
      </c>
      <c r="J2989">
        <v>-12391900</v>
      </c>
      <c r="K2989">
        <v>-18870633</v>
      </c>
      <c r="L2989">
        <v>-146525327</v>
      </c>
      <c r="M2989">
        <v>-95626028</v>
      </c>
      <c r="N2989">
        <v>-303071715</v>
      </c>
      <c r="O2989">
        <v>110409872</v>
      </c>
      <c r="P2989">
        <v>68</v>
      </c>
      <c r="Q2989" t="s">
        <v>6317</v>
      </c>
    </row>
    <row r="2990" spans="1:17" x14ac:dyDescent="0.3">
      <c r="A2990" t="s">
        <v>4664</v>
      </c>
      <c r="B2990" t="str">
        <f>"002307"</f>
        <v>002307</v>
      </c>
      <c r="C2990" t="s">
        <v>6318</v>
      </c>
      <c r="D2990" t="s">
        <v>101</v>
      </c>
      <c r="F2990">
        <v>40959948</v>
      </c>
      <c r="G2990">
        <v>37405615</v>
      </c>
      <c r="H2990">
        <v>37283754</v>
      </c>
      <c r="I2990">
        <v>31481579</v>
      </c>
      <c r="J2990">
        <v>30956412</v>
      </c>
      <c r="K2990">
        <v>26196818</v>
      </c>
      <c r="L2990">
        <v>23882580</v>
      </c>
      <c r="M2990">
        <v>31171513</v>
      </c>
      <c r="N2990">
        <v>36025321</v>
      </c>
      <c r="O2990">
        <v>38056587</v>
      </c>
      <c r="P2990">
        <v>90</v>
      </c>
      <c r="Q2990" t="s">
        <v>6319</v>
      </c>
    </row>
    <row r="2991" spans="1:17" x14ac:dyDescent="0.3">
      <c r="A2991" t="s">
        <v>4664</v>
      </c>
      <c r="B2991" t="str">
        <f>"002308"</f>
        <v>002308</v>
      </c>
      <c r="C2991" t="s">
        <v>6320</v>
      </c>
      <c r="D2991" t="s">
        <v>236</v>
      </c>
      <c r="F2991">
        <v>24398013</v>
      </c>
      <c r="G2991">
        <v>266667494</v>
      </c>
      <c r="H2991">
        <v>90301284</v>
      </c>
      <c r="I2991">
        <v>147096283</v>
      </c>
      <c r="J2991">
        <v>175819671</v>
      </c>
      <c r="K2991">
        <v>119050874</v>
      </c>
      <c r="L2991">
        <v>46383688</v>
      </c>
      <c r="M2991">
        <v>51737413</v>
      </c>
      <c r="N2991">
        <v>190193161</v>
      </c>
      <c r="O2991">
        <v>210241287</v>
      </c>
      <c r="P2991">
        <v>218</v>
      </c>
      <c r="Q2991" t="s">
        <v>6321</v>
      </c>
    </row>
    <row r="2992" spans="1:17" x14ac:dyDescent="0.3">
      <c r="A2992" t="s">
        <v>4664</v>
      </c>
      <c r="B2992" t="str">
        <f>"002309"</f>
        <v>002309</v>
      </c>
      <c r="C2992" t="s">
        <v>6322</v>
      </c>
      <c r="D2992" t="s">
        <v>356</v>
      </c>
      <c r="F2992">
        <v>-1480309420</v>
      </c>
      <c r="G2992">
        <v>-326577483</v>
      </c>
      <c r="H2992">
        <v>20627585</v>
      </c>
      <c r="I2992">
        <v>58358799</v>
      </c>
      <c r="J2992">
        <v>52008537</v>
      </c>
      <c r="K2992">
        <v>-142846760</v>
      </c>
      <c r="L2992">
        <v>-291455399</v>
      </c>
      <c r="M2992">
        <v>-144280452</v>
      </c>
      <c r="N2992">
        <v>-202687373</v>
      </c>
      <c r="O2992">
        <v>152373289</v>
      </c>
      <c r="P2992">
        <v>284</v>
      </c>
      <c r="Q2992" t="s">
        <v>6323</v>
      </c>
    </row>
    <row r="2993" spans="1:17" x14ac:dyDescent="0.3">
      <c r="A2993" t="s">
        <v>4664</v>
      </c>
      <c r="B2993" t="str">
        <f>"002310"</f>
        <v>002310</v>
      </c>
      <c r="C2993" t="s">
        <v>6324</v>
      </c>
      <c r="D2993" t="s">
        <v>2408</v>
      </c>
      <c r="F2993">
        <v>-525025433</v>
      </c>
      <c r="G2993">
        <v>-44850774</v>
      </c>
      <c r="H2993">
        <v>-885501688</v>
      </c>
      <c r="I2993">
        <v>975081756</v>
      </c>
      <c r="J2993">
        <v>866486050</v>
      </c>
      <c r="K2993">
        <v>517083768</v>
      </c>
      <c r="L2993">
        <v>262451842</v>
      </c>
      <c r="M2993">
        <v>412588928</v>
      </c>
      <c r="N2993">
        <v>503796065</v>
      </c>
      <c r="O2993">
        <v>415614887</v>
      </c>
      <c r="P2993">
        <v>1194</v>
      </c>
      <c r="Q2993" t="s">
        <v>6325</v>
      </c>
    </row>
    <row r="2994" spans="1:17" x14ac:dyDescent="0.3">
      <c r="A2994" t="s">
        <v>4664</v>
      </c>
      <c r="B2994" t="str">
        <f>"002311"</f>
        <v>002311</v>
      </c>
      <c r="C2994" t="s">
        <v>6326</v>
      </c>
      <c r="D2994" t="s">
        <v>3128</v>
      </c>
      <c r="F2994">
        <v>1746473859</v>
      </c>
      <c r="G2994">
        <v>2073455342</v>
      </c>
      <c r="H2994">
        <v>1412473275</v>
      </c>
      <c r="I2994">
        <v>1271059241</v>
      </c>
      <c r="J2994">
        <v>1149352865</v>
      </c>
      <c r="K2994">
        <v>879981432</v>
      </c>
      <c r="L2994">
        <v>730435566</v>
      </c>
      <c r="M2994">
        <v>539566216</v>
      </c>
      <c r="N2994">
        <v>352153664</v>
      </c>
      <c r="O2994">
        <v>414163067</v>
      </c>
      <c r="P2994">
        <v>1933</v>
      </c>
      <c r="Q2994" t="s">
        <v>6327</v>
      </c>
    </row>
    <row r="2995" spans="1:17" x14ac:dyDescent="0.3">
      <c r="A2995" t="s">
        <v>4664</v>
      </c>
      <c r="B2995" t="str">
        <f>"002312"</f>
        <v>002312</v>
      </c>
      <c r="C2995" t="s">
        <v>6328</v>
      </c>
      <c r="D2995" t="s">
        <v>183</v>
      </c>
      <c r="F2995">
        <v>893933440</v>
      </c>
      <c r="G2995">
        <v>628371780</v>
      </c>
      <c r="H2995">
        <v>-92957268</v>
      </c>
      <c r="I2995">
        <v>-151072837</v>
      </c>
      <c r="J2995">
        <v>399152500</v>
      </c>
      <c r="K2995">
        <v>-270184635</v>
      </c>
      <c r="L2995">
        <v>-154048552</v>
      </c>
      <c r="M2995">
        <v>-28303329</v>
      </c>
      <c r="N2995">
        <v>3301622</v>
      </c>
      <c r="O2995">
        <v>12706540</v>
      </c>
      <c r="P2995">
        <v>249</v>
      </c>
      <c r="Q2995" t="s">
        <v>6329</v>
      </c>
    </row>
    <row r="2996" spans="1:17" x14ac:dyDescent="0.3">
      <c r="A2996" t="s">
        <v>4664</v>
      </c>
      <c r="B2996" t="str">
        <f>"002313"</f>
        <v>002313</v>
      </c>
      <c r="C2996" t="s">
        <v>6330</v>
      </c>
      <c r="D2996" t="s">
        <v>786</v>
      </c>
      <c r="F2996">
        <v>14009702</v>
      </c>
      <c r="G2996">
        <v>-85488606</v>
      </c>
      <c r="H2996">
        <v>80474247</v>
      </c>
      <c r="I2996">
        <v>103141288</v>
      </c>
      <c r="J2996">
        <v>70453224</v>
      </c>
      <c r="K2996">
        <v>12671124</v>
      </c>
      <c r="L2996">
        <v>-14339098</v>
      </c>
      <c r="M2996">
        <v>5282566</v>
      </c>
      <c r="N2996">
        <v>146613559</v>
      </c>
      <c r="O2996">
        <v>144356125</v>
      </c>
      <c r="P2996">
        <v>243</v>
      </c>
      <c r="Q2996" t="s">
        <v>6331</v>
      </c>
    </row>
    <row r="2997" spans="1:17" x14ac:dyDescent="0.3">
      <c r="A2997" t="s">
        <v>4664</v>
      </c>
      <c r="B2997" t="str">
        <f>"002314"</f>
        <v>002314</v>
      </c>
      <c r="C2997" t="s">
        <v>6332</v>
      </c>
      <c r="D2997" t="s">
        <v>104</v>
      </c>
      <c r="F2997">
        <v>376097334</v>
      </c>
      <c r="G2997">
        <v>-149950987</v>
      </c>
      <c r="H2997">
        <v>79784209</v>
      </c>
      <c r="I2997">
        <v>231874777</v>
      </c>
      <c r="J2997">
        <v>102513897</v>
      </c>
      <c r="K2997">
        <v>496651292</v>
      </c>
      <c r="L2997">
        <v>-42132755</v>
      </c>
      <c r="M2997">
        <v>-195909780</v>
      </c>
      <c r="N2997">
        <v>-21037184</v>
      </c>
      <c r="O2997">
        <v>-11756340</v>
      </c>
      <c r="P2997">
        <v>206</v>
      </c>
      <c r="Q2997" t="s">
        <v>6333</v>
      </c>
    </row>
    <row r="2998" spans="1:17" x14ac:dyDescent="0.3">
      <c r="A2998" t="s">
        <v>4664</v>
      </c>
      <c r="B2998" t="str">
        <f>"002315"</f>
        <v>002315</v>
      </c>
      <c r="C2998" t="s">
        <v>6334</v>
      </c>
      <c r="D2998" t="s">
        <v>2014</v>
      </c>
      <c r="F2998">
        <v>192627063</v>
      </c>
      <c r="G2998">
        <v>137021644</v>
      </c>
      <c r="H2998">
        <v>158463550</v>
      </c>
      <c r="I2998">
        <v>63561321</v>
      </c>
      <c r="J2998">
        <v>62181829</v>
      </c>
      <c r="K2998">
        <v>44835218</v>
      </c>
      <c r="L2998">
        <v>135374959</v>
      </c>
      <c r="M2998">
        <v>93800097</v>
      </c>
      <c r="N2998">
        <v>99226930</v>
      </c>
      <c r="O2998">
        <v>92951248</v>
      </c>
      <c r="P2998">
        <v>221</v>
      </c>
      <c r="Q2998" t="s">
        <v>6335</v>
      </c>
    </row>
    <row r="2999" spans="1:17" x14ac:dyDescent="0.3">
      <c r="A2999" t="s">
        <v>4664</v>
      </c>
      <c r="B2999" t="str">
        <f>"002316"</f>
        <v>002316</v>
      </c>
      <c r="C2999" t="s">
        <v>6336</v>
      </c>
      <c r="D2999" t="s">
        <v>6337</v>
      </c>
      <c r="F2999">
        <v>-77777142</v>
      </c>
      <c r="G2999">
        <v>-37563286</v>
      </c>
      <c r="H2999">
        <v>36838081</v>
      </c>
      <c r="I2999">
        <v>60873661</v>
      </c>
      <c r="J2999">
        <v>-51501475</v>
      </c>
      <c r="K2999">
        <v>-26434835</v>
      </c>
      <c r="L2999">
        <v>26616150</v>
      </c>
      <c r="M2999">
        <v>4481301</v>
      </c>
      <c r="N2999">
        <v>27506480</v>
      </c>
      <c r="O2999">
        <v>38690169</v>
      </c>
      <c r="P2999">
        <v>229</v>
      </c>
      <c r="Q2999" t="s">
        <v>6338</v>
      </c>
    </row>
    <row r="3000" spans="1:17" x14ac:dyDescent="0.3">
      <c r="A3000" t="s">
        <v>4664</v>
      </c>
      <c r="B3000" t="str">
        <f>"002317"</f>
        <v>002317</v>
      </c>
      <c r="C3000" t="s">
        <v>6339</v>
      </c>
      <c r="D3000" t="s">
        <v>188</v>
      </c>
      <c r="F3000">
        <v>313762528</v>
      </c>
      <c r="G3000">
        <v>301480673</v>
      </c>
      <c r="H3000">
        <v>368582039</v>
      </c>
      <c r="I3000">
        <v>350483680</v>
      </c>
      <c r="J3000">
        <v>315959186</v>
      </c>
      <c r="K3000">
        <v>303410603</v>
      </c>
      <c r="L3000">
        <v>220206839</v>
      </c>
      <c r="M3000">
        <v>168763198</v>
      </c>
      <c r="N3000">
        <v>137430187</v>
      </c>
      <c r="O3000">
        <v>132095365</v>
      </c>
      <c r="P3000">
        <v>344</v>
      </c>
      <c r="Q3000" t="s">
        <v>6340</v>
      </c>
    </row>
    <row r="3001" spans="1:17" x14ac:dyDescent="0.3">
      <c r="A3001" t="s">
        <v>4664</v>
      </c>
      <c r="B3001" t="str">
        <f>"002318"</f>
        <v>002318</v>
      </c>
      <c r="C3001" t="s">
        <v>6341</v>
      </c>
      <c r="D3001" t="s">
        <v>281</v>
      </c>
      <c r="F3001">
        <v>612300973</v>
      </c>
      <c r="G3001">
        <v>549155161</v>
      </c>
      <c r="H3001">
        <v>387897169</v>
      </c>
      <c r="I3001">
        <v>215580127</v>
      </c>
      <c r="J3001">
        <v>108014602</v>
      </c>
      <c r="K3001">
        <v>107039551</v>
      </c>
      <c r="L3001">
        <v>116858965</v>
      </c>
      <c r="M3001">
        <v>163756024</v>
      </c>
      <c r="N3001">
        <v>171311145</v>
      </c>
      <c r="O3001">
        <v>124676739</v>
      </c>
      <c r="P3001">
        <v>451</v>
      </c>
      <c r="Q3001" t="s">
        <v>6342</v>
      </c>
    </row>
    <row r="3002" spans="1:17" x14ac:dyDescent="0.3">
      <c r="A3002" t="s">
        <v>4664</v>
      </c>
      <c r="B3002" t="str">
        <f>"002319"</f>
        <v>002319</v>
      </c>
      <c r="C3002" t="s">
        <v>6343</v>
      </c>
      <c r="D3002" t="s">
        <v>2570</v>
      </c>
      <c r="F3002">
        <v>-12534733</v>
      </c>
      <c r="G3002">
        <v>263380</v>
      </c>
      <c r="H3002">
        <v>-14286257</v>
      </c>
      <c r="I3002">
        <v>2527077</v>
      </c>
      <c r="J3002">
        <v>11934409</v>
      </c>
      <c r="K3002">
        <v>4903032</v>
      </c>
      <c r="L3002">
        <v>2664050</v>
      </c>
      <c r="M3002">
        <v>7185374</v>
      </c>
      <c r="N3002">
        <v>16214306</v>
      </c>
      <c r="O3002">
        <v>14954349</v>
      </c>
      <c r="P3002">
        <v>55</v>
      </c>
      <c r="Q3002" t="s">
        <v>6344</v>
      </c>
    </row>
    <row r="3003" spans="1:17" x14ac:dyDescent="0.3">
      <c r="A3003" t="s">
        <v>4664</v>
      </c>
      <c r="B3003" t="str">
        <f>"002320"</f>
        <v>002320</v>
      </c>
      <c r="C3003" t="s">
        <v>6345</v>
      </c>
      <c r="D3003" t="s">
        <v>69</v>
      </c>
      <c r="F3003">
        <v>283359372</v>
      </c>
      <c r="G3003">
        <v>219563412</v>
      </c>
      <c r="H3003">
        <v>174667394</v>
      </c>
      <c r="I3003">
        <v>210862980</v>
      </c>
      <c r="J3003">
        <v>212706012</v>
      </c>
      <c r="K3003">
        <v>135024059</v>
      </c>
      <c r="L3003">
        <v>100272508</v>
      </c>
      <c r="M3003">
        <v>59599862</v>
      </c>
      <c r="N3003">
        <v>87586778</v>
      </c>
      <c r="O3003">
        <v>111389601</v>
      </c>
      <c r="P3003">
        <v>174</v>
      </c>
      <c r="Q3003" t="s">
        <v>6346</v>
      </c>
    </row>
    <row r="3004" spans="1:17" x14ac:dyDescent="0.3">
      <c r="A3004" t="s">
        <v>4664</v>
      </c>
      <c r="B3004" t="str">
        <f>"002321"</f>
        <v>002321</v>
      </c>
      <c r="C3004" t="s">
        <v>6347</v>
      </c>
      <c r="D3004" t="s">
        <v>1876</v>
      </c>
      <c r="F3004">
        <v>-225774197</v>
      </c>
      <c r="G3004">
        <v>-468676309</v>
      </c>
      <c r="H3004">
        <v>74022347</v>
      </c>
      <c r="I3004">
        <v>88805821</v>
      </c>
      <c r="J3004">
        <v>48931951</v>
      </c>
      <c r="K3004">
        <v>92056007</v>
      </c>
      <c r="L3004">
        <v>32049506</v>
      </c>
      <c r="M3004">
        <v>1163266</v>
      </c>
      <c r="N3004">
        <v>-96627680</v>
      </c>
      <c r="O3004">
        <v>-29682538</v>
      </c>
      <c r="P3004">
        <v>111</v>
      </c>
      <c r="Q3004" t="s">
        <v>6348</v>
      </c>
    </row>
    <row r="3005" spans="1:17" x14ac:dyDescent="0.3">
      <c r="A3005" t="s">
        <v>4664</v>
      </c>
      <c r="B3005" t="str">
        <f>"002322"</f>
        <v>002322</v>
      </c>
      <c r="C3005" t="s">
        <v>6349</v>
      </c>
      <c r="D3005" t="s">
        <v>945</v>
      </c>
      <c r="F3005">
        <v>182802592</v>
      </c>
      <c r="G3005">
        <v>203345889</v>
      </c>
      <c r="H3005">
        <v>152384506</v>
      </c>
      <c r="I3005">
        <v>143193122</v>
      </c>
      <c r="J3005">
        <v>167669500</v>
      </c>
      <c r="K3005">
        <v>69619257</v>
      </c>
      <c r="L3005">
        <v>24858208</v>
      </c>
      <c r="M3005">
        <v>19780898</v>
      </c>
      <c r="N3005">
        <v>73912770</v>
      </c>
      <c r="O3005">
        <v>43146646</v>
      </c>
      <c r="P3005">
        <v>180</v>
      </c>
      <c r="Q3005" t="s">
        <v>6350</v>
      </c>
    </row>
    <row r="3006" spans="1:17" x14ac:dyDescent="0.3">
      <c r="A3006" t="s">
        <v>4664</v>
      </c>
      <c r="B3006" t="str">
        <f>"002323"</f>
        <v>002323</v>
      </c>
      <c r="C3006" t="s">
        <v>6351</v>
      </c>
      <c r="D3006" t="s">
        <v>722</v>
      </c>
      <c r="F3006">
        <v>-26576541</v>
      </c>
      <c r="G3006">
        <v>12808755</v>
      </c>
      <c r="H3006">
        <v>-28633269</v>
      </c>
      <c r="I3006">
        <v>3353987</v>
      </c>
      <c r="J3006">
        <v>180303970</v>
      </c>
      <c r="K3006">
        <v>105079150</v>
      </c>
      <c r="L3006">
        <v>163607968</v>
      </c>
      <c r="M3006">
        <v>13529188</v>
      </c>
      <c r="N3006">
        <v>29561905</v>
      </c>
      <c r="O3006">
        <v>28996161</v>
      </c>
      <c r="P3006">
        <v>78</v>
      </c>
      <c r="Q3006" t="s">
        <v>6352</v>
      </c>
    </row>
    <row r="3007" spans="1:17" x14ac:dyDescent="0.3">
      <c r="A3007" t="s">
        <v>4664</v>
      </c>
      <c r="B3007" t="str">
        <f>"002324"</f>
        <v>002324</v>
      </c>
      <c r="C3007" t="s">
        <v>6353</v>
      </c>
      <c r="D3007" t="s">
        <v>341</v>
      </c>
      <c r="F3007">
        <v>84410348</v>
      </c>
      <c r="G3007">
        <v>365707622</v>
      </c>
      <c r="H3007">
        <v>112075463</v>
      </c>
      <c r="I3007">
        <v>95884936</v>
      </c>
      <c r="J3007">
        <v>159508482</v>
      </c>
      <c r="K3007">
        <v>226702563</v>
      </c>
      <c r="L3007">
        <v>200683372</v>
      </c>
      <c r="M3007">
        <v>153049615</v>
      </c>
      <c r="N3007">
        <v>137335144</v>
      </c>
      <c r="O3007">
        <v>97435447</v>
      </c>
      <c r="P3007">
        <v>212</v>
      </c>
      <c r="Q3007" t="s">
        <v>6354</v>
      </c>
    </row>
    <row r="3008" spans="1:17" x14ac:dyDescent="0.3">
      <c r="A3008" t="s">
        <v>4664</v>
      </c>
      <c r="B3008" t="str">
        <f>"002325"</f>
        <v>002325</v>
      </c>
      <c r="C3008" t="s">
        <v>6355</v>
      </c>
      <c r="D3008" t="s">
        <v>450</v>
      </c>
      <c r="F3008">
        <v>82793248</v>
      </c>
      <c r="G3008">
        <v>-53960693</v>
      </c>
      <c r="H3008">
        <v>107972753</v>
      </c>
      <c r="I3008">
        <v>141527091</v>
      </c>
      <c r="J3008">
        <v>135581980</v>
      </c>
      <c r="K3008">
        <v>209996740</v>
      </c>
      <c r="L3008">
        <v>258601983</v>
      </c>
      <c r="M3008">
        <v>255699084</v>
      </c>
      <c r="N3008">
        <v>196224394</v>
      </c>
      <c r="O3008">
        <v>139068496</v>
      </c>
      <c r="P3008">
        <v>171</v>
      </c>
      <c r="Q3008" t="s">
        <v>6356</v>
      </c>
    </row>
    <row r="3009" spans="1:17" x14ac:dyDescent="0.3">
      <c r="A3009" t="s">
        <v>4664</v>
      </c>
      <c r="B3009" t="str">
        <f>"002326"</f>
        <v>002326</v>
      </c>
      <c r="C3009" t="s">
        <v>6357</v>
      </c>
      <c r="D3009" t="s">
        <v>375</v>
      </c>
      <c r="F3009">
        <v>375434124</v>
      </c>
      <c r="G3009">
        <v>227193411</v>
      </c>
      <c r="H3009">
        <v>317537850</v>
      </c>
      <c r="I3009">
        <v>398067962</v>
      </c>
      <c r="J3009">
        <v>280095787</v>
      </c>
      <c r="K3009">
        <v>122761081</v>
      </c>
      <c r="L3009">
        <v>129266004</v>
      </c>
      <c r="M3009">
        <v>47008350</v>
      </c>
      <c r="N3009">
        <v>29100593</v>
      </c>
      <c r="O3009">
        <v>55368846</v>
      </c>
      <c r="P3009">
        <v>298</v>
      </c>
      <c r="Q3009" t="s">
        <v>6358</v>
      </c>
    </row>
    <row r="3010" spans="1:17" x14ac:dyDescent="0.3">
      <c r="A3010" t="s">
        <v>4664</v>
      </c>
      <c r="B3010" t="str">
        <f>"002327"</f>
        <v>002327</v>
      </c>
      <c r="C3010" t="s">
        <v>6359</v>
      </c>
      <c r="D3010" t="s">
        <v>2862</v>
      </c>
      <c r="F3010">
        <v>317350223</v>
      </c>
      <c r="G3010">
        <v>274791522</v>
      </c>
      <c r="H3010">
        <v>245833416</v>
      </c>
      <c r="I3010">
        <v>290704423</v>
      </c>
      <c r="J3010">
        <v>240560189</v>
      </c>
      <c r="K3010">
        <v>243503753</v>
      </c>
      <c r="L3010">
        <v>250440838</v>
      </c>
      <c r="M3010">
        <v>243924696</v>
      </c>
      <c r="N3010">
        <v>210663059</v>
      </c>
      <c r="O3010">
        <v>162899566</v>
      </c>
      <c r="P3010">
        <v>1306</v>
      </c>
      <c r="Q3010" t="s">
        <v>6360</v>
      </c>
    </row>
    <row r="3011" spans="1:17" x14ac:dyDescent="0.3">
      <c r="A3011" t="s">
        <v>4664</v>
      </c>
      <c r="B3011" t="str">
        <f>"002328"</f>
        <v>002328</v>
      </c>
      <c r="C3011" t="s">
        <v>6361</v>
      </c>
      <c r="D3011" t="s">
        <v>985</v>
      </c>
      <c r="F3011">
        <v>234074822</v>
      </c>
      <c r="G3011">
        <v>87244617</v>
      </c>
      <c r="H3011">
        <v>79631232</v>
      </c>
      <c r="I3011">
        <v>72847970</v>
      </c>
      <c r="J3011">
        <v>70736109</v>
      </c>
      <c r="K3011">
        <v>71785160</v>
      </c>
      <c r="L3011">
        <v>72119427</v>
      </c>
      <c r="M3011">
        <v>58191291</v>
      </c>
      <c r="N3011">
        <v>30800267</v>
      </c>
      <c r="O3011">
        <v>38654905</v>
      </c>
      <c r="P3011">
        <v>110</v>
      </c>
      <c r="Q3011" t="s">
        <v>6362</v>
      </c>
    </row>
    <row r="3012" spans="1:17" x14ac:dyDescent="0.3">
      <c r="A3012" t="s">
        <v>4664</v>
      </c>
      <c r="B3012" t="str">
        <f>"002329"</f>
        <v>002329</v>
      </c>
      <c r="C3012" t="s">
        <v>6363</v>
      </c>
      <c r="D3012" t="s">
        <v>900</v>
      </c>
      <c r="F3012">
        <v>18001250</v>
      </c>
      <c r="G3012">
        <v>33102315</v>
      </c>
      <c r="H3012">
        <v>20136126</v>
      </c>
      <c r="I3012">
        <v>-44163007</v>
      </c>
      <c r="J3012">
        <v>113129752</v>
      </c>
      <c r="K3012">
        <v>132668561</v>
      </c>
      <c r="L3012">
        <v>75219384</v>
      </c>
      <c r="M3012">
        <v>32961180</v>
      </c>
      <c r="N3012">
        <v>26625898</v>
      </c>
      <c r="O3012">
        <v>23336388</v>
      </c>
      <c r="P3012">
        <v>186</v>
      </c>
      <c r="Q3012" t="s">
        <v>6364</v>
      </c>
    </row>
    <row r="3013" spans="1:17" x14ac:dyDescent="0.3">
      <c r="A3013" t="s">
        <v>4664</v>
      </c>
      <c r="B3013" t="str">
        <f>"002330"</f>
        <v>002330</v>
      </c>
      <c r="C3013" t="s">
        <v>6365</v>
      </c>
      <c r="D3013" t="s">
        <v>170</v>
      </c>
      <c r="F3013">
        <v>41079337</v>
      </c>
      <c r="G3013">
        <v>26767474</v>
      </c>
      <c r="H3013">
        <v>6742036</v>
      </c>
      <c r="I3013">
        <v>5406663</v>
      </c>
      <c r="J3013">
        <v>4561941</v>
      </c>
      <c r="K3013">
        <v>18485415</v>
      </c>
      <c r="L3013">
        <v>29405930</v>
      </c>
      <c r="M3013">
        <v>40270709</v>
      </c>
      <c r="N3013">
        <v>38606822</v>
      </c>
      <c r="O3013">
        <v>38249955</v>
      </c>
      <c r="P3013">
        <v>539</v>
      </c>
      <c r="Q3013" t="s">
        <v>6366</v>
      </c>
    </row>
    <row r="3014" spans="1:17" x14ac:dyDescent="0.3">
      <c r="A3014" t="s">
        <v>4664</v>
      </c>
      <c r="B3014" t="str">
        <f>"002331"</f>
        <v>002331</v>
      </c>
      <c r="C3014" t="s">
        <v>6367</v>
      </c>
      <c r="D3014" t="s">
        <v>316</v>
      </c>
      <c r="F3014">
        <v>12927862</v>
      </c>
      <c r="G3014">
        <v>44927846</v>
      </c>
      <c r="H3014">
        <v>80546009</v>
      </c>
      <c r="I3014">
        <v>68699715</v>
      </c>
      <c r="J3014">
        <v>60455437</v>
      </c>
      <c r="K3014">
        <v>56026876</v>
      </c>
      <c r="L3014">
        <v>49722449</v>
      </c>
      <c r="M3014">
        <v>41980740</v>
      </c>
      <c r="N3014">
        <v>47513295</v>
      </c>
      <c r="O3014">
        <v>34417256</v>
      </c>
      <c r="P3014">
        <v>121</v>
      </c>
      <c r="Q3014" t="s">
        <v>6368</v>
      </c>
    </row>
    <row r="3015" spans="1:17" x14ac:dyDescent="0.3">
      <c r="A3015" t="s">
        <v>4664</v>
      </c>
      <c r="B3015" t="str">
        <f>"002332"</f>
        <v>002332</v>
      </c>
      <c r="C3015" t="s">
        <v>6369</v>
      </c>
      <c r="D3015" t="s">
        <v>143</v>
      </c>
      <c r="F3015">
        <v>459227912</v>
      </c>
      <c r="G3015">
        <v>358457333</v>
      </c>
      <c r="H3015">
        <v>290822049</v>
      </c>
      <c r="I3015">
        <v>211667094</v>
      </c>
      <c r="J3015">
        <v>140940701</v>
      </c>
      <c r="K3015">
        <v>100608057</v>
      </c>
      <c r="L3015">
        <v>72426282</v>
      </c>
      <c r="M3015">
        <v>41269920</v>
      </c>
      <c r="N3015">
        <v>56790235</v>
      </c>
      <c r="O3015">
        <v>99769986</v>
      </c>
      <c r="P3015">
        <v>385</v>
      </c>
      <c r="Q3015" t="s">
        <v>6370</v>
      </c>
    </row>
    <row r="3016" spans="1:17" x14ac:dyDescent="0.3">
      <c r="A3016" t="s">
        <v>4664</v>
      </c>
      <c r="B3016" t="str">
        <f>"002333"</f>
        <v>002333</v>
      </c>
      <c r="C3016" t="s">
        <v>6371</v>
      </c>
      <c r="D3016" t="s">
        <v>722</v>
      </c>
      <c r="F3016">
        <v>15718811</v>
      </c>
      <c r="G3016">
        <v>-14102182</v>
      </c>
      <c r="H3016">
        <v>38142017</v>
      </c>
      <c r="I3016">
        <v>-66218838</v>
      </c>
      <c r="J3016">
        <v>-12102182</v>
      </c>
      <c r="K3016">
        <v>137401671</v>
      </c>
      <c r="L3016">
        <v>91092976</v>
      </c>
      <c r="M3016">
        <v>45857944</v>
      </c>
      <c r="N3016">
        <v>69091285</v>
      </c>
      <c r="O3016">
        <v>63591215</v>
      </c>
      <c r="P3016">
        <v>59</v>
      </c>
      <c r="Q3016" t="s">
        <v>6372</v>
      </c>
    </row>
    <row r="3017" spans="1:17" x14ac:dyDescent="0.3">
      <c r="A3017" t="s">
        <v>4664</v>
      </c>
      <c r="B3017" t="str">
        <f>"002334"</f>
        <v>002334</v>
      </c>
      <c r="C3017" t="s">
        <v>6373</v>
      </c>
      <c r="D3017" t="s">
        <v>2423</v>
      </c>
      <c r="F3017">
        <v>163355025</v>
      </c>
      <c r="G3017">
        <v>94210047</v>
      </c>
      <c r="H3017">
        <v>-39394031</v>
      </c>
      <c r="I3017">
        <v>186358297</v>
      </c>
      <c r="J3017">
        <v>177376872</v>
      </c>
      <c r="K3017">
        <v>59062368</v>
      </c>
      <c r="L3017">
        <v>102870325</v>
      </c>
      <c r="M3017">
        <v>126617601</v>
      </c>
      <c r="N3017">
        <v>88982031</v>
      </c>
      <c r="O3017">
        <v>64706808</v>
      </c>
      <c r="P3017">
        <v>222</v>
      </c>
      <c r="Q3017" t="s">
        <v>6374</v>
      </c>
    </row>
    <row r="3018" spans="1:17" x14ac:dyDescent="0.3">
      <c r="A3018" t="s">
        <v>4664</v>
      </c>
      <c r="B3018" t="str">
        <f>"002335"</f>
        <v>002335</v>
      </c>
      <c r="C3018" t="s">
        <v>6375</v>
      </c>
      <c r="D3018" t="s">
        <v>880</v>
      </c>
      <c r="F3018">
        <v>284375876</v>
      </c>
      <c r="G3018">
        <v>256753084</v>
      </c>
      <c r="H3018">
        <v>133127336</v>
      </c>
      <c r="I3018">
        <v>110753976</v>
      </c>
      <c r="J3018">
        <v>351512555</v>
      </c>
      <c r="K3018">
        <v>99462756</v>
      </c>
      <c r="L3018">
        <v>73189085</v>
      </c>
      <c r="M3018">
        <v>69996528</v>
      </c>
      <c r="N3018">
        <v>78513659</v>
      </c>
      <c r="O3018">
        <v>69450043</v>
      </c>
      <c r="P3018">
        <v>431</v>
      </c>
      <c r="Q3018" t="s">
        <v>6376</v>
      </c>
    </row>
    <row r="3019" spans="1:17" x14ac:dyDescent="0.3">
      <c r="A3019" t="s">
        <v>4664</v>
      </c>
      <c r="B3019" t="str">
        <f>"002336"</f>
        <v>002336</v>
      </c>
      <c r="C3019" t="s">
        <v>6377</v>
      </c>
      <c r="D3019" t="s">
        <v>798</v>
      </c>
      <c r="F3019">
        <v>-637859922</v>
      </c>
      <c r="G3019">
        <v>-294349156</v>
      </c>
      <c r="H3019">
        <v>-108922445</v>
      </c>
      <c r="I3019">
        <v>12863383</v>
      </c>
      <c r="J3019">
        <v>-279222178</v>
      </c>
      <c r="K3019">
        <v>6957906</v>
      </c>
      <c r="L3019">
        <v>-142484772</v>
      </c>
      <c r="M3019">
        <v>-78041588</v>
      </c>
      <c r="N3019">
        <v>15772532</v>
      </c>
      <c r="O3019">
        <v>-79408987</v>
      </c>
      <c r="P3019">
        <v>69</v>
      </c>
      <c r="Q3019" t="s">
        <v>6378</v>
      </c>
    </row>
    <row r="3020" spans="1:17" x14ac:dyDescent="0.3">
      <c r="A3020" t="s">
        <v>4664</v>
      </c>
      <c r="B3020" t="str">
        <f>"002337"</f>
        <v>002337</v>
      </c>
      <c r="C3020" t="s">
        <v>6379</v>
      </c>
      <c r="D3020" t="s">
        <v>741</v>
      </c>
      <c r="F3020">
        <v>33577025</v>
      </c>
      <c r="G3020">
        <v>-57364154</v>
      </c>
      <c r="H3020">
        <v>-5730262</v>
      </c>
      <c r="I3020">
        <v>-15086601</v>
      </c>
      <c r="J3020">
        <v>63876425</v>
      </c>
      <c r="K3020">
        <v>-5527714</v>
      </c>
      <c r="L3020">
        <v>-33559715</v>
      </c>
      <c r="M3020">
        <v>34877045</v>
      </c>
      <c r="N3020">
        <v>34581329</v>
      </c>
      <c r="O3020">
        <v>17012040</v>
      </c>
      <c r="P3020">
        <v>92</v>
      </c>
      <c r="Q3020" t="s">
        <v>6380</v>
      </c>
    </row>
    <row r="3021" spans="1:17" x14ac:dyDescent="0.3">
      <c r="A3021" t="s">
        <v>4664</v>
      </c>
      <c r="B3021" t="str">
        <f>"002338"</f>
        <v>002338</v>
      </c>
      <c r="C3021" t="s">
        <v>6381</v>
      </c>
      <c r="D3021" t="s">
        <v>1136</v>
      </c>
      <c r="F3021">
        <v>46727267</v>
      </c>
      <c r="G3021">
        <v>32218885</v>
      </c>
      <c r="H3021">
        <v>28859356</v>
      </c>
      <c r="I3021">
        <v>29052129</v>
      </c>
      <c r="J3021">
        <v>34562701</v>
      </c>
      <c r="K3021">
        <v>46241919</v>
      </c>
      <c r="L3021">
        <v>33251589</v>
      </c>
      <c r="M3021">
        <v>40075230</v>
      </c>
      <c r="N3021">
        <v>39077998</v>
      </c>
      <c r="O3021">
        <v>39042072</v>
      </c>
      <c r="P3021">
        <v>147</v>
      </c>
      <c r="Q3021" t="s">
        <v>6382</v>
      </c>
    </row>
    <row r="3022" spans="1:17" x14ac:dyDescent="0.3">
      <c r="A3022" t="s">
        <v>4664</v>
      </c>
      <c r="B3022" t="str">
        <f>"002339"</f>
        <v>002339</v>
      </c>
      <c r="C3022" t="s">
        <v>6383</v>
      </c>
      <c r="D3022" t="s">
        <v>610</v>
      </c>
      <c r="F3022">
        <v>-19818026</v>
      </c>
      <c r="G3022">
        <v>-8341858</v>
      </c>
      <c r="H3022">
        <v>-28135025</v>
      </c>
      <c r="I3022">
        <v>36396040</v>
      </c>
      <c r="J3022">
        <v>33151256</v>
      </c>
      <c r="K3022">
        <v>79648853</v>
      </c>
      <c r="L3022">
        <v>72284008</v>
      </c>
      <c r="M3022">
        <v>63013491</v>
      </c>
      <c r="N3022">
        <v>57319674</v>
      </c>
      <c r="O3022">
        <v>44697630</v>
      </c>
      <c r="P3022">
        <v>120</v>
      </c>
      <c r="Q3022" t="s">
        <v>6384</v>
      </c>
    </row>
    <row r="3023" spans="1:17" x14ac:dyDescent="0.3">
      <c r="A3023" t="s">
        <v>4664</v>
      </c>
      <c r="B3023" t="str">
        <f>"002340"</f>
        <v>002340</v>
      </c>
      <c r="C3023" t="s">
        <v>6385</v>
      </c>
      <c r="D3023" t="s">
        <v>1786</v>
      </c>
      <c r="F3023">
        <v>716463274</v>
      </c>
      <c r="G3023">
        <v>325548630</v>
      </c>
      <c r="H3023">
        <v>603599472</v>
      </c>
      <c r="I3023">
        <v>517792737</v>
      </c>
      <c r="J3023">
        <v>387517336</v>
      </c>
      <c r="K3023">
        <v>198365328</v>
      </c>
      <c r="L3023">
        <v>188528045</v>
      </c>
      <c r="M3023">
        <v>155747738</v>
      </c>
      <c r="N3023">
        <v>117072537</v>
      </c>
      <c r="O3023">
        <v>107966900</v>
      </c>
      <c r="P3023">
        <v>1302</v>
      </c>
      <c r="Q3023" t="s">
        <v>6386</v>
      </c>
    </row>
    <row r="3024" spans="1:17" x14ac:dyDescent="0.3">
      <c r="A3024" t="s">
        <v>4664</v>
      </c>
      <c r="B3024" t="str">
        <f>"002341"</f>
        <v>002341</v>
      </c>
      <c r="C3024" t="s">
        <v>6387</v>
      </c>
      <c r="D3024" t="s">
        <v>324</v>
      </c>
      <c r="F3024">
        <v>-189714538</v>
      </c>
      <c r="G3024">
        <v>-48140147</v>
      </c>
      <c r="H3024">
        <v>40432347</v>
      </c>
      <c r="I3024">
        <v>306061535</v>
      </c>
      <c r="J3024">
        <v>122193185</v>
      </c>
      <c r="K3024">
        <v>51563355</v>
      </c>
      <c r="L3024">
        <v>4774086</v>
      </c>
      <c r="M3024">
        <v>80563828</v>
      </c>
      <c r="N3024">
        <v>93797871</v>
      </c>
      <c r="O3024">
        <v>77446601</v>
      </c>
      <c r="P3024">
        <v>276</v>
      </c>
      <c r="Q3024" t="s">
        <v>6388</v>
      </c>
    </row>
    <row r="3025" spans="1:17" x14ac:dyDescent="0.3">
      <c r="A3025" t="s">
        <v>4664</v>
      </c>
      <c r="B3025" t="str">
        <f>"002342"</f>
        <v>002342</v>
      </c>
      <c r="C3025" t="s">
        <v>6389</v>
      </c>
      <c r="D3025" t="s">
        <v>274</v>
      </c>
      <c r="F3025">
        <v>19168680</v>
      </c>
      <c r="G3025">
        <v>18075667</v>
      </c>
      <c r="H3025">
        <v>17231851</v>
      </c>
      <c r="I3025">
        <v>15577281</v>
      </c>
      <c r="J3025">
        <v>22873079</v>
      </c>
      <c r="K3025">
        <v>20574997</v>
      </c>
      <c r="L3025">
        <v>36060807</v>
      </c>
      <c r="M3025">
        <v>46382057</v>
      </c>
      <c r="N3025">
        <v>75907268</v>
      </c>
      <c r="O3025">
        <v>108850702</v>
      </c>
      <c r="P3025">
        <v>112</v>
      </c>
      <c r="Q3025" t="s">
        <v>6390</v>
      </c>
    </row>
    <row r="3026" spans="1:17" x14ac:dyDescent="0.3">
      <c r="A3026" t="s">
        <v>4664</v>
      </c>
      <c r="B3026" t="str">
        <f>"002343"</f>
        <v>002343</v>
      </c>
      <c r="C3026" t="s">
        <v>6391</v>
      </c>
      <c r="D3026" t="s">
        <v>113</v>
      </c>
      <c r="F3026">
        <v>8100542</v>
      </c>
      <c r="G3026">
        <v>-18282462</v>
      </c>
      <c r="H3026">
        <v>89891153</v>
      </c>
      <c r="I3026">
        <v>245475260</v>
      </c>
      <c r="J3026">
        <v>149503134</v>
      </c>
      <c r="K3026">
        <v>145972777</v>
      </c>
      <c r="L3026">
        <v>46245423</v>
      </c>
      <c r="M3026">
        <v>32654818</v>
      </c>
      <c r="N3026">
        <v>45250658</v>
      </c>
      <c r="O3026">
        <v>55893014</v>
      </c>
      <c r="P3026">
        <v>183</v>
      </c>
      <c r="Q3026" t="s">
        <v>6392</v>
      </c>
    </row>
    <row r="3027" spans="1:17" x14ac:dyDescent="0.3">
      <c r="A3027" t="s">
        <v>4664</v>
      </c>
      <c r="B3027" t="str">
        <f>"002344"</f>
        <v>002344</v>
      </c>
      <c r="C3027" t="s">
        <v>6393</v>
      </c>
      <c r="D3027" t="s">
        <v>271</v>
      </c>
      <c r="F3027">
        <v>247984046</v>
      </c>
      <c r="G3027">
        <v>168053297</v>
      </c>
      <c r="H3027">
        <v>242769406</v>
      </c>
      <c r="I3027">
        <v>297140198</v>
      </c>
      <c r="J3027">
        <v>256781737</v>
      </c>
      <c r="K3027">
        <v>488706161</v>
      </c>
      <c r="L3027">
        <v>662991065</v>
      </c>
      <c r="M3027">
        <v>790184356</v>
      </c>
      <c r="N3027">
        <v>788841137</v>
      </c>
      <c r="O3027">
        <v>461142425</v>
      </c>
      <c r="P3027">
        <v>145</v>
      </c>
      <c r="Q3027" t="s">
        <v>6394</v>
      </c>
    </row>
    <row r="3028" spans="1:17" x14ac:dyDescent="0.3">
      <c r="A3028" t="s">
        <v>4664</v>
      </c>
      <c r="B3028" t="str">
        <f>"002345"</f>
        <v>002345</v>
      </c>
      <c r="C3028" t="s">
        <v>6395</v>
      </c>
      <c r="D3028" t="s">
        <v>1238</v>
      </c>
      <c r="F3028">
        <v>285091480</v>
      </c>
      <c r="G3028">
        <v>80741524</v>
      </c>
      <c r="H3028">
        <v>198580311</v>
      </c>
      <c r="I3028">
        <v>227737492</v>
      </c>
      <c r="J3028">
        <v>231698642</v>
      </c>
      <c r="K3028">
        <v>194648358</v>
      </c>
      <c r="L3028">
        <v>193732447</v>
      </c>
      <c r="M3028">
        <v>178598441</v>
      </c>
      <c r="N3028">
        <v>141405550</v>
      </c>
      <c r="O3028">
        <v>104951136</v>
      </c>
      <c r="P3028">
        <v>137</v>
      </c>
      <c r="Q3028" t="s">
        <v>6396</v>
      </c>
    </row>
    <row r="3029" spans="1:17" x14ac:dyDescent="0.3">
      <c r="A3029" t="s">
        <v>4664</v>
      </c>
      <c r="B3029" t="str">
        <f>"002346"</f>
        <v>002346</v>
      </c>
      <c r="C3029" t="s">
        <v>6397</v>
      </c>
      <c r="D3029" t="s">
        <v>210</v>
      </c>
      <c r="F3029">
        <v>322192151</v>
      </c>
      <c r="G3029">
        <v>5704520</v>
      </c>
      <c r="H3029">
        <v>74596318</v>
      </c>
      <c r="I3029">
        <v>52225658</v>
      </c>
      <c r="J3029">
        <v>244410376</v>
      </c>
      <c r="K3029">
        <v>12029062</v>
      </c>
      <c r="L3029">
        <v>98663995</v>
      </c>
      <c r="M3029">
        <v>3028861</v>
      </c>
      <c r="N3029">
        <v>-7944903</v>
      </c>
      <c r="O3029">
        <v>18435072</v>
      </c>
      <c r="P3029">
        <v>105</v>
      </c>
      <c r="Q3029" t="s">
        <v>6398</v>
      </c>
    </row>
    <row r="3030" spans="1:17" x14ac:dyDescent="0.3">
      <c r="A3030" t="s">
        <v>4664</v>
      </c>
      <c r="B3030" t="str">
        <f>"002347"</f>
        <v>002347</v>
      </c>
      <c r="C3030" t="s">
        <v>6399</v>
      </c>
      <c r="D3030" t="s">
        <v>274</v>
      </c>
      <c r="F3030">
        <v>18460490</v>
      </c>
      <c r="G3030">
        <v>10619465</v>
      </c>
      <c r="H3030">
        <v>17963642</v>
      </c>
      <c r="I3030">
        <v>14533249</v>
      </c>
      <c r="J3030">
        <v>10252678</v>
      </c>
      <c r="K3030">
        <v>13360807</v>
      </c>
      <c r="L3030">
        <v>11475820</v>
      </c>
      <c r="M3030">
        <v>10902593</v>
      </c>
      <c r="N3030">
        <v>20727454</v>
      </c>
      <c r="O3030">
        <v>51067285</v>
      </c>
      <c r="P3030">
        <v>75</v>
      </c>
      <c r="Q3030" t="s">
        <v>6400</v>
      </c>
    </row>
    <row r="3031" spans="1:17" x14ac:dyDescent="0.3">
      <c r="A3031" t="s">
        <v>4664</v>
      </c>
      <c r="B3031" t="str">
        <f>"002348"</f>
        <v>002348</v>
      </c>
      <c r="C3031" t="s">
        <v>6401</v>
      </c>
      <c r="D3031" t="s">
        <v>2904</v>
      </c>
      <c r="F3031">
        <v>-39888502</v>
      </c>
      <c r="G3031">
        <v>-39512766</v>
      </c>
      <c r="H3031">
        <v>23362443</v>
      </c>
      <c r="I3031">
        <v>40112642</v>
      </c>
      <c r="J3031">
        <v>41410240</v>
      </c>
      <c r="K3031">
        <v>37787566</v>
      </c>
      <c r="L3031">
        <v>46181622</v>
      </c>
      <c r="M3031">
        <v>51884349</v>
      </c>
      <c r="N3031">
        <v>68439512</v>
      </c>
      <c r="O3031">
        <v>59573476</v>
      </c>
      <c r="P3031">
        <v>112</v>
      </c>
      <c r="Q3031" t="s">
        <v>6402</v>
      </c>
    </row>
    <row r="3032" spans="1:17" x14ac:dyDescent="0.3">
      <c r="A3032" t="s">
        <v>4664</v>
      </c>
      <c r="B3032" t="str">
        <f>"002349"</f>
        <v>002349</v>
      </c>
      <c r="C3032" t="s">
        <v>6403</v>
      </c>
      <c r="D3032" t="s">
        <v>188</v>
      </c>
      <c r="F3032">
        <v>128401348</v>
      </c>
      <c r="G3032">
        <v>101650605</v>
      </c>
      <c r="H3032">
        <v>-212909030</v>
      </c>
      <c r="I3032">
        <v>172181569</v>
      </c>
      <c r="J3032">
        <v>130145009</v>
      </c>
      <c r="K3032">
        <v>112594611</v>
      </c>
      <c r="L3032">
        <v>48511847</v>
      </c>
      <c r="M3032">
        <v>29760628</v>
      </c>
      <c r="N3032">
        <v>32443610</v>
      </c>
      <c r="O3032">
        <v>43156276</v>
      </c>
      <c r="P3032">
        <v>194</v>
      </c>
      <c r="Q3032" t="s">
        <v>6404</v>
      </c>
    </row>
    <row r="3033" spans="1:17" x14ac:dyDescent="0.3">
      <c r="A3033" t="s">
        <v>4664</v>
      </c>
      <c r="B3033" t="str">
        <f>"002350"</f>
        <v>002350</v>
      </c>
      <c r="C3033" t="s">
        <v>6405</v>
      </c>
      <c r="D3033" t="s">
        <v>657</v>
      </c>
      <c r="F3033">
        <v>28988388</v>
      </c>
      <c r="G3033">
        <v>25882223</v>
      </c>
      <c r="H3033">
        <v>48644423</v>
      </c>
      <c r="I3033">
        <v>67880504</v>
      </c>
      <c r="J3033">
        <v>14533937</v>
      </c>
      <c r="K3033">
        <v>26083259</v>
      </c>
      <c r="L3033">
        <v>5652110</v>
      </c>
      <c r="M3033">
        <v>41506191</v>
      </c>
      <c r="N3033">
        <v>34896328</v>
      </c>
      <c r="O3033">
        <v>49355709</v>
      </c>
      <c r="P3033">
        <v>104</v>
      </c>
      <c r="Q3033" t="s">
        <v>6406</v>
      </c>
    </row>
    <row r="3034" spans="1:17" x14ac:dyDescent="0.3">
      <c r="A3034" t="s">
        <v>4664</v>
      </c>
      <c r="B3034" t="str">
        <f>"002351"</f>
        <v>002351</v>
      </c>
      <c r="C3034" t="s">
        <v>6407</v>
      </c>
      <c r="D3034" t="s">
        <v>3499</v>
      </c>
      <c r="F3034">
        <v>254184799</v>
      </c>
      <c r="G3034">
        <v>184600990</v>
      </c>
      <c r="H3034">
        <v>80250155</v>
      </c>
      <c r="I3034">
        <v>53968471</v>
      </c>
      <c r="J3034">
        <v>100780613</v>
      </c>
      <c r="K3034">
        <v>62995630</v>
      </c>
      <c r="L3034">
        <v>77656517</v>
      </c>
      <c r="M3034">
        <v>71405184</v>
      </c>
      <c r="N3034">
        <v>70528907</v>
      </c>
      <c r="O3034">
        <v>73894214</v>
      </c>
      <c r="P3034">
        <v>339</v>
      </c>
      <c r="Q3034" t="s">
        <v>6408</v>
      </c>
    </row>
    <row r="3035" spans="1:17" x14ac:dyDescent="0.3">
      <c r="A3035" t="s">
        <v>4664</v>
      </c>
      <c r="B3035" t="str">
        <f>"002352"</f>
        <v>002352</v>
      </c>
      <c r="C3035" t="s">
        <v>6409</v>
      </c>
      <c r="D3035" t="s">
        <v>537</v>
      </c>
      <c r="F3035">
        <v>1797653031</v>
      </c>
      <c r="G3035">
        <v>5597956923</v>
      </c>
      <c r="H3035">
        <v>4311496375</v>
      </c>
      <c r="I3035">
        <v>3028036460</v>
      </c>
      <c r="J3035">
        <v>3645389408</v>
      </c>
      <c r="K3035">
        <v>14825941</v>
      </c>
      <c r="L3035">
        <v>20943645</v>
      </c>
      <c r="M3035">
        <v>26313548</v>
      </c>
      <c r="N3035">
        <v>37483969</v>
      </c>
      <c r="O3035">
        <v>36869527</v>
      </c>
      <c r="P3035">
        <v>3728</v>
      </c>
      <c r="Q3035" t="s">
        <v>6410</v>
      </c>
    </row>
    <row r="3036" spans="1:17" x14ac:dyDescent="0.3">
      <c r="A3036" t="s">
        <v>4664</v>
      </c>
      <c r="B3036" t="str">
        <f>"002353"</f>
        <v>002353</v>
      </c>
      <c r="C3036" t="s">
        <v>6411</v>
      </c>
      <c r="D3036" t="s">
        <v>395</v>
      </c>
      <c r="F3036">
        <v>1146049640</v>
      </c>
      <c r="G3036">
        <v>1114712414</v>
      </c>
      <c r="H3036">
        <v>904948581</v>
      </c>
      <c r="I3036">
        <v>362759992</v>
      </c>
      <c r="J3036">
        <v>48784453</v>
      </c>
      <c r="K3036">
        <v>104877279</v>
      </c>
      <c r="L3036">
        <v>124684680</v>
      </c>
      <c r="M3036">
        <v>1038384525</v>
      </c>
      <c r="N3036">
        <v>710353116</v>
      </c>
      <c r="O3036">
        <v>399335952</v>
      </c>
      <c r="P3036">
        <v>861</v>
      </c>
      <c r="Q3036" t="s">
        <v>6412</v>
      </c>
    </row>
    <row r="3037" spans="1:17" x14ac:dyDescent="0.3">
      <c r="A3037" t="s">
        <v>4664</v>
      </c>
      <c r="B3037" t="str">
        <f>"002354"</f>
        <v>002354</v>
      </c>
      <c r="C3037" t="s">
        <v>6413</v>
      </c>
      <c r="D3037" t="s">
        <v>517</v>
      </c>
      <c r="F3037">
        <v>26635053</v>
      </c>
      <c r="G3037">
        <v>-197286608</v>
      </c>
      <c r="H3037">
        <v>-406174519</v>
      </c>
      <c r="I3037">
        <v>251323224</v>
      </c>
      <c r="J3037">
        <v>750400823</v>
      </c>
      <c r="K3037">
        <v>338542006</v>
      </c>
      <c r="L3037">
        <v>242815995</v>
      </c>
      <c r="M3037">
        <v>141271996</v>
      </c>
      <c r="N3037">
        <v>11508949</v>
      </c>
      <c r="O3037">
        <v>17031561</v>
      </c>
      <c r="P3037">
        <v>265</v>
      </c>
      <c r="Q3037" t="s">
        <v>6414</v>
      </c>
    </row>
    <row r="3038" spans="1:17" x14ac:dyDescent="0.3">
      <c r="A3038" t="s">
        <v>4664</v>
      </c>
      <c r="B3038" t="str">
        <f>"002355"</f>
        <v>002355</v>
      </c>
      <c r="C3038" t="s">
        <v>6415</v>
      </c>
      <c r="D3038" t="s">
        <v>422</v>
      </c>
      <c r="F3038">
        <v>-49321775</v>
      </c>
      <c r="G3038">
        <v>-151553098</v>
      </c>
      <c r="H3038">
        <v>13146640</v>
      </c>
      <c r="I3038">
        <v>54154468</v>
      </c>
      <c r="J3038">
        <v>55068250</v>
      </c>
      <c r="K3038">
        <v>39038585</v>
      </c>
      <c r="L3038">
        <v>21063664</v>
      </c>
      <c r="M3038">
        <v>45008943</v>
      </c>
      <c r="N3038">
        <v>68796133</v>
      </c>
      <c r="O3038">
        <v>56379593</v>
      </c>
      <c r="P3038">
        <v>120</v>
      </c>
      <c r="Q3038" t="s">
        <v>6416</v>
      </c>
    </row>
    <row r="3039" spans="1:17" x14ac:dyDescent="0.3">
      <c r="A3039" t="s">
        <v>4664</v>
      </c>
      <c r="B3039" t="str">
        <f>"002356"</f>
        <v>002356</v>
      </c>
      <c r="C3039" t="s">
        <v>6417</v>
      </c>
      <c r="D3039" t="s">
        <v>1404</v>
      </c>
      <c r="F3039">
        <v>-193310491</v>
      </c>
      <c r="G3039">
        <v>-152181067</v>
      </c>
      <c r="H3039">
        <v>-416535214</v>
      </c>
      <c r="I3039">
        <v>-249587870</v>
      </c>
      <c r="J3039">
        <v>114439328</v>
      </c>
      <c r="K3039">
        <v>130434268</v>
      </c>
      <c r="L3039">
        <v>61081915</v>
      </c>
      <c r="M3039">
        <v>9348889</v>
      </c>
      <c r="N3039">
        <v>6859274</v>
      </c>
      <c r="O3039">
        <v>6761148</v>
      </c>
      <c r="P3039">
        <v>75</v>
      </c>
      <c r="Q3039" t="s">
        <v>6418</v>
      </c>
    </row>
    <row r="3040" spans="1:17" x14ac:dyDescent="0.3">
      <c r="A3040" t="s">
        <v>4664</v>
      </c>
      <c r="B3040" t="str">
        <f>"002357"</f>
        <v>002357</v>
      </c>
      <c r="C3040" t="s">
        <v>6419</v>
      </c>
      <c r="D3040" t="s">
        <v>1133</v>
      </c>
      <c r="F3040">
        <v>89910403</v>
      </c>
      <c r="G3040">
        <v>67434663</v>
      </c>
      <c r="H3040">
        <v>103181652</v>
      </c>
      <c r="I3040">
        <v>48842922</v>
      </c>
      <c r="J3040">
        <v>115671316</v>
      </c>
      <c r="K3040">
        <v>111320624</v>
      </c>
      <c r="L3040">
        <v>106194564</v>
      </c>
      <c r="M3040">
        <v>95739267</v>
      </c>
      <c r="N3040">
        <v>58811318</v>
      </c>
      <c r="O3040">
        <v>82276104</v>
      </c>
      <c r="P3040">
        <v>102</v>
      </c>
      <c r="Q3040" t="s">
        <v>6420</v>
      </c>
    </row>
    <row r="3041" spans="1:17" x14ac:dyDescent="0.3">
      <c r="A3041" t="s">
        <v>4664</v>
      </c>
      <c r="B3041" t="str">
        <f>"002358"</f>
        <v>002358</v>
      </c>
      <c r="C3041" t="s">
        <v>6421</v>
      </c>
      <c r="D3041" t="s">
        <v>210</v>
      </c>
      <c r="F3041">
        <v>-59366564</v>
      </c>
      <c r="G3041">
        <v>20446846</v>
      </c>
      <c r="H3041">
        <v>63930374</v>
      </c>
      <c r="I3041">
        <v>417769129</v>
      </c>
      <c r="J3041">
        <v>414778168</v>
      </c>
      <c r="K3041">
        <v>295628606</v>
      </c>
      <c r="L3041">
        <v>210289521</v>
      </c>
      <c r="M3041">
        <v>179220319</v>
      </c>
      <c r="N3041">
        <v>175731204</v>
      </c>
      <c r="O3041">
        <v>138103515</v>
      </c>
      <c r="P3041">
        <v>142</v>
      </c>
      <c r="Q3041" t="s">
        <v>6422</v>
      </c>
    </row>
    <row r="3042" spans="1:17" x14ac:dyDescent="0.3">
      <c r="A3042" t="s">
        <v>4664</v>
      </c>
      <c r="B3042" t="str">
        <f>"002359"</f>
        <v>002359</v>
      </c>
      <c r="C3042" t="s">
        <v>6423</v>
      </c>
      <c r="G3042">
        <v>-656043927</v>
      </c>
      <c r="H3042">
        <v>-720081113</v>
      </c>
      <c r="I3042">
        <v>535786018</v>
      </c>
      <c r="J3042">
        <v>147737270</v>
      </c>
      <c r="K3042">
        <v>-51057539</v>
      </c>
      <c r="L3042">
        <v>2325704</v>
      </c>
      <c r="M3042">
        <v>-19094805</v>
      </c>
      <c r="N3042">
        <v>16331965</v>
      </c>
      <c r="O3042">
        <v>18826066</v>
      </c>
      <c r="P3042">
        <v>68</v>
      </c>
      <c r="Q3042" t="s">
        <v>6424</v>
      </c>
    </row>
    <row r="3043" spans="1:17" x14ac:dyDescent="0.3">
      <c r="A3043" t="s">
        <v>4664</v>
      </c>
      <c r="B3043" t="str">
        <f>"002360"</f>
        <v>002360</v>
      </c>
      <c r="C3043" t="s">
        <v>6425</v>
      </c>
      <c r="D3043" t="s">
        <v>2713</v>
      </c>
      <c r="F3043">
        <v>96244834</v>
      </c>
      <c r="G3043">
        <v>94342411</v>
      </c>
      <c r="H3043">
        <v>126957320</v>
      </c>
      <c r="I3043">
        <v>115869484</v>
      </c>
      <c r="J3043">
        <v>66736060</v>
      </c>
      <c r="K3043">
        <v>52163041</v>
      </c>
      <c r="L3043">
        <v>73641336</v>
      </c>
      <c r="M3043">
        <v>94520538</v>
      </c>
      <c r="N3043">
        <v>92269459</v>
      </c>
      <c r="O3043">
        <v>53587648</v>
      </c>
      <c r="P3043">
        <v>111</v>
      </c>
      <c r="Q3043" t="s">
        <v>6426</v>
      </c>
    </row>
    <row r="3044" spans="1:17" x14ac:dyDescent="0.3">
      <c r="A3044" t="s">
        <v>4664</v>
      </c>
      <c r="B3044" t="str">
        <f>"002361"</f>
        <v>002361</v>
      </c>
      <c r="C3044" t="s">
        <v>6427</v>
      </c>
      <c r="D3044" t="s">
        <v>3350</v>
      </c>
      <c r="F3044">
        <v>98519420</v>
      </c>
      <c r="G3044">
        <v>54725428</v>
      </c>
      <c r="H3044">
        <v>89985247</v>
      </c>
      <c r="I3044">
        <v>60556126</v>
      </c>
      <c r="J3044">
        <v>82577246</v>
      </c>
      <c r="K3044">
        <v>107619264</v>
      </c>
      <c r="L3044">
        <v>81890380</v>
      </c>
      <c r="M3044">
        <v>63742715</v>
      </c>
      <c r="N3044">
        <v>48192048</v>
      </c>
      <c r="O3044">
        <v>45020620</v>
      </c>
      <c r="P3044">
        <v>89</v>
      </c>
      <c r="Q3044" t="s">
        <v>6428</v>
      </c>
    </row>
    <row r="3045" spans="1:17" x14ac:dyDescent="0.3">
      <c r="A3045" t="s">
        <v>4664</v>
      </c>
      <c r="B3045" t="str">
        <f>"002362"</f>
        <v>002362</v>
      </c>
      <c r="C3045" t="s">
        <v>6429</v>
      </c>
      <c r="D3045" t="s">
        <v>945</v>
      </c>
      <c r="F3045">
        <v>40031590</v>
      </c>
      <c r="G3045">
        <v>70232650</v>
      </c>
      <c r="H3045">
        <v>27537874</v>
      </c>
      <c r="I3045">
        <v>26831354</v>
      </c>
      <c r="J3045">
        <v>33253933</v>
      </c>
      <c r="K3045">
        <v>14981542</v>
      </c>
      <c r="L3045">
        <v>-1307782</v>
      </c>
      <c r="M3045">
        <v>4918883</v>
      </c>
      <c r="N3045">
        <v>-63609570</v>
      </c>
      <c r="O3045">
        <v>-38184476</v>
      </c>
      <c r="P3045">
        <v>197</v>
      </c>
      <c r="Q3045" t="s">
        <v>6430</v>
      </c>
    </row>
    <row r="3046" spans="1:17" x14ac:dyDescent="0.3">
      <c r="A3046" t="s">
        <v>4664</v>
      </c>
      <c r="B3046" t="str">
        <f>"002363"</f>
        <v>002363</v>
      </c>
      <c r="C3046" t="s">
        <v>6431</v>
      </c>
      <c r="D3046" t="s">
        <v>348</v>
      </c>
      <c r="F3046">
        <v>29285304</v>
      </c>
      <c r="G3046">
        <v>55819728</v>
      </c>
      <c r="H3046">
        <v>68956594</v>
      </c>
      <c r="I3046">
        <v>75179514</v>
      </c>
      <c r="J3046">
        <v>57687950</v>
      </c>
      <c r="K3046">
        <v>52899761</v>
      </c>
      <c r="L3046">
        <v>51167771</v>
      </c>
      <c r="M3046">
        <v>41817209</v>
      </c>
      <c r="N3046">
        <v>45887042</v>
      </c>
      <c r="O3046">
        <v>29155652</v>
      </c>
      <c r="P3046">
        <v>126</v>
      </c>
      <c r="Q3046" t="s">
        <v>6432</v>
      </c>
    </row>
    <row r="3047" spans="1:17" x14ac:dyDescent="0.3">
      <c r="A3047" t="s">
        <v>4664</v>
      </c>
      <c r="B3047" t="str">
        <f>"002364"</f>
        <v>002364</v>
      </c>
      <c r="C3047" t="s">
        <v>6433</v>
      </c>
      <c r="D3047" t="s">
        <v>880</v>
      </c>
      <c r="F3047">
        <v>75555804</v>
      </c>
      <c r="G3047">
        <v>96161906</v>
      </c>
      <c r="H3047">
        <v>62395187</v>
      </c>
      <c r="I3047">
        <v>89041401</v>
      </c>
      <c r="J3047">
        <v>80376006</v>
      </c>
      <c r="K3047">
        <v>131897446</v>
      </c>
      <c r="L3047">
        <v>100802264</v>
      </c>
      <c r="M3047">
        <v>74858259</v>
      </c>
      <c r="N3047">
        <v>52612560</v>
      </c>
      <c r="O3047">
        <v>31548874</v>
      </c>
      <c r="P3047">
        <v>219</v>
      </c>
      <c r="Q3047" t="s">
        <v>6434</v>
      </c>
    </row>
    <row r="3048" spans="1:17" x14ac:dyDescent="0.3">
      <c r="A3048" t="s">
        <v>4664</v>
      </c>
      <c r="B3048" t="str">
        <f>"002365"</f>
        <v>002365</v>
      </c>
      <c r="C3048" t="s">
        <v>6435</v>
      </c>
      <c r="D3048" t="s">
        <v>496</v>
      </c>
      <c r="F3048">
        <v>82407793</v>
      </c>
      <c r="G3048">
        <v>114642544</v>
      </c>
      <c r="H3048">
        <v>69823037</v>
      </c>
      <c r="I3048">
        <v>151828568</v>
      </c>
      <c r="J3048">
        <v>120637134</v>
      </c>
      <c r="K3048">
        <v>50540868</v>
      </c>
      <c r="L3048">
        <v>17792972</v>
      </c>
      <c r="M3048">
        <v>30336595</v>
      </c>
      <c r="N3048">
        <v>24827268</v>
      </c>
      <c r="O3048">
        <v>59640955</v>
      </c>
      <c r="P3048">
        <v>195</v>
      </c>
      <c r="Q3048" t="s">
        <v>6436</v>
      </c>
    </row>
    <row r="3049" spans="1:17" x14ac:dyDescent="0.3">
      <c r="A3049" t="s">
        <v>4664</v>
      </c>
      <c r="B3049" t="str">
        <f>"002366"</f>
        <v>002366</v>
      </c>
      <c r="C3049" t="s">
        <v>6437</v>
      </c>
      <c r="D3049" t="s">
        <v>880</v>
      </c>
      <c r="F3049">
        <v>-163215124</v>
      </c>
      <c r="G3049">
        <v>-315858826</v>
      </c>
      <c r="H3049">
        <v>-171280726</v>
      </c>
      <c r="I3049">
        <v>336079824</v>
      </c>
      <c r="J3049">
        <v>654384977</v>
      </c>
      <c r="K3049">
        <v>353732022</v>
      </c>
      <c r="L3049">
        <v>-92896739</v>
      </c>
      <c r="M3049">
        <v>33932323</v>
      </c>
      <c r="N3049">
        <v>34599825</v>
      </c>
      <c r="O3049">
        <v>28768845</v>
      </c>
      <c r="P3049">
        <v>175</v>
      </c>
      <c r="Q3049" t="s">
        <v>6438</v>
      </c>
    </row>
    <row r="3050" spans="1:17" x14ac:dyDescent="0.3">
      <c r="A3050" t="s">
        <v>4664</v>
      </c>
      <c r="B3050" t="str">
        <f>"002367"</f>
        <v>002367</v>
      </c>
      <c r="C3050" t="s">
        <v>6439</v>
      </c>
      <c r="D3050" t="s">
        <v>1689</v>
      </c>
      <c r="F3050">
        <v>314754107</v>
      </c>
      <c r="G3050">
        <v>368514943</v>
      </c>
      <c r="H3050">
        <v>201530828</v>
      </c>
      <c r="I3050">
        <v>62178461</v>
      </c>
      <c r="J3050">
        <v>274661630</v>
      </c>
      <c r="K3050">
        <v>367913868</v>
      </c>
      <c r="L3050">
        <v>331018012</v>
      </c>
      <c r="M3050">
        <v>263277327</v>
      </c>
      <c r="N3050">
        <v>179997999</v>
      </c>
      <c r="O3050">
        <v>129871454</v>
      </c>
      <c r="P3050">
        <v>388</v>
      </c>
      <c r="Q3050" t="s">
        <v>6440</v>
      </c>
    </row>
    <row r="3051" spans="1:17" x14ac:dyDescent="0.3">
      <c r="A3051" t="s">
        <v>4664</v>
      </c>
      <c r="B3051" t="str">
        <f>"002368"</f>
        <v>002368</v>
      </c>
      <c r="C3051" t="s">
        <v>6441</v>
      </c>
      <c r="D3051" t="s">
        <v>316</v>
      </c>
      <c r="F3051">
        <v>86084350</v>
      </c>
      <c r="G3051">
        <v>78086673</v>
      </c>
      <c r="H3051">
        <v>76183104</v>
      </c>
      <c r="I3051">
        <v>69523364</v>
      </c>
      <c r="J3051">
        <v>66076347</v>
      </c>
      <c r="K3051">
        <v>64820265</v>
      </c>
      <c r="L3051">
        <v>60769412</v>
      </c>
      <c r="M3051">
        <v>86433305</v>
      </c>
      <c r="N3051">
        <v>85666630</v>
      </c>
      <c r="O3051">
        <v>82749191</v>
      </c>
      <c r="P3051">
        <v>373</v>
      </c>
      <c r="Q3051" t="s">
        <v>6442</v>
      </c>
    </row>
    <row r="3052" spans="1:17" x14ac:dyDescent="0.3">
      <c r="A3052" t="s">
        <v>4664</v>
      </c>
      <c r="B3052" t="str">
        <f>"002369"</f>
        <v>002369</v>
      </c>
      <c r="C3052" t="s">
        <v>6443</v>
      </c>
      <c r="D3052" t="s">
        <v>313</v>
      </c>
      <c r="F3052">
        <v>-13966492</v>
      </c>
      <c r="G3052">
        <v>-9812210</v>
      </c>
      <c r="H3052">
        <v>40342687</v>
      </c>
      <c r="I3052">
        <v>45018939</v>
      </c>
      <c r="J3052">
        <v>12097517</v>
      </c>
      <c r="K3052">
        <v>9577737</v>
      </c>
      <c r="L3052">
        <v>-32014467</v>
      </c>
      <c r="M3052">
        <v>57778487</v>
      </c>
      <c r="N3052">
        <v>71085199</v>
      </c>
      <c r="O3052">
        <v>63382210</v>
      </c>
      <c r="P3052">
        <v>179</v>
      </c>
      <c r="Q3052" t="s">
        <v>6444</v>
      </c>
    </row>
    <row r="3053" spans="1:17" x14ac:dyDescent="0.3">
      <c r="A3053" t="s">
        <v>4664</v>
      </c>
      <c r="B3053" t="str">
        <f>"002370"</f>
        <v>002370</v>
      </c>
      <c r="C3053" t="s">
        <v>6445</v>
      </c>
      <c r="D3053" t="s">
        <v>143</v>
      </c>
      <c r="F3053">
        <v>-95109036</v>
      </c>
      <c r="G3053">
        <v>-106936665</v>
      </c>
      <c r="H3053">
        <v>6908574</v>
      </c>
      <c r="I3053">
        <v>166570989</v>
      </c>
      <c r="J3053">
        <v>150546058</v>
      </c>
      <c r="K3053">
        <v>85532490</v>
      </c>
      <c r="L3053">
        <v>43120108</v>
      </c>
      <c r="M3053">
        <v>27980144</v>
      </c>
      <c r="N3053">
        <v>-4069034</v>
      </c>
      <c r="O3053">
        <v>-12228343</v>
      </c>
      <c r="P3053">
        <v>201</v>
      </c>
      <c r="Q3053" t="s">
        <v>6446</v>
      </c>
    </row>
    <row r="3054" spans="1:17" x14ac:dyDescent="0.3">
      <c r="A3054" t="s">
        <v>4664</v>
      </c>
      <c r="B3054" t="str">
        <f>"002371"</f>
        <v>002371</v>
      </c>
      <c r="C3054" t="s">
        <v>6447</v>
      </c>
      <c r="D3054" t="s">
        <v>3160</v>
      </c>
      <c r="F3054">
        <v>658295423</v>
      </c>
      <c r="G3054">
        <v>326584910</v>
      </c>
      <c r="H3054">
        <v>219389759</v>
      </c>
      <c r="I3054">
        <v>168646212</v>
      </c>
      <c r="J3054">
        <v>80263571</v>
      </c>
      <c r="K3054">
        <v>62773274</v>
      </c>
      <c r="L3054">
        <v>39429889</v>
      </c>
      <c r="M3054">
        <v>35893392</v>
      </c>
      <c r="N3054">
        <v>79368589</v>
      </c>
      <c r="O3054">
        <v>105294667</v>
      </c>
      <c r="P3054">
        <v>1587</v>
      </c>
      <c r="Q3054" t="s">
        <v>6448</v>
      </c>
    </row>
    <row r="3055" spans="1:17" x14ac:dyDescent="0.3">
      <c r="A3055" t="s">
        <v>4664</v>
      </c>
      <c r="B3055" t="str">
        <f>"002372"</f>
        <v>002372</v>
      </c>
      <c r="C3055" t="s">
        <v>6449</v>
      </c>
      <c r="D3055" t="s">
        <v>3320</v>
      </c>
      <c r="F3055">
        <v>772922332</v>
      </c>
      <c r="G3055">
        <v>734203745</v>
      </c>
      <c r="H3055">
        <v>692378050</v>
      </c>
      <c r="I3055">
        <v>654035081</v>
      </c>
      <c r="J3055">
        <v>544756561</v>
      </c>
      <c r="K3055">
        <v>443959717</v>
      </c>
      <c r="L3055">
        <v>329557059</v>
      </c>
      <c r="M3055">
        <v>280541199</v>
      </c>
      <c r="N3055">
        <v>233420786</v>
      </c>
      <c r="O3055">
        <v>184784610</v>
      </c>
      <c r="P3055">
        <v>10689</v>
      </c>
      <c r="Q3055" t="s">
        <v>6450</v>
      </c>
    </row>
    <row r="3056" spans="1:17" x14ac:dyDescent="0.3">
      <c r="A3056" t="s">
        <v>4664</v>
      </c>
      <c r="B3056" t="str">
        <f>"002373"</f>
        <v>002373</v>
      </c>
      <c r="C3056" t="s">
        <v>6451</v>
      </c>
      <c r="D3056" t="s">
        <v>316</v>
      </c>
      <c r="F3056">
        <v>555463172</v>
      </c>
      <c r="G3056">
        <v>736815507</v>
      </c>
      <c r="H3056">
        <v>591326723</v>
      </c>
      <c r="I3056">
        <v>490558420</v>
      </c>
      <c r="J3056">
        <v>253569308</v>
      </c>
      <c r="K3056">
        <v>220324191</v>
      </c>
      <c r="L3056">
        <v>215154361</v>
      </c>
      <c r="M3056">
        <v>154876518</v>
      </c>
      <c r="N3056">
        <v>-115524024</v>
      </c>
      <c r="O3056">
        <v>-71966103</v>
      </c>
      <c r="P3056">
        <v>713</v>
      </c>
      <c r="Q3056" t="s">
        <v>6452</v>
      </c>
    </row>
    <row r="3057" spans="1:17" x14ac:dyDescent="0.3">
      <c r="A3057" t="s">
        <v>4664</v>
      </c>
      <c r="B3057" t="str">
        <f>"002374"</f>
        <v>002374</v>
      </c>
      <c r="C3057" t="s">
        <v>6453</v>
      </c>
      <c r="D3057" t="s">
        <v>2364</v>
      </c>
      <c r="F3057">
        <v>-9861242</v>
      </c>
      <c r="G3057">
        <v>-37189317</v>
      </c>
      <c r="H3057">
        <v>33332610</v>
      </c>
      <c r="I3057">
        <v>23007770</v>
      </c>
      <c r="J3057">
        <v>110700576</v>
      </c>
      <c r="K3057">
        <v>91495835</v>
      </c>
      <c r="L3057">
        <v>69372452</v>
      </c>
      <c r="M3057">
        <v>18284386</v>
      </c>
      <c r="N3057">
        <v>25719061</v>
      </c>
      <c r="O3057">
        <v>28114066</v>
      </c>
      <c r="P3057">
        <v>92</v>
      </c>
      <c r="Q3057" t="s">
        <v>6454</v>
      </c>
    </row>
    <row r="3058" spans="1:17" x14ac:dyDescent="0.3">
      <c r="A3058" t="s">
        <v>4664</v>
      </c>
      <c r="B3058" t="str">
        <f>"002375"</f>
        <v>002375</v>
      </c>
      <c r="C3058" t="s">
        <v>6455</v>
      </c>
      <c r="D3058" t="s">
        <v>450</v>
      </c>
      <c r="F3058">
        <v>254557780</v>
      </c>
      <c r="G3058">
        <v>245594296</v>
      </c>
      <c r="H3058">
        <v>297854770</v>
      </c>
      <c r="I3058">
        <v>311989944</v>
      </c>
      <c r="J3058">
        <v>301757872</v>
      </c>
      <c r="K3058">
        <v>267380247</v>
      </c>
      <c r="L3058">
        <v>591706943</v>
      </c>
      <c r="M3058">
        <v>730358871</v>
      </c>
      <c r="N3058">
        <v>628841442</v>
      </c>
      <c r="O3058">
        <v>433191183</v>
      </c>
      <c r="P3058">
        <v>176</v>
      </c>
      <c r="Q3058" t="s">
        <v>6456</v>
      </c>
    </row>
    <row r="3059" spans="1:17" x14ac:dyDescent="0.3">
      <c r="A3059" t="s">
        <v>4664</v>
      </c>
      <c r="B3059" t="str">
        <f>"002376"</f>
        <v>002376</v>
      </c>
      <c r="C3059" t="s">
        <v>6457</v>
      </c>
      <c r="D3059" t="s">
        <v>236</v>
      </c>
      <c r="F3059">
        <v>99559300</v>
      </c>
      <c r="G3059">
        <v>122034984</v>
      </c>
      <c r="H3059">
        <v>219469273</v>
      </c>
      <c r="I3059">
        <v>260895340</v>
      </c>
      <c r="J3059">
        <v>191643587</v>
      </c>
      <c r="K3059">
        <v>138534878</v>
      </c>
      <c r="L3059">
        <v>108449786</v>
      </c>
      <c r="M3059">
        <v>280752896</v>
      </c>
      <c r="N3059">
        <v>123141699</v>
      </c>
      <c r="O3059">
        <v>109242441</v>
      </c>
      <c r="P3059">
        <v>298</v>
      </c>
      <c r="Q3059" t="s">
        <v>6458</v>
      </c>
    </row>
    <row r="3060" spans="1:17" x14ac:dyDescent="0.3">
      <c r="A3060" t="s">
        <v>4664</v>
      </c>
      <c r="B3060" t="str">
        <f>"002377"</f>
        <v>002377</v>
      </c>
      <c r="C3060" t="s">
        <v>6459</v>
      </c>
      <c r="D3060" t="s">
        <v>4982</v>
      </c>
      <c r="F3060">
        <v>-607201871</v>
      </c>
      <c r="G3060">
        <v>92048615</v>
      </c>
      <c r="H3060">
        <v>235267216</v>
      </c>
      <c r="I3060">
        <v>220776309</v>
      </c>
      <c r="J3060">
        <v>34960026</v>
      </c>
      <c r="K3060">
        <v>3097546</v>
      </c>
      <c r="L3060">
        <v>7644592</v>
      </c>
      <c r="M3060">
        <v>8625563</v>
      </c>
      <c r="N3060">
        <v>7393972</v>
      </c>
      <c r="O3060">
        <v>9738298</v>
      </c>
      <c r="P3060">
        <v>95</v>
      </c>
      <c r="Q3060" t="s">
        <v>6460</v>
      </c>
    </row>
    <row r="3061" spans="1:17" x14ac:dyDescent="0.3">
      <c r="A3061" t="s">
        <v>4664</v>
      </c>
      <c r="B3061" t="str">
        <f>"002378"</f>
        <v>002378</v>
      </c>
      <c r="C3061" t="s">
        <v>6461</v>
      </c>
      <c r="D3061" t="s">
        <v>1110</v>
      </c>
      <c r="F3061">
        <v>93323016</v>
      </c>
      <c r="G3061">
        <v>-3020232</v>
      </c>
      <c r="H3061">
        <v>-114117283</v>
      </c>
      <c r="I3061">
        <v>27774546</v>
      </c>
      <c r="J3061">
        <v>19232785</v>
      </c>
      <c r="K3061">
        <v>6790246</v>
      </c>
      <c r="L3061">
        <v>-79500865</v>
      </c>
      <c r="M3061">
        <v>60133938</v>
      </c>
      <c r="N3061">
        <v>95215188</v>
      </c>
      <c r="O3061">
        <v>110176950</v>
      </c>
      <c r="P3061">
        <v>128</v>
      </c>
      <c r="Q3061" t="s">
        <v>6462</v>
      </c>
    </row>
    <row r="3062" spans="1:17" x14ac:dyDescent="0.3">
      <c r="A3062" t="s">
        <v>4664</v>
      </c>
      <c r="B3062" t="str">
        <f>"002379"</f>
        <v>002379</v>
      </c>
      <c r="C3062" t="s">
        <v>6463</v>
      </c>
      <c r="D3062" t="s">
        <v>504</v>
      </c>
      <c r="F3062">
        <v>-33157706</v>
      </c>
      <c r="G3062">
        <v>-98970208</v>
      </c>
      <c r="H3062">
        <v>319345124</v>
      </c>
      <c r="I3062">
        <v>8313962</v>
      </c>
      <c r="J3062">
        <v>35461059</v>
      </c>
      <c r="K3062">
        <v>7489433</v>
      </c>
      <c r="L3062">
        <v>7297636</v>
      </c>
      <c r="M3062">
        <v>-42644501</v>
      </c>
      <c r="N3062">
        <v>7562404</v>
      </c>
      <c r="O3062">
        <v>6327585</v>
      </c>
      <c r="P3062">
        <v>88</v>
      </c>
      <c r="Q3062" t="s">
        <v>6464</v>
      </c>
    </row>
    <row r="3063" spans="1:17" x14ac:dyDescent="0.3">
      <c r="A3063" t="s">
        <v>4664</v>
      </c>
      <c r="B3063" t="str">
        <f>"002380"</f>
        <v>002380</v>
      </c>
      <c r="C3063" t="s">
        <v>6465</v>
      </c>
      <c r="D3063" t="s">
        <v>316</v>
      </c>
      <c r="F3063">
        <v>50850198</v>
      </c>
      <c r="G3063">
        <v>96270292</v>
      </c>
      <c r="H3063">
        <v>85370402</v>
      </c>
      <c r="I3063">
        <v>73151982</v>
      </c>
      <c r="J3063">
        <v>70166948</v>
      </c>
      <c r="K3063">
        <v>53143325</v>
      </c>
      <c r="L3063">
        <v>39330686</v>
      </c>
      <c r="M3063">
        <v>27817308</v>
      </c>
      <c r="N3063">
        <v>24295302</v>
      </c>
      <c r="O3063">
        <v>21283275</v>
      </c>
      <c r="P3063">
        <v>131</v>
      </c>
      <c r="Q3063" t="s">
        <v>6466</v>
      </c>
    </row>
    <row r="3064" spans="1:17" x14ac:dyDescent="0.3">
      <c r="A3064" t="s">
        <v>4664</v>
      </c>
      <c r="B3064" t="str">
        <f>"002381"</f>
        <v>002381</v>
      </c>
      <c r="C3064" t="s">
        <v>6467</v>
      </c>
      <c r="D3064" t="s">
        <v>2460</v>
      </c>
      <c r="F3064">
        <v>139474522</v>
      </c>
      <c r="G3064">
        <v>231433801</v>
      </c>
      <c r="H3064">
        <v>186942255</v>
      </c>
      <c r="I3064">
        <v>120325282</v>
      </c>
      <c r="J3064">
        <v>84792339</v>
      </c>
      <c r="K3064">
        <v>59991743</v>
      </c>
      <c r="L3064">
        <v>86804529</v>
      </c>
      <c r="M3064">
        <v>95673775</v>
      </c>
      <c r="N3064">
        <v>105295730</v>
      </c>
      <c r="O3064">
        <v>66921459</v>
      </c>
      <c r="P3064">
        <v>276</v>
      </c>
      <c r="Q3064" t="s">
        <v>6468</v>
      </c>
    </row>
    <row r="3065" spans="1:17" x14ac:dyDescent="0.3">
      <c r="A3065" t="s">
        <v>4664</v>
      </c>
      <c r="B3065" t="str">
        <f>"002382"</f>
        <v>002382</v>
      </c>
      <c r="C3065" t="s">
        <v>6469</v>
      </c>
      <c r="D3065" t="s">
        <v>1077</v>
      </c>
      <c r="F3065">
        <v>3418772004</v>
      </c>
      <c r="G3065">
        <v>1888153641</v>
      </c>
      <c r="H3065">
        <v>375259091</v>
      </c>
      <c r="I3065">
        <v>260606202</v>
      </c>
      <c r="J3065">
        <v>159239313</v>
      </c>
      <c r="K3065">
        <v>147850229</v>
      </c>
      <c r="L3065">
        <v>140326482</v>
      </c>
      <c r="M3065">
        <v>31519563</v>
      </c>
      <c r="N3065">
        <v>35424894</v>
      </c>
      <c r="O3065">
        <v>45196886</v>
      </c>
      <c r="P3065">
        <v>849</v>
      </c>
      <c r="Q3065" t="s">
        <v>6470</v>
      </c>
    </row>
    <row r="3066" spans="1:17" x14ac:dyDescent="0.3">
      <c r="A3066" t="s">
        <v>4664</v>
      </c>
      <c r="B3066" t="str">
        <f>"002383"</f>
        <v>002383</v>
      </c>
      <c r="C3066" t="s">
        <v>6471</v>
      </c>
      <c r="D3066" t="s">
        <v>1136</v>
      </c>
      <c r="F3066">
        <v>-142802525</v>
      </c>
      <c r="G3066">
        <v>-222218329</v>
      </c>
      <c r="H3066">
        <v>-49334073</v>
      </c>
      <c r="I3066">
        <v>261980362</v>
      </c>
      <c r="J3066">
        <v>71207240</v>
      </c>
      <c r="K3066">
        <v>11377507</v>
      </c>
      <c r="L3066">
        <v>9057483</v>
      </c>
      <c r="M3066">
        <v>-43593377</v>
      </c>
      <c r="N3066">
        <v>-44268472</v>
      </c>
      <c r="O3066">
        <v>-27672495</v>
      </c>
      <c r="P3066">
        <v>211</v>
      </c>
      <c r="Q3066" t="s">
        <v>6472</v>
      </c>
    </row>
    <row r="3067" spans="1:17" x14ac:dyDescent="0.3">
      <c r="A3067" t="s">
        <v>4664</v>
      </c>
      <c r="B3067" t="str">
        <f>"002384"</f>
        <v>002384</v>
      </c>
      <c r="C3067" t="s">
        <v>6473</v>
      </c>
      <c r="D3067" t="s">
        <v>425</v>
      </c>
      <c r="F3067">
        <v>1198049944</v>
      </c>
      <c r="G3067">
        <v>955755317</v>
      </c>
      <c r="H3067">
        <v>888268289</v>
      </c>
      <c r="I3067">
        <v>677342635</v>
      </c>
      <c r="J3067">
        <v>370606025</v>
      </c>
      <c r="K3067">
        <v>147180777</v>
      </c>
      <c r="L3067">
        <v>56283044</v>
      </c>
      <c r="M3067">
        <v>39962532</v>
      </c>
      <c r="N3067">
        <v>38287926</v>
      </c>
      <c r="O3067">
        <v>74594008</v>
      </c>
      <c r="P3067">
        <v>1070</v>
      </c>
      <c r="Q3067" t="s">
        <v>6474</v>
      </c>
    </row>
    <row r="3068" spans="1:17" x14ac:dyDescent="0.3">
      <c r="A3068" t="s">
        <v>4664</v>
      </c>
      <c r="B3068" t="str">
        <f>"002385"</f>
        <v>002385</v>
      </c>
      <c r="C3068" t="s">
        <v>6475</v>
      </c>
      <c r="D3068" t="s">
        <v>2859</v>
      </c>
      <c r="F3068">
        <v>107414324</v>
      </c>
      <c r="G3068">
        <v>1482678776</v>
      </c>
      <c r="H3068">
        <v>302042237</v>
      </c>
      <c r="I3068">
        <v>440585470</v>
      </c>
      <c r="J3068">
        <v>839489349</v>
      </c>
      <c r="K3068">
        <v>595134577</v>
      </c>
      <c r="L3068">
        <v>394113816</v>
      </c>
      <c r="M3068">
        <v>438642077</v>
      </c>
      <c r="N3068">
        <v>446904736</v>
      </c>
      <c r="O3068">
        <v>432671160</v>
      </c>
      <c r="P3068">
        <v>890</v>
      </c>
      <c r="Q3068" t="s">
        <v>6476</v>
      </c>
    </row>
    <row r="3069" spans="1:17" x14ac:dyDescent="0.3">
      <c r="A3069" t="s">
        <v>4664</v>
      </c>
      <c r="B3069" t="str">
        <f>"002386"</f>
        <v>002386</v>
      </c>
      <c r="C3069" t="s">
        <v>6477</v>
      </c>
      <c r="D3069" t="s">
        <v>175</v>
      </c>
      <c r="F3069">
        <v>489547725</v>
      </c>
      <c r="G3069">
        <v>15343826</v>
      </c>
      <c r="H3069">
        <v>78716457</v>
      </c>
      <c r="I3069">
        <v>148501754</v>
      </c>
      <c r="J3069">
        <v>85072286</v>
      </c>
      <c r="K3069">
        <v>-48667351</v>
      </c>
      <c r="L3069">
        <v>-121378158</v>
      </c>
      <c r="M3069">
        <v>-78985055</v>
      </c>
      <c r="N3069">
        <v>66805396</v>
      </c>
      <c r="O3069">
        <v>-159787667</v>
      </c>
      <c r="P3069">
        <v>143</v>
      </c>
      <c r="Q3069" t="s">
        <v>6478</v>
      </c>
    </row>
    <row r="3070" spans="1:17" x14ac:dyDescent="0.3">
      <c r="A3070" t="s">
        <v>4664</v>
      </c>
      <c r="B3070" t="str">
        <f>"002387"</f>
        <v>002387</v>
      </c>
      <c r="C3070" t="s">
        <v>6479</v>
      </c>
      <c r="D3070" t="s">
        <v>1117</v>
      </c>
      <c r="F3070">
        <v>-1122527822</v>
      </c>
      <c r="G3070">
        <v>-26763507</v>
      </c>
      <c r="H3070">
        <v>-60316174</v>
      </c>
      <c r="I3070">
        <v>-152123269</v>
      </c>
      <c r="J3070">
        <v>-60934697</v>
      </c>
      <c r="K3070">
        <v>47828728</v>
      </c>
      <c r="L3070">
        <v>-159204364</v>
      </c>
      <c r="M3070">
        <v>2507365</v>
      </c>
      <c r="N3070">
        <v>2237094</v>
      </c>
      <c r="O3070">
        <v>55327476</v>
      </c>
      <c r="P3070">
        <v>274</v>
      </c>
      <c r="Q3070" t="s">
        <v>6480</v>
      </c>
    </row>
    <row r="3071" spans="1:17" x14ac:dyDescent="0.3">
      <c r="A3071" t="s">
        <v>4664</v>
      </c>
      <c r="B3071" t="str">
        <f>"002388"</f>
        <v>002388</v>
      </c>
      <c r="C3071" t="s">
        <v>6481</v>
      </c>
      <c r="D3071" t="s">
        <v>651</v>
      </c>
      <c r="F3071">
        <v>40342820</v>
      </c>
      <c r="G3071">
        <v>35521435</v>
      </c>
      <c r="H3071">
        <v>34680816</v>
      </c>
      <c r="I3071">
        <v>22706503</v>
      </c>
      <c r="J3071">
        <v>60659693</v>
      </c>
      <c r="K3071">
        <v>7842286</v>
      </c>
      <c r="L3071">
        <v>5467093</v>
      </c>
      <c r="M3071">
        <v>10505371</v>
      </c>
      <c r="N3071">
        <v>9752369</v>
      </c>
      <c r="O3071">
        <v>13769771</v>
      </c>
      <c r="P3071">
        <v>148</v>
      </c>
      <c r="Q3071" t="s">
        <v>6482</v>
      </c>
    </row>
    <row r="3072" spans="1:17" x14ac:dyDescent="0.3">
      <c r="A3072" t="s">
        <v>4664</v>
      </c>
      <c r="B3072" t="str">
        <f>"002389"</f>
        <v>002389</v>
      </c>
      <c r="C3072" t="s">
        <v>6483</v>
      </c>
      <c r="D3072" t="s">
        <v>98</v>
      </c>
      <c r="F3072">
        <v>85593317</v>
      </c>
      <c r="G3072">
        <v>89635990</v>
      </c>
      <c r="H3072">
        <v>87598162</v>
      </c>
      <c r="I3072">
        <v>83003245</v>
      </c>
      <c r="J3072">
        <v>79089285</v>
      </c>
      <c r="K3072">
        <v>98382482</v>
      </c>
      <c r="L3072">
        <v>69359983</v>
      </c>
      <c r="M3072">
        <v>36288907</v>
      </c>
      <c r="N3072">
        <v>23678160</v>
      </c>
      <c r="O3072">
        <v>54982871</v>
      </c>
      <c r="P3072">
        <v>435</v>
      </c>
      <c r="Q3072" t="s">
        <v>6484</v>
      </c>
    </row>
    <row r="3073" spans="1:17" x14ac:dyDescent="0.3">
      <c r="A3073" t="s">
        <v>4664</v>
      </c>
      <c r="B3073" t="str">
        <f>"002390"</f>
        <v>002390</v>
      </c>
      <c r="C3073" t="s">
        <v>6485</v>
      </c>
      <c r="D3073" t="s">
        <v>188</v>
      </c>
      <c r="F3073">
        <v>210077766</v>
      </c>
      <c r="G3073">
        <v>123209291</v>
      </c>
      <c r="H3073">
        <v>200154515</v>
      </c>
      <c r="I3073">
        <v>263918812</v>
      </c>
      <c r="J3073">
        <v>246600914</v>
      </c>
      <c r="K3073">
        <v>200001779</v>
      </c>
      <c r="L3073">
        <v>130987314</v>
      </c>
      <c r="M3073">
        <v>86314990</v>
      </c>
      <c r="N3073">
        <v>26803980</v>
      </c>
      <c r="O3073">
        <v>32915226</v>
      </c>
      <c r="P3073">
        <v>272</v>
      </c>
      <c r="Q3073" t="s">
        <v>6486</v>
      </c>
    </row>
    <row r="3074" spans="1:17" x14ac:dyDescent="0.3">
      <c r="A3074" t="s">
        <v>4664</v>
      </c>
      <c r="B3074" t="str">
        <f>"002391"</f>
        <v>002391</v>
      </c>
      <c r="C3074" t="s">
        <v>6487</v>
      </c>
      <c r="D3074" t="s">
        <v>853</v>
      </c>
      <c r="F3074">
        <v>235810836</v>
      </c>
      <c r="G3074">
        <v>216177755</v>
      </c>
      <c r="H3074">
        <v>286725479</v>
      </c>
      <c r="I3074">
        <v>253741874</v>
      </c>
      <c r="J3074">
        <v>163811196</v>
      </c>
      <c r="K3074">
        <v>135096759</v>
      </c>
      <c r="L3074">
        <v>184923904</v>
      </c>
      <c r="M3074">
        <v>177088773</v>
      </c>
      <c r="N3074">
        <v>147226422</v>
      </c>
      <c r="O3074">
        <v>128804371</v>
      </c>
      <c r="P3074">
        <v>192</v>
      </c>
      <c r="Q3074" t="s">
        <v>6488</v>
      </c>
    </row>
    <row r="3075" spans="1:17" x14ac:dyDescent="0.3">
      <c r="A3075" t="s">
        <v>4664</v>
      </c>
      <c r="B3075" t="str">
        <f>"002392"</f>
        <v>002392</v>
      </c>
      <c r="C3075" t="s">
        <v>6489</v>
      </c>
      <c r="D3075" t="s">
        <v>5835</v>
      </c>
      <c r="F3075">
        <v>383133024</v>
      </c>
      <c r="G3075">
        <v>372352233</v>
      </c>
      <c r="H3075">
        <v>309004987</v>
      </c>
      <c r="I3075">
        <v>238725995</v>
      </c>
      <c r="J3075">
        <v>114677247</v>
      </c>
      <c r="K3075">
        <v>140674360</v>
      </c>
      <c r="L3075">
        <v>143891800</v>
      </c>
      <c r="M3075">
        <v>196682078</v>
      </c>
      <c r="N3075">
        <v>130499523</v>
      </c>
      <c r="O3075">
        <v>93118789</v>
      </c>
      <c r="P3075">
        <v>142</v>
      </c>
      <c r="Q3075" t="s">
        <v>6490</v>
      </c>
    </row>
    <row r="3076" spans="1:17" x14ac:dyDescent="0.3">
      <c r="A3076" t="s">
        <v>4664</v>
      </c>
      <c r="B3076" t="str">
        <f>"002393"</f>
        <v>002393</v>
      </c>
      <c r="C3076" t="s">
        <v>6491</v>
      </c>
      <c r="D3076" t="s">
        <v>143</v>
      </c>
      <c r="F3076">
        <v>97716985</v>
      </c>
      <c r="G3076">
        <v>79169153</v>
      </c>
      <c r="H3076">
        <v>134764688</v>
      </c>
      <c r="I3076">
        <v>104956753</v>
      </c>
      <c r="J3076">
        <v>100000515</v>
      </c>
      <c r="K3076">
        <v>79025239</v>
      </c>
      <c r="L3076">
        <v>119262306</v>
      </c>
      <c r="M3076">
        <v>107908647</v>
      </c>
      <c r="N3076">
        <v>271518539</v>
      </c>
      <c r="O3076">
        <v>273310931</v>
      </c>
      <c r="P3076">
        <v>153</v>
      </c>
      <c r="Q3076" t="s">
        <v>6492</v>
      </c>
    </row>
    <row r="3077" spans="1:17" x14ac:dyDescent="0.3">
      <c r="A3077" t="s">
        <v>4664</v>
      </c>
      <c r="B3077" t="str">
        <f>"002394"</f>
        <v>002394</v>
      </c>
      <c r="C3077" t="s">
        <v>6493</v>
      </c>
      <c r="D3077" t="s">
        <v>1009</v>
      </c>
      <c r="F3077">
        <v>170442924</v>
      </c>
      <c r="G3077">
        <v>356161681</v>
      </c>
      <c r="H3077">
        <v>242919639</v>
      </c>
      <c r="I3077">
        <v>250938550</v>
      </c>
      <c r="J3077">
        <v>219460992</v>
      </c>
      <c r="K3077">
        <v>235909311</v>
      </c>
      <c r="L3077">
        <v>177794595</v>
      </c>
      <c r="M3077">
        <v>174172597</v>
      </c>
      <c r="N3077">
        <v>173205736</v>
      </c>
      <c r="O3077">
        <v>137514945</v>
      </c>
      <c r="P3077">
        <v>673</v>
      </c>
      <c r="Q3077" t="s">
        <v>6494</v>
      </c>
    </row>
    <row r="3078" spans="1:17" x14ac:dyDescent="0.3">
      <c r="A3078" t="s">
        <v>4664</v>
      </c>
      <c r="B3078" t="str">
        <f>"002395"</f>
        <v>002395</v>
      </c>
      <c r="C3078" t="s">
        <v>6495</v>
      </c>
      <c r="D3078" t="s">
        <v>3350</v>
      </c>
      <c r="F3078">
        <v>52486897</v>
      </c>
      <c r="G3078">
        <v>25481966</v>
      </c>
      <c r="H3078">
        <v>24206045</v>
      </c>
      <c r="I3078">
        <v>16693488</v>
      </c>
      <c r="J3078">
        <v>8611745</v>
      </c>
      <c r="K3078">
        <v>24125978</v>
      </c>
      <c r="L3078">
        <v>16466613</v>
      </c>
      <c r="M3078">
        <v>8258601</v>
      </c>
      <c r="N3078">
        <v>18927186</v>
      </c>
      <c r="O3078">
        <v>25928438</v>
      </c>
      <c r="P3078">
        <v>59</v>
      </c>
      <c r="Q3078" t="s">
        <v>6496</v>
      </c>
    </row>
    <row r="3079" spans="1:17" x14ac:dyDescent="0.3">
      <c r="A3079" t="s">
        <v>4664</v>
      </c>
      <c r="B3079" t="str">
        <f>"002396"</f>
        <v>002396</v>
      </c>
      <c r="C3079" t="s">
        <v>6497</v>
      </c>
      <c r="D3079" t="s">
        <v>1019</v>
      </c>
      <c r="F3079">
        <v>482848615</v>
      </c>
      <c r="G3079">
        <v>330142392</v>
      </c>
      <c r="H3079">
        <v>480301627</v>
      </c>
      <c r="I3079">
        <v>402434955</v>
      </c>
      <c r="J3079">
        <v>271146856</v>
      </c>
      <c r="K3079">
        <v>176123980</v>
      </c>
      <c r="L3079">
        <v>138303033</v>
      </c>
      <c r="M3079">
        <v>136541254</v>
      </c>
      <c r="N3079">
        <v>122998288</v>
      </c>
      <c r="O3079">
        <v>151916175</v>
      </c>
      <c r="P3079">
        <v>3694</v>
      </c>
      <c r="Q3079" t="s">
        <v>6498</v>
      </c>
    </row>
    <row r="3080" spans="1:17" x14ac:dyDescent="0.3">
      <c r="A3080" t="s">
        <v>4664</v>
      </c>
      <c r="B3080" t="str">
        <f>"002397"</f>
        <v>002397</v>
      </c>
      <c r="C3080" t="s">
        <v>6499</v>
      </c>
      <c r="D3080" t="s">
        <v>2862</v>
      </c>
      <c r="F3080">
        <v>27477684</v>
      </c>
      <c r="G3080">
        <v>25262744</v>
      </c>
      <c r="H3080">
        <v>98059093</v>
      </c>
      <c r="I3080">
        <v>95809457</v>
      </c>
      <c r="J3080">
        <v>71936582</v>
      </c>
      <c r="K3080">
        <v>56898517</v>
      </c>
      <c r="L3080">
        <v>61605100</v>
      </c>
      <c r="M3080">
        <v>57537316</v>
      </c>
      <c r="N3080">
        <v>50313073</v>
      </c>
      <c r="O3080">
        <v>46067423</v>
      </c>
      <c r="P3080">
        <v>109</v>
      </c>
      <c r="Q3080" t="s">
        <v>6500</v>
      </c>
    </row>
    <row r="3081" spans="1:17" x14ac:dyDescent="0.3">
      <c r="A3081" t="s">
        <v>4664</v>
      </c>
      <c r="B3081" t="str">
        <f>"002398"</f>
        <v>002398</v>
      </c>
      <c r="C3081" t="s">
        <v>6501</v>
      </c>
      <c r="D3081" t="s">
        <v>722</v>
      </c>
      <c r="F3081">
        <v>232301382</v>
      </c>
      <c r="G3081">
        <v>283285226</v>
      </c>
      <c r="H3081">
        <v>310860902</v>
      </c>
      <c r="I3081">
        <v>202646729</v>
      </c>
      <c r="J3081">
        <v>132269109</v>
      </c>
      <c r="K3081">
        <v>127166625</v>
      </c>
      <c r="L3081">
        <v>161434094</v>
      </c>
      <c r="M3081">
        <v>168555225</v>
      </c>
      <c r="N3081">
        <v>176675689</v>
      </c>
      <c r="O3081">
        <v>143042123</v>
      </c>
      <c r="P3081">
        <v>217</v>
      </c>
      <c r="Q3081" t="s">
        <v>6502</v>
      </c>
    </row>
    <row r="3082" spans="1:17" x14ac:dyDescent="0.3">
      <c r="A3082" t="s">
        <v>4664</v>
      </c>
      <c r="B3082" t="str">
        <f>"002399"</f>
        <v>002399</v>
      </c>
      <c r="C3082" t="s">
        <v>6503</v>
      </c>
      <c r="D3082" t="s">
        <v>496</v>
      </c>
      <c r="F3082">
        <v>461505654</v>
      </c>
      <c r="G3082">
        <v>708597055</v>
      </c>
      <c r="H3082">
        <v>671282498</v>
      </c>
      <c r="I3082">
        <v>450883299</v>
      </c>
      <c r="J3082">
        <v>52562720</v>
      </c>
      <c r="K3082">
        <v>303802689</v>
      </c>
      <c r="L3082">
        <v>417975224</v>
      </c>
      <c r="M3082">
        <v>224081594</v>
      </c>
      <c r="N3082">
        <v>291579671</v>
      </c>
      <c r="O3082">
        <v>480134769</v>
      </c>
      <c r="P3082">
        <v>285</v>
      </c>
      <c r="Q3082" t="s">
        <v>6504</v>
      </c>
    </row>
    <row r="3083" spans="1:17" x14ac:dyDescent="0.3">
      <c r="A3083" t="s">
        <v>4664</v>
      </c>
      <c r="B3083" t="str">
        <f>"002400"</f>
        <v>002400</v>
      </c>
      <c r="C3083" t="s">
        <v>6505</v>
      </c>
      <c r="D3083" t="s">
        <v>207</v>
      </c>
      <c r="F3083">
        <v>104241596</v>
      </c>
      <c r="G3083">
        <v>-52405802</v>
      </c>
      <c r="H3083">
        <v>110280164</v>
      </c>
      <c r="I3083">
        <v>148141237</v>
      </c>
      <c r="J3083">
        <v>171523323</v>
      </c>
      <c r="K3083">
        <v>426437039</v>
      </c>
      <c r="L3083">
        <v>354290604</v>
      </c>
      <c r="M3083">
        <v>252609279</v>
      </c>
      <c r="N3083">
        <v>168748123</v>
      </c>
      <c r="O3083">
        <v>100575604</v>
      </c>
      <c r="P3083">
        <v>328</v>
      </c>
      <c r="Q3083" t="s">
        <v>6506</v>
      </c>
    </row>
    <row r="3084" spans="1:17" x14ac:dyDescent="0.3">
      <c r="A3084" t="s">
        <v>4664</v>
      </c>
      <c r="B3084" t="str">
        <f>"002401"</f>
        <v>002401</v>
      </c>
      <c r="C3084" t="s">
        <v>6507</v>
      </c>
      <c r="D3084" t="s">
        <v>316</v>
      </c>
      <c r="F3084">
        <v>130955684</v>
      </c>
      <c r="G3084">
        <v>159838813</v>
      </c>
      <c r="H3084">
        <v>73385664</v>
      </c>
      <c r="I3084">
        <v>70385079</v>
      </c>
      <c r="J3084">
        <v>51818507</v>
      </c>
      <c r="K3084">
        <v>48615736</v>
      </c>
      <c r="L3084">
        <v>48268449</v>
      </c>
      <c r="M3084">
        <v>44404630</v>
      </c>
      <c r="N3084">
        <v>38877037</v>
      </c>
      <c r="O3084">
        <v>37263574</v>
      </c>
      <c r="P3084">
        <v>152</v>
      </c>
      <c r="Q3084" t="s">
        <v>6508</v>
      </c>
    </row>
    <row r="3085" spans="1:17" x14ac:dyDescent="0.3">
      <c r="A3085" t="s">
        <v>4664</v>
      </c>
      <c r="B3085" t="str">
        <f>"002402"</f>
        <v>002402</v>
      </c>
      <c r="C3085" t="s">
        <v>6509</v>
      </c>
      <c r="D3085" t="s">
        <v>313</v>
      </c>
      <c r="F3085">
        <v>437916269</v>
      </c>
      <c r="G3085">
        <v>276595241</v>
      </c>
      <c r="H3085">
        <v>240269734</v>
      </c>
      <c r="I3085">
        <v>184604756</v>
      </c>
      <c r="J3085">
        <v>147470365</v>
      </c>
      <c r="K3085">
        <v>95692783</v>
      </c>
      <c r="L3085">
        <v>57346525</v>
      </c>
      <c r="M3085">
        <v>37640588</v>
      </c>
      <c r="N3085">
        <v>27979429</v>
      </c>
      <c r="O3085">
        <v>24814814</v>
      </c>
      <c r="P3085">
        <v>1281</v>
      </c>
      <c r="Q3085" t="s">
        <v>6510</v>
      </c>
    </row>
    <row r="3086" spans="1:17" x14ac:dyDescent="0.3">
      <c r="A3086" t="s">
        <v>4664</v>
      </c>
      <c r="B3086" t="str">
        <f>"002403"</f>
        <v>002403</v>
      </c>
      <c r="C3086" t="s">
        <v>6511</v>
      </c>
      <c r="D3086" t="s">
        <v>5712</v>
      </c>
      <c r="F3086">
        <v>5131083</v>
      </c>
      <c r="G3086">
        <v>149485607</v>
      </c>
      <c r="H3086">
        <v>108284206</v>
      </c>
      <c r="I3086">
        <v>114233273</v>
      </c>
      <c r="J3086">
        <v>113167117</v>
      </c>
      <c r="K3086">
        <v>99586661</v>
      </c>
      <c r="L3086">
        <v>74021350</v>
      </c>
      <c r="M3086">
        <v>53893138</v>
      </c>
      <c r="N3086">
        <v>23702672</v>
      </c>
      <c r="O3086">
        <v>17953710</v>
      </c>
      <c r="P3086">
        <v>151</v>
      </c>
      <c r="Q3086" t="s">
        <v>6512</v>
      </c>
    </row>
    <row r="3087" spans="1:17" x14ac:dyDescent="0.3">
      <c r="A3087" t="s">
        <v>4664</v>
      </c>
      <c r="B3087" t="str">
        <f>"002404"</f>
        <v>002404</v>
      </c>
      <c r="C3087" t="s">
        <v>6513</v>
      </c>
      <c r="D3087" t="s">
        <v>366</v>
      </c>
      <c r="F3087">
        <v>81833833</v>
      </c>
      <c r="G3087">
        <v>149637730</v>
      </c>
      <c r="H3087">
        <v>118511264</v>
      </c>
      <c r="I3087">
        <v>102499482</v>
      </c>
      <c r="J3087">
        <v>88243542</v>
      </c>
      <c r="K3087">
        <v>66199667</v>
      </c>
      <c r="L3087">
        <v>58025522</v>
      </c>
      <c r="M3087">
        <v>71375350</v>
      </c>
      <c r="N3087">
        <v>69300854</v>
      </c>
      <c r="O3087">
        <v>69084874</v>
      </c>
      <c r="P3087">
        <v>108</v>
      </c>
      <c r="Q3087" t="s">
        <v>6514</v>
      </c>
    </row>
    <row r="3088" spans="1:17" x14ac:dyDescent="0.3">
      <c r="A3088" t="s">
        <v>4664</v>
      </c>
      <c r="B3088" t="str">
        <f>"002405"</f>
        <v>002405</v>
      </c>
      <c r="C3088" t="s">
        <v>6515</v>
      </c>
      <c r="D3088" t="s">
        <v>945</v>
      </c>
      <c r="F3088">
        <v>-41771394</v>
      </c>
      <c r="G3088">
        <v>-194542992</v>
      </c>
      <c r="H3088">
        <v>24184784</v>
      </c>
      <c r="I3088">
        <v>219213006</v>
      </c>
      <c r="J3088">
        <v>158410255</v>
      </c>
      <c r="K3088">
        <v>100688871</v>
      </c>
      <c r="L3088">
        <v>91364987</v>
      </c>
      <c r="M3088">
        <v>71781432</v>
      </c>
      <c r="N3088">
        <v>57148836</v>
      </c>
      <c r="O3088">
        <v>154303320</v>
      </c>
      <c r="P3088">
        <v>3861</v>
      </c>
      <c r="Q3088" t="s">
        <v>6516</v>
      </c>
    </row>
    <row r="3089" spans="1:17" x14ac:dyDescent="0.3">
      <c r="A3089" t="s">
        <v>4664</v>
      </c>
      <c r="B3089" t="str">
        <f>"002406"</f>
        <v>002406</v>
      </c>
      <c r="C3089" t="s">
        <v>6517</v>
      </c>
      <c r="D3089" t="s">
        <v>348</v>
      </c>
      <c r="F3089">
        <v>198302606</v>
      </c>
      <c r="G3089">
        <v>250405102</v>
      </c>
      <c r="H3089">
        <v>192526916</v>
      </c>
      <c r="I3089">
        <v>183361040</v>
      </c>
      <c r="J3089">
        <v>120008360</v>
      </c>
      <c r="K3089">
        <v>83794065</v>
      </c>
      <c r="L3089">
        <v>78112724</v>
      </c>
      <c r="M3089">
        <v>101421050</v>
      </c>
      <c r="N3089">
        <v>98331558</v>
      </c>
      <c r="O3089">
        <v>109377603</v>
      </c>
      <c r="P3089">
        <v>272</v>
      </c>
      <c r="Q3089" t="s">
        <v>6518</v>
      </c>
    </row>
    <row r="3090" spans="1:17" x14ac:dyDescent="0.3">
      <c r="A3090" t="s">
        <v>4664</v>
      </c>
      <c r="B3090" t="str">
        <f>"002407"</f>
        <v>002407</v>
      </c>
      <c r="C3090" t="s">
        <v>6519</v>
      </c>
      <c r="D3090" t="s">
        <v>375</v>
      </c>
      <c r="F3090">
        <v>737373665</v>
      </c>
      <c r="G3090">
        <v>13614727</v>
      </c>
      <c r="H3090">
        <v>97639306</v>
      </c>
      <c r="I3090">
        <v>168508832</v>
      </c>
      <c r="J3090">
        <v>208141212</v>
      </c>
      <c r="K3090">
        <v>378585762</v>
      </c>
      <c r="L3090">
        <v>29120244</v>
      </c>
      <c r="M3090">
        <v>-3271033</v>
      </c>
      <c r="N3090">
        <v>9884187</v>
      </c>
      <c r="O3090">
        <v>55898412</v>
      </c>
      <c r="P3090">
        <v>566</v>
      </c>
      <c r="Q3090" t="s">
        <v>6520</v>
      </c>
    </row>
    <row r="3091" spans="1:17" x14ac:dyDescent="0.3">
      <c r="A3091" t="s">
        <v>4664</v>
      </c>
      <c r="B3091" t="str">
        <f>"002408"</f>
        <v>002408</v>
      </c>
      <c r="C3091" t="s">
        <v>6521</v>
      </c>
      <c r="D3091" t="s">
        <v>1615</v>
      </c>
      <c r="F3091">
        <v>2162794478</v>
      </c>
      <c r="G3091">
        <v>786933956</v>
      </c>
      <c r="H3091">
        <v>523628003</v>
      </c>
      <c r="I3091">
        <v>697234823</v>
      </c>
      <c r="J3091">
        <v>572996296</v>
      </c>
      <c r="K3091">
        <v>252897847</v>
      </c>
      <c r="L3091">
        <v>167159307</v>
      </c>
      <c r="M3091">
        <v>292231410</v>
      </c>
      <c r="N3091">
        <v>305764916</v>
      </c>
      <c r="O3091">
        <v>282256662</v>
      </c>
      <c r="P3091">
        <v>317</v>
      </c>
      <c r="Q3091" t="s">
        <v>6522</v>
      </c>
    </row>
    <row r="3092" spans="1:17" x14ac:dyDescent="0.3">
      <c r="A3092" t="s">
        <v>4664</v>
      </c>
      <c r="B3092" t="str">
        <f>"002409"</f>
        <v>002409</v>
      </c>
      <c r="C3092" t="s">
        <v>6523</v>
      </c>
      <c r="D3092" t="s">
        <v>475</v>
      </c>
      <c r="F3092">
        <v>389726068</v>
      </c>
      <c r="G3092">
        <v>344085815</v>
      </c>
      <c r="H3092">
        <v>185821406</v>
      </c>
      <c r="I3092">
        <v>115922987</v>
      </c>
      <c r="J3092">
        <v>50203068</v>
      </c>
      <c r="K3092">
        <v>41290056</v>
      </c>
      <c r="L3092">
        <v>66728776</v>
      </c>
      <c r="M3092">
        <v>47927272</v>
      </c>
      <c r="N3092">
        <v>58635710</v>
      </c>
      <c r="O3092">
        <v>65356573</v>
      </c>
      <c r="P3092">
        <v>496</v>
      </c>
      <c r="Q3092" t="s">
        <v>6524</v>
      </c>
    </row>
    <row r="3093" spans="1:17" x14ac:dyDescent="0.3">
      <c r="A3093" t="s">
        <v>4664</v>
      </c>
      <c r="B3093" t="str">
        <f>"002410"</f>
        <v>002410</v>
      </c>
      <c r="C3093" t="s">
        <v>6525</v>
      </c>
      <c r="D3093" t="s">
        <v>945</v>
      </c>
      <c r="F3093">
        <v>475377697</v>
      </c>
      <c r="G3093">
        <v>229778092</v>
      </c>
      <c r="H3093">
        <v>158848677</v>
      </c>
      <c r="I3093">
        <v>292738492</v>
      </c>
      <c r="J3093">
        <v>286711612</v>
      </c>
      <c r="K3093">
        <v>228756378</v>
      </c>
      <c r="L3093">
        <v>115176645</v>
      </c>
      <c r="M3093">
        <v>424191073</v>
      </c>
      <c r="N3093">
        <v>338330377</v>
      </c>
      <c r="O3093">
        <v>169373718</v>
      </c>
      <c r="P3093">
        <v>2190</v>
      </c>
      <c r="Q3093" t="s">
        <v>6526</v>
      </c>
    </row>
    <row r="3094" spans="1:17" x14ac:dyDescent="0.3">
      <c r="A3094" t="s">
        <v>4664</v>
      </c>
      <c r="B3094" t="str">
        <f>"002411"</f>
        <v>002411</v>
      </c>
      <c r="C3094" t="s">
        <v>6527</v>
      </c>
      <c r="D3094" t="s">
        <v>125</v>
      </c>
      <c r="F3094">
        <v>609385243</v>
      </c>
      <c r="G3094">
        <v>12768360</v>
      </c>
      <c r="H3094">
        <v>486547142</v>
      </c>
      <c r="I3094">
        <v>602805056</v>
      </c>
      <c r="J3094">
        <v>620881546</v>
      </c>
      <c r="K3094">
        <v>689532146</v>
      </c>
      <c r="L3094">
        <v>-19744805</v>
      </c>
      <c r="M3094">
        <v>702142</v>
      </c>
      <c r="N3094">
        <v>17252610</v>
      </c>
      <c r="O3094">
        <v>53389597</v>
      </c>
      <c r="P3094">
        <v>244</v>
      </c>
      <c r="Q3094" t="s">
        <v>6528</v>
      </c>
    </row>
    <row r="3095" spans="1:17" x14ac:dyDescent="0.3">
      <c r="A3095" t="s">
        <v>4664</v>
      </c>
      <c r="B3095" t="str">
        <f>"002412"</f>
        <v>002412</v>
      </c>
      <c r="C3095" t="s">
        <v>6529</v>
      </c>
      <c r="D3095" t="s">
        <v>188</v>
      </c>
      <c r="F3095">
        <v>113492866</v>
      </c>
      <c r="G3095">
        <v>84753342</v>
      </c>
      <c r="H3095">
        <v>103306503</v>
      </c>
      <c r="I3095">
        <v>86361860</v>
      </c>
      <c r="J3095">
        <v>66263059</v>
      </c>
      <c r="K3095">
        <v>60795539</v>
      </c>
      <c r="L3095">
        <v>68939862</v>
      </c>
      <c r="M3095">
        <v>80155791</v>
      </c>
      <c r="N3095">
        <v>71531239</v>
      </c>
      <c r="O3095">
        <v>59034455</v>
      </c>
      <c r="P3095">
        <v>155</v>
      </c>
      <c r="Q3095" t="s">
        <v>6530</v>
      </c>
    </row>
    <row r="3096" spans="1:17" x14ac:dyDescent="0.3">
      <c r="A3096" t="s">
        <v>4664</v>
      </c>
      <c r="B3096" t="str">
        <f>"002413"</f>
        <v>002413</v>
      </c>
      <c r="C3096" t="s">
        <v>6531</v>
      </c>
      <c r="D3096" t="s">
        <v>1136</v>
      </c>
      <c r="F3096">
        <v>105864763</v>
      </c>
      <c r="G3096">
        <v>102078864</v>
      </c>
      <c r="H3096">
        <v>88872834</v>
      </c>
      <c r="I3096">
        <v>106301951</v>
      </c>
      <c r="J3096">
        <v>76077790</v>
      </c>
      <c r="K3096">
        <v>64216247</v>
      </c>
      <c r="L3096">
        <v>53494341</v>
      </c>
      <c r="M3096">
        <v>33709851</v>
      </c>
      <c r="N3096">
        <v>31403216</v>
      </c>
      <c r="O3096">
        <v>43343419</v>
      </c>
      <c r="P3096">
        <v>218</v>
      </c>
      <c r="Q3096" t="s">
        <v>6532</v>
      </c>
    </row>
    <row r="3097" spans="1:17" x14ac:dyDescent="0.3">
      <c r="A3097" t="s">
        <v>4664</v>
      </c>
      <c r="B3097" t="str">
        <f>"002414"</f>
        <v>002414</v>
      </c>
      <c r="C3097" t="s">
        <v>6533</v>
      </c>
      <c r="D3097" t="s">
        <v>1136</v>
      </c>
      <c r="F3097">
        <v>919328504</v>
      </c>
      <c r="G3097">
        <v>796020578</v>
      </c>
      <c r="H3097">
        <v>234568449</v>
      </c>
      <c r="I3097">
        <v>96812461</v>
      </c>
      <c r="J3097">
        <v>44808030</v>
      </c>
      <c r="K3097">
        <v>41894072</v>
      </c>
      <c r="L3097">
        <v>39548764</v>
      </c>
      <c r="M3097">
        <v>48374104</v>
      </c>
      <c r="N3097">
        <v>56775482</v>
      </c>
      <c r="O3097">
        <v>55481018</v>
      </c>
      <c r="P3097">
        <v>789</v>
      </c>
      <c r="Q3097" t="s">
        <v>6534</v>
      </c>
    </row>
    <row r="3098" spans="1:17" x14ac:dyDescent="0.3">
      <c r="A3098" t="s">
        <v>4664</v>
      </c>
      <c r="B3098" t="str">
        <f>"002415"</f>
        <v>002415</v>
      </c>
      <c r="C3098" t="s">
        <v>6535</v>
      </c>
      <c r="D3098" t="s">
        <v>2953</v>
      </c>
      <c r="F3098">
        <v>10965641158</v>
      </c>
      <c r="G3098">
        <v>8438951477</v>
      </c>
      <c r="H3098">
        <v>8027334165</v>
      </c>
      <c r="I3098">
        <v>7395803151</v>
      </c>
      <c r="J3098">
        <v>6152814187</v>
      </c>
      <c r="K3098">
        <v>4849957525</v>
      </c>
      <c r="L3098">
        <v>3769986801</v>
      </c>
      <c r="M3098">
        <v>2709720516</v>
      </c>
      <c r="N3098">
        <v>1760161936</v>
      </c>
      <c r="O3098">
        <v>1238179828</v>
      </c>
      <c r="P3098">
        <v>63223</v>
      </c>
      <c r="Q3098" t="s">
        <v>6536</v>
      </c>
    </row>
    <row r="3099" spans="1:17" x14ac:dyDescent="0.3">
      <c r="A3099" t="s">
        <v>4664</v>
      </c>
      <c r="B3099" t="str">
        <f>"002416"</f>
        <v>002416</v>
      </c>
      <c r="C3099" t="s">
        <v>6537</v>
      </c>
      <c r="D3099" t="s">
        <v>295</v>
      </c>
      <c r="F3099">
        <v>747802417</v>
      </c>
      <c r="G3099">
        <v>479398927</v>
      </c>
      <c r="H3099">
        <v>305632930</v>
      </c>
      <c r="I3099">
        <v>181030234</v>
      </c>
      <c r="J3099">
        <v>267941550</v>
      </c>
      <c r="K3099">
        <v>140785323</v>
      </c>
      <c r="L3099">
        <v>107562155</v>
      </c>
      <c r="M3099">
        <v>50401254</v>
      </c>
      <c r="N3099">
        <v>528781488</v>
      </c>
      <c r="O3099">
        <v>-279996685</v>
      </c>
      <c r="P3099">
        <v>251</v>
      </c>
      <c r="Q3099" t="s">
        <v>6538</v>
      </c>
    </row>
    <row r="3100" spans="1:17" x14ac:dyDescent="0.3">
      <c r="A3100" t="s">
        <v>4664</v>
      </c>
      <c r="B3100" t="str">
        <f>"002417"</f>
        <v>002417</v>
      </c>
      <c r="C3100" t="s">
        <v>6539</v>
      </c>
      <c r="D3100" t="s">
        <v>316</v>
      </c>
      <c r="F3100">
        <v>-15135179</v>
      </c>
      <c r="G3100">
        <v>18894543</v>
      </c>
      <c r="H3100">
        <v>454541</v>
      </c>
      <c r="I3100">
        <v>-33967425</v>
      </c>
      <c r="J3100">
        <v>8740432</v>
      </c>
      <c r="K3100">
        <v>-72748289</v>
      </c>
      <c r="L3100">
        <v>17235622</v>
      </c>
      <c r="M3100">
        <v>-95601981</v>
      </c>
      <c r="N3100">
        <v>-47261515</v>
      </c>
      <c r="O3100">
        <v>38753840</v>
      </c>
      <c r="P3100">
        <v>140</v>
      </c>
      <c r="Q3100" t="s">
        <v>6540</v>
      </c>
    </row>
    <row r="3101" spans="1:17" x14ac:dyDescent="0.3">
      <c r="A3101" t="s">
        <v>4664</v>
      </c>
      <c r="B3101" t="str">
        <f>"002418"</f>
        <v>002418</v>
      </c>
      <c r="C3101" t="s">
        <v>6541</v>
      </c>
      <c r="D3101" t="s">
        <v>1253</v>
      </c>
      <c r="F3101">
        <v>12474600</v>
      </c>
      <c r="G3101">
        <v>-30363351</v>
      </c>
      <c r="H3101">
        <v>-156353597</v>
      </c>
      <c r="I3101">
        <v>-9529012</v>
      </c>
      <c r="J3101">
        <v>188921499</v>
      </c>
      <c r="K3101">
        <v>151865738</v>
      </c>
      <c r="L3101">
        <v>67622956</v>
      </c>
      <c r="M3101">
        <v>-19471364</v>
      </c>
      <c r="N3101">
        <v>21730285</v>
      </c>
      <c r="O3101">
        <v>65101552</v>
      </c>
      <c r="P3101">
        <v>94</v>
      </c>
      <c r="Q3101" t="s">
        <v>6542</v>
      </c>
    </row>
    <row r="3102" spans="1:17" x14ac:dyDescent="0.3">
      <c r="A3102" t="s">
        <v>4664</v>
      </c>
      <c r="B3102" t="str">
        <f>"002419"</f>
        <v>002419</v>
      </c>
      <c r="C3102" t="s">
        <v>6543</v>
      </c>
      <c r="D3102" t="s">
        <v>633</v>
      </c>
      <c r="F3102">
        <v>256591260</v>
      </c>
      <c r="G3102">
        <v>127379886</v>
      </c>
      <c r="H3102">
        <v>651966011</v>
      </c>
      <c r="I3102">
        <v>673195895</v>
      </c>
      <c r="J3102">
        <v>491599462</v>
      </c>
      <c r="K3102">
        <v>363061058</v>
      </c>
      <c r="L3102">
        <v>227800242</v>
      </c>
      <c r="M3102">
        <v>354560021</v>
      </c>
      <c r="N3102">
        <v>401072531</v>
      </c>
      <c r="O3102">
        <v>400118715</v>
      </c>
      <c r="P3102">
        <v>421</v>
      </c>
      <c r="Q3102" t="s">
        <v>6544</v>
      </c>
    </row>
    <row r="3103" spans="1:17" x14ac:dyDescent="0.3">
      <c r="A3103" t="s">
        <v>4664</v>
      </c>
      <c r="B3103" t="str">
        <f>"002420"</f>
        <v>002420</v>
      </c>
      <c r="C3103" t="s">
        <v>6545</v>
      </c>
      <c r="D3103" t="s">
        <v>1253</v>
      </c>
      <c r="F3103">
        <v>61002614</v>
      </c>
      <c r="G3103">
        <v>44637559</v>
      </c>
      <c r="H3103">
        <v>12605225</v>
      </c>
      <c r="I3103">
        <v>-422325498</v>
      </c>
      <c r="J3103">
        <v>-182332211</v>
      </c>
      <c r="K3103">
        <v>-46877269</v>
      </c>
      <c r="L3103">
        <v>18860508</v>
      </c>
      <c r="M3103">
        <v>10585786</v>
      </c>
      <c r="N3103">
        <v>-25252858</v>
      </c>
      <c r="O3103">
        <v>40278100</v>
      </c>
      <c r="P3103">
        <v>82</v>
      </c>
      <c r="Q3103" t="s">
        <v>6546</v>
      </c>
    </row>
    <row r="3104" spans="1:17" x14ac:dyDescent="0.3">
      <c r="A3104" t="s">
        <v>4664</v>
      </c>
      <c r="B3104" t="str">
        <f>"002421"</f>
        <v>002421</v>
      </c>
      <c r="C3104" t="s">
        <v>6547</v>
      </c>
      <c r="D3104" t="s">
        <v>316</v>
      </c>
      <c r="F3104">
        <v>246551248</v>
      </c>
      <c r="G3104">
        <v>210680075</v>
      </c>
      <c r="H3104">
        <v>128801866</v>
      </c>
      <c r="I3104">
        <v>155837942</v>
      </c>
      <c r="J3104">
        <v>207426653</v>
      </c>
      <c r="K3104">
        <v>169101258</v>
      </c>
      <c r="L3104">
        <v>97272600</v>
      </c>
      <c r="M3104">
        <v>73964562</v>
      </c>
      <c r="N3104">
        <v>53291673</v>
      </c>
      <c r="O3104">
        <v>43442221</v>
      </c>
      <c r="P3104">
        <v>199</v>
      </c>
      <c r="Q3104" t="s">
        <v>6548</v>
      </c>
    </row>
    <row r="3105" spans="1:17" x14ac:dyDescent="0.3">
      <c r="A3105" t="s">
        <v>4664</v>
      </c>
      <c r="B3105" t="str">
        <f>"002422"</f>
        <v>002422</v>
      </c>
      <c r="C3105" t="s">
        <v>6549</v>
      </c>
      <c r="D3105" t="s">
        <v>143</v>
      </c>
      <c r="F3105">
        <v>848293216</v>
      </c>
      <c r="G3105">
        <v>501464322</v>
      </c>
      <c r="H3105">
        <v>914270191</v>
      </c>
      <c r="I3105">
        <v>1023378525</v>
      </c>
      <c r="J3105">
        <v>386469325</v>
      </c>
      <c r="K3105">
        <v>537481309</v>
      </c>
      <c r="L3105">
        <v>550605134</v>
      </c>
      <c r="M3105">
        <v>825747070</v>
      </c>
      <c r="N3105">
        <v>848762734</v>
      </c>
      <c r="O3105">
        <v>766761086</v>
      </c>
      <c r="P3105">
        <v>927</v>
      </c>
      <c r="Q3105" t="s">
        <v>6550</v>
      </c>
    </row>
    <row r="3106" spans="1:17" x14ac:dyDescent="0.3">
      <c r="A3106" t="s">
        <v>4664</v>
      </c>
      <c r="B3106" t="str">
        <f>"002423"</f>
        <v>002423</v>
      </c>
      <c r="C3106" t="s">
        <v>6551</v>
      </c>
      <c r="D3106" t="s">
        <v>140</v>
      </c>
      <c r="F3106">
        <v>1008370394</v>
      </c>
      <c r="G3106">
        <v>933300287</v>
      </c>
      <c r="H3106">
        <v>690459548</v>
      </c>
      <c r="I3106">
        <v>-65032742</v>
      </c>
      <c r="J3106">
        <v>-147029905</v>
      </c>
      <c r="K3106">
        <v>-89530285</v>
      </c>
      <c r="L3106">
        <v>-64024862</v>
      </c>
      <c r="M3106">
        <v>-19721303</v>
      </c>
      <c r="N3106">
        <v>-41551036</v>
      </c>
      <c r="O3106">
        <v>11267950</v>
      </c>
      <c r="P3106">
        <v>145</v>
      </c>
      <c r="Q3106" t="s">
        <v>6552</v>
      </c>
    </row>
    <row r="3107" spans="1:17" x14ac:dyDescent="0.3">
      <c r="A3107" t="s">
        <v>4664</v>
      </c>
      <c r="B3107" t="str">
        <f>"002424"</f>
        <v>002424</v>
      </c>
      <c r="C3107" t="s">
        <v>6553</v>
      </c>
      <c r="D3107" t="s">
        <v>188</v>
      </c>
      <c r="F3107">
        <v>120670293</v>
      </c>
      <c r="G3107">
        <v>161010903</v>
      </c>
      <c r="H3107">
        <v>301890816</v>
      </c>
      <c r="I3107">
        <v>382746072</v>
      </c>
      <c r="J3107">
        <v>347109301</v>
      </c>
      <c r="K3107">
        <v>314313352</v>
      </c>
      <c r="L3107">
        <v>231792179</v>
      </c>
      <c r="M3107">
        <v>174792938</v>
      </c>
      <c r="N3107">
        <v>155493215</v>
      </c>
      <c r="O3107">
        <v>138354345</v>
      </c>
      <c r="P3107">
        <v>472</v>
      </c>
      <c r="Q3107" t="s">
        <v>6554</v>
      </c>
    </row>
    <row r="3108" spans="1:17" x14ac:dyDescent="0.3">
      <c r="A3108" t="s">
        <v>4664</v>
      </c>
      <c r="B3108" t="str">
        <f>"002425"</f>
        <v>002425</v>
      </c>
      <c r="C3108" t="s">
        <v>6555</v>
      </c>
      <c r="D3108" t="s">
        <v>517</v>
      </c>
      <c r="F3108">
        <v>242062778</v>
      </c>
      <c r="G3108">
        <v>150133630</v>
      </c>
      <c r="H3108">
        <v>203120223</v>
      </c>
      <c r="I3108">
        <v>186009757</v>
      </c>
      <c r="J3108">
        <v>151745631</v>
      </c>
      <c r="K3108">
        <v>88721154</v>
      </c>
      <c r="L3108">
        <v>32402266</v>
      </c>
      <c r="M3108">
        <v>7372962</v>
      </c>
      <c r="N3108">
        <v>22934552</v>
      </c>
      <c r="O3108">
        <v>37388432</v>
      </c>
      <c r="P3108">
        <v>257</v>
      </c>
      <c r="Q3108" t="s">
        <v>6556</v>
      </c>
    </row>
    <row r="3109" spans="1:17" x14ac:dyDescent="0.3">
      <c r="A3109" t="s">
        <v>4664</v>
      </c>
      <c r="B3109" t="str">
        <f>"002426"</f>
        <v>002426</v>
      </c>
      <c r="C3109" t="s">
        <v>6557</v>
      </c>
      <c r="D3109" t="s">
        <v>274</v>
      </c>
      <c r="F3109">
        <v>4662355</v>
      </c>
      <c r="G3109">
        <v>607664735</v>
      </c>
      <c r="H3109">
        <v>-366252211</v>
      </c>
      <c r="I3109">
        <v>307049707</v>
      </c>
      <c r="J3109">
        <v>393144406</v>
      </c>
      <c r="K3109">
        <v>581015055</v>
      </c>
      <c r="L3109">
        <v>192683819</v>
      </c>
      <c r="M3109">
        <v>121658194</v>
      </c>
      <c r="N3109">
        <v>81803294</v>
      </c>
      <c r="O3109">
        <v>64847634</v>
      </c>
      <c r="P3109">
        <v>207</v>
      </c>
      <c r="Q3109" t="s">
        <v>6558</v>
      </c>
    </row>
    <row r="3110" spans="1:17" x14ac:dyDescent="0.3">
      <c r="A3110" t="s">
        <v>4664</v>
      </c>
      <c r="B3110" t="str">
        <f>"002427"</f>
        <v>002427</v>
      </c>
      <c r="C3110" t="s">
        <v>6559</v>
      </c>
      <c r="D3110" t="s">
        <v>2708</v>
      </c>
      <c r="F3110">
        <v>-285907183</v>
      </c>
      <c r="G3110">
        <v>-131271711</v>
      </c>
      <c r="H3110">
        <v>-38189529</v>
      </c>
      <c r="I3110">
        <v>15042773</v>
      </c>
      <c r="J3110">
        <v>214532359</v>
      </c>
      <c r="K3110">
        <v>115056363</v>
      </c>
      <c r="L3110">
        <v>95043244</v>
      </c>
      <c r="M3110">
        <v>66645716</v>
      </c>
      <c r="N3110">
        <v>3482410</v>
      </c>
      <c r="O3110">
        <v>14551603</v>
      </c>
      <c r="P3110">
        <v>82</v>
      </c>
      <c r="Q3110" t="s">
        <v>6560</v>
      </c>
    </row>
    <row r="3111" spans="1:17" x14ac:dyDescent="0.3">
      <c r="A3111" t="s">
        <v>4664</v>
      </c>
      <c r="B3111" t="str">
        <f>"002428"</f>
        <v>002428</v>
      </c>
      <c r="C3111" t="s">
        <v>6561</v>
      </c>
      <c r="D3111" t="s">
        <v>636</v>
      </c>
      <c r="F3111">
        <v>15363536</v>
      </c>
      <c r="G3111">
        <v>9052219</v>
      </c>
      <c r="H3111">
        <v>-10750672</v>
      </c>
      <c r="I3111">
        <v>9087199</v>
      </c>
      <c r="J3111">
        <v>4006621</v>
      </c>
      <c r="K3111">
        <v>-57737538</v>
      </c>
      <c r="L3111">
        <v>68868162</v>
      </c>
      <c r="M3111">
        <v>105608290</v>
      </c>
      <c r="N3111">
        <v>100187374</v>
      </c>
      <c r="O3111">
        <v>71035478</v>
      </c>
      <c r="P3111">
        <v>186</v>
      </c>
      <c r="Q3111" t="s">
        <v>6562</v>
      </c>
    </row>
    <row r="3112" spans="1:17" x14ac:dyDescent="0.3">
      <c r="A3112" t="s">
        <v>4664</v>
      </c>
      <c r="B3112" t="str">
        <f>"002429"</f>
        <v>002429</v>
      </c>
      <c r="C3112" t="s">
        <v>6563</v>
      </c>
      <c r="D3112" t="s">
        <v>137</v>
      </c>
      <c r="F3112">
        <v>1577033604</v>
      </c>
      <c r="G3112">
        <v>1111883313</v>
      </c>
      <c r="H3112">
        <v>669712654</v>
      </c>
      <c r="I3112">
        <v>356235413</v>
      </c>
      <c r="J3112">
        <v>490891762</v>
      </c>
      <c r="K3112">
        <v>350034871</v>
      </c>
      <c r="L3112">
        <v>432178610</v>
      </c>
      <c r="M3112">
        <v>503045081</v>
      </c>
      <c r="N3112">
        <v>445816926</v>
      </c>
      <c r="O3112">
        <v>414857567</v>
      </c>
      <c r="P3112">
        <v>454</v>
      </c>
      <c r="Q3112" t="s">
        <v>6564</v>
      </c>
    </row>
    <row r="3113" spans="1:17" x14ac:dyDescent="0.3">
      <c r="A3113" t="s">
        <v>4664</v>
      </c>
      <c r="B3113" t="str">
        <f>"002430"</f>
        <v>002430</v>
      </c>
      <c r="C3113" t="s">
        <v>6565</v>
      </c>
      <c r="D3113" t="s">
        <v>741</v>
      </c>
      <c r="F3113">
        <v>1046717182</v>
      </c>
      <c r="G3113">
        <v>645794206</v>
      </c>
      <c r="H3113">
        <v>531623508</v>
      </c>
      <c r="I3113">
        <v>539568993</v>
      </c>
      <c r="J3113">
        <v>207244011</v>
      </c>
      <c r="K3113">
        <v>-138594194</v>
      </c>
      <c r="L3113">
        <v>100201764</v>
      </c>
      <c r="M3113">
        <v>82580711</v>
      </c>
      <c r="N3113">
        <v>171323846</v>
      </c>
      <c r="O3113">
        <v>330023717</v>
      </c>
      <c r="P3113">
        <v>395</v>
      </c>
      <c r="Q3113" t="s">
        <v>6566</v>
      </c>
    </row>
    <row r="3114" spans="1:17" x14ac:dyDescent="0.3">
      <c r="A3114" t="s">
        <v>4664</v>
      </c>
      <c r="B3114" t="str">
        <f>"002431"</f>
        <v>002431</v>
      </c>
      <c r="C3114" t="s">
        <v>6567</v>
      </c>
      <c r="D3114" t="s">
        <v>2408</v>
      </c>
      <c r="F3114">
        <v>33825918</v>
      </c>
      <c r="G3114">
        <v>48593513</v>
      </c>
      <c r="H3114">
        <v>-185029780</v>
      </c>
      <c r="I3114">
        <v>14924877</v>
      </c>
      <c r="J3114">
        <v>180112916</v>
      </c>
      <c r="K3114">
        <v>84903865</v>
      </c>
      <c r="L3114">
        <v>38048214</v>
      </c>
      <c r="M3114">
        <v>241027568</v>
      </c>
      <c r="N3114">
        <v>212950100</v>
      </c>
      <c r="O3114">
        <v>186935030</v>
      </c>
      <c r="P3114">
        <v>124</v>
      </c>
      <c r="Q3114" t="s">
        <v>6568</v>
      </c>
    </row>
    <row r="3115" spans="1:17" x14ac:dyDescent="0.3">
      <c r="A3115" t="s">
        <v>4664</v>
      </c>
      <c r="B3115" t="str">
        <f>"002432"</f>
        <v>002432</v>
      </c>
      <c r="C3115" t="s">
        <v>6569</v>
      </c>
      <c r="D3115" t="s">
        <v>122</v>
      </c>
      <c r="F3115">
        <v>50127982</v>
      </c>
      <c r="G3115">
        <v>363050994</v>
      </c>
      <c r="H3115">
        <v>-79610574</v>
      </c>
      <c r="I3115">
        <v>-60979190</v>
      </c>
      <c r="J3115">
        <v>-87432106</v>
      </c>
      <c r="K3115">
        <v>-98545325</v>
      </c>
      <c r="L3115">
        <v>-66419139</v>
      </c>
      <c r="M3115">
        <v>-29559059</v>
      </c>
      <c r="N3115">
        <v>6579327</v>
      </c>
      <c r="O3115">
        <v>9113050</v>
      </c>
      <c r="P3115">
        <v>281</v>
      </c>
      <c r="Q3115" t="s">
        <v>6570</v>
      </c>
    </row>
    <row r="3116" spans="1:17" x14ac:dyDescent="0.3">
      <c r="A3116" t="s">
        <v>4664</v>
      </c>
      <c r="B3116" t="str">
        <f>"002433"</f>
        <v>002433</v>
      </c>
      <c r="C3116" t="s">
        <v>6571</v>
      </c>
      <c r="D3116" t="s">
        <v>188</v>
      </c>
      <c r="F3116">
        <v>552732562</v>
      </c>
      <c r="G3116">
        <v>40528469</v>
      </c>
      <c r="H3116">
        <v>78421201</v>
      </c>
      <c r="I3116">
        <v>154442053</v>
      </c>
      <c r="J3116">
        <v>205461839</v>
      </c>
      <c r="K3116">
        <v>164220946</v>
      </c>
      <c r="L3116">
        <v>171265765</v>
      </c>
      <c r="M3116">
        <v>136775073</v>
      </c>
      <c r="N3116">
        <v>93358219</v>
      </c>
      <c r="O3116">
        <v>60183381</v>
      </c>
      <c r="P3116">
        <v>235</v>
      </c>
      <c r="Q3116" t="s">
        <v>6572</v>
      </c>
    </row>
    <row r="3117" spans="1:17" x14ac:dyDescent="0.3">
      <c r="A3117" t="s">
        <v>4664</v>
      </c>
      <c r="B3117" t="str">
        <f>"002434"</f>
        <v>002434</v>
      </c>
      <c r="C3117" t="s">
        <v>6573</v>
      </c>
      <c r="D3117" t="s">
        <v>348</v>
      </c>
      <c r="F3117">
        <v>510502826</v>
      </c>
      <c r="G3117">
        <v>509301240</v>
      </c>
      <c r="H3117">
        <v>348129437</v>
      </c>
      <c r="I3117">
        <v>367864255</v>
      </c>
      <c r="J3117">
        <v>573575379</v>
      </c>
      <c r="K3117">
        <v>219514336</v>
      </c>
      <c r="L3117">
        <v>166823888</v>
      </c>
      <c r="M3117">
        <v>136613816</v>
      </c>
      <c r="N3117">
        <v>96829944</v>
      </c>
      <c r="O3117">
        <v>64977041</v>
      </c>
      <c r="P3117">
        <v>238</v>
      </c>
      <c r="Q3117" t="s">
        <v>6574</v>
      </c>
    </row>
    <row r="3118" spans="1:17" x14ac:dyDescent="0.3">
      <c r="A3118" t="s">
        <v>4664</v>
      </c>
      <c r="B3118" t="str">
        <f>"002435"</f>
        <v>002435</v>
      </c>
      <c r="C3118" t="s">
        <v>6575</v>
      </c>
      <c r="D3118" t="s">
        <v>143</v>
      </c>
      <c r="F3118">
        <v>317591259</v>
      </c>
      <c r="G3118">
        <v>272070539</v>
      </c>
      <c r="H3118">
        <v>253985398</v>
      </c>
      <c r="I3118">
        <v>280992105</v>
      </c>
      <c r="J3118">
        <v>244379232</v>
      </c>
      <c r="K3118">
        <v>18927912</v>
      </c>
      <c r="L3118">
        <v>37765081</v>
      </c>
      <c r="M3118">
        <v>33873906</v>
      </c>
      <c r="N3118">
        <v>43211977</v>
      </c>
      <c r="O3118">
        <v>30110336</v>
      </c>
      <c r="P3118">
        <v>139</v>
      </c>
      <c r="Q3118" t="s">
        <v>6576</v>
      </c>
    </row>
    <row r="3119" spans="1:17" x14ac:dyDescent="0.3">
      <c r="A3119" t="s">
        <v>4664</v>
      </c>
      <c r="B3119" t="str">
        <f>"002436"</f>
        <v>002436</v>
      </c>
      <c r="C3119" t="s">
        <v>6577</v>
      </c>
      <c r="D3119" t="s">
        <v>425</v>
      </c>
      <c r="F3119">
        <v>489826951</v>
      </c>
      <c r="G3119">
        <v>457396066</v>
      </c>
      <c r="H3119">
        <v>230880618</v>
      </c>
      <c r="I3119">
        <v>176312250</v>
      </c>
      <c r="J3119">
        <v>158789679</v>
      </c>
      <c r="K3119">
        <v>139705693</v>
      </c>
      <c r="L3119">
        <v>114544871</v>
      </c>
      <c r="M3119">
        <v>103060710</v>
      </c>
      <c r="N3119">
        <v>85572923</v>
      </c>
      <c r="O3119">
        <v>115210379</v>
      </c>
      <c r="P3119">
        <v>563</v>
      </c>
      <c r="Q3119" t="s">
        <v>6578</v>
      </c>
    </row>
    <row r="3120" spans="1:17" x14ac:dyDescent="0.3">
      <c r="A3120" t="s">
        <v>4664</v>
      </c>
      <c r="B3120" t="str">
        <f>"002437"</f>
        <v>002437</v>
      </c>
      <c r="C3120" t="s">
        <v>6579</v>
      </c>
      <c r="D3120" t="s">
        <v>143</v>
      </c>
      <c r="F3120">
        <v>110512288</v>
      </c>
      <c r="G3120">
        <v>657691457</v>
      </c>
      <c r="H3120">
        <v>310314464</v>
      </c>
      <c r="I3120">
        <v>314074237</v>
      </c>
      <c r="J3120">
        <v>287079452</v>
      </c>
      <c r="K3120">
        <v>570041982</v>
      </c>
      <c r="L3120">
        <v>499076808</v>
      </c>
      <c r="M3120">
        <v>298182749</v>
      </c>
      <c r="N3120">
        <v>135119247</v>
      </c>
      <c r="O3120">
        <v>99246357</v>
      </c>
      <c r="P3120">
        <v>189</v>
      </c>
      <c r="Q3120" t="s">
        <v>6580</v>
      </c>
    </row>
    <row r="3121" spans="1:17" x14ac:dyDescent="0.3">
      <c r="A3121" t="s">
        <v>4664</v>
      </c>
      <c r="B3121" t="str">
        <f>"002438"</f>
        <v>002438</v>
      </c>
      <c r="C3121" t="s">
        <v>6581</v>
      </c>
      <c r="D3121" t="s">
        <v>274</v>
      </c>
      <c r="F3121">
        <v>213108756</v>
      </c>
      <c r="G3121">
        <v>161689811</v>
      </c>
      <c r="H3121">
        <v>130988792</v>
      </c>
      <c r="I3121">
        <v>61518849</v>
      </c>
      <c r="J3121">
        <v>38058318</v>
      </c>
      <c r="K3121">
        <v>32203237</v>
      </c>
      <c r="L3121">
        <v>21004280</v>
      </c>
      <c r="M3121">
        <v>40933799</v>
      </c>
      <c r="N3121">
        <v>46766707</v>
      </c>
      <c r="O3121">
        <v>44521889</v>
      </c>
      <c r="P3121">
        <v>185</v>
      </c>
      <c r="Q3121" t="s">
        <v>6582</v>
      </c>
    </row>
    <row r="3122" spans="1:17" x14ac:dyDescent="0.3">
      <c r="A3122" t="s">
        <v>4664</v>
      </c>
      <c r="B3122" t="str">
        <f>"002439"</f>
        <v>002439</v>
      </c>
      <c r="C3122" t="s">
        <v>6583</v>
      </c>
      <c r="D3122" t="s">
        <v>1189</v>
      </c>
      <c r="F3122">
        <v>-15082899</v>
      </c>
      <c r="G3122">
        <v>68882870</v>
      </c>
      <c r="H3122">
        <v>97095086</v>
      </c>
      <c r="I3122">
        <v>118306050</v>
      </c>
      <c r="J3122">
        <v>55138190</v>
      </c>
      <c r="K3122">
        <v>47130998</v>
      </c>
      <c r="L3122">
        <v>50825512</v>
      </c>
      <c r="M3122">
        <v>-18435979</v>
      </c>
      <c r="N3122">
        <v>-32081285</v>
      </c>
      <c r="O3122">
        <v>-33666879</v>
      </c>
      <c r="P3122">
        <v>1190</v>
      </c>
      <c r="Q3122" t="s">
        <v>6584</v>
      </c>
    </row>
    <row r="3123" spans="1:17" x14ac:dyDescent="0.3">
      <c r="A3123" t="s">
        <v>4664</v>
      </c>
      <c r="B3123" t="str">
        <f>"002440"</f>
        <v>002440</v>
      </c>
      <c r="C3123" t="s">
        <v>6585</v>
      </c>
      <c r="D3123" t="s">
        <v>779</v>
      </c>
      <c r="F3123">
        <v>668701307</v>
      </c>
      <c r="G3123">
        <v>556787261</v>
      </c>
      <c r="H3123">
        <v>1077509821</v>
      </c>
      <c r="I3123">
        <v>1016550996</v>
      </c>
      <c r="J3123">
        <v>640495668</v>
      </c>
      <c r="K3123">
        <v>440531625</v>
      </c>
      <c r="L3123">
        <v>679675080</v>
      </c>
      <c r="M3123">
        <v>886819422</v>
      </c>
      <c r="N3123">
        <v>487384219</v>
      </c>
      <c r="O3123">
        <v>216322410</v>
      </c>
      <c r="P3123">
        <v>537</v>
      </c>
      <c r="Q3123" t="s">
        <v>6586</v>
      </c>
    </row>
    <row r="3124" spans="1:17" x14ac:dyDescent="0.3">
      <c r="A3124" t="s">
        <v>4664</v>
      </c>
      <c r="B3124" t="str">
        <f>"002441"</f>
        <v>002441</v>
      </c>
      <c r="C3124" t="s">
        <v>6587</v>
      </c>
      <c r="D3124" t="s">
        <v>657</v>
      </c>
      <c r="F3124">
        <v>318785128</v>
      </c>
      <c r="G3124">
        <v>263078715</v>
      </c>
      <c r="H3124">
        <v>216026152</v>
      </c>
      <c r="I3124">
        <v>186873687</v>
      </c>
      <c r="J3124">
        <v>189460582</v>
      </c>
      <c r="K3124">
        <v>114608305</v>
      </c>
      <c r="L3124">
        <v>154267327</v>
      </c>
      <c r="M3124">
        <v>175052225</v>
      </c>
      <c r="N3124">
        <v>146690788</v>
      </c>
      <c r="O3124">
        <v>153139010</v>
      </c>
      <c r="P3124">
        <v>134</v>
      </c>
      <c r="Q3124" t="s">
        <v>6588</v>
      </c>
    </row>
    <row r="3125" spans="1:17" x14ac:dyDescent="0.3">
      <c r="A3125" t="s">
        <v>4664</v>
      </c>
      <c r="B3125" t="str">
        <f>"002442"</f>
        <v>002442</v>
      </c>
      <c r="C3125" t="s">
        <v>6589</v>
      </c>
      <c r="D3125" t="s">
        <v>3619</v>
      </c>
      <c r="F3125">
        <v>142347554</v>
      </c>
      <c r="G3125">
        <v>21079630</v>
      </c>
      <c r="H3125">
        <v>23954067</v>
      </c>
      <c r="I3125">
        <v>98024210</v>
      </c>
      <c r="J3125">
        <v>69643310</v>
      </c>
      <c r="K3125">
        <v>14683713</v>
      </c>
      <c r="L3125">
        <v>-31644106</v>
      </c>
      <c r="M3125">
        <v>3090745</v>
      </c>
      <c r="N3125">
        <v>10834962</v>
      </c>
      <c r="O3125">
        <v>36019826</v>
      </c>
      <c r="P3125">
        <v>105</v>
      </c>
      <c r="Q3125" t="s">
        <v>6590</v>
      </c>
    </row>
    <row r="3126" spans="1:17" x14ac:dyDescent="0.3">
      <c r="A3126" t="s">
        <v>4664</v>
      </c>
      <c r="B3126" t="str">
        <f>"002443"</f>
        <v>002443</v>
      </c>
      <c r="C3126" t="s">
        <v>6591</v>
      </c>
      <c r="D3126" t="s">
        <v>281</v>
      </c>
      <c r="F3126">
        <v>287221198</v>
      </c>
      <c r="G3126">
        <v>469807756</v>
      </c>
      <c r="H3126">
        <v>160920972</v>
      </c>
      <c r="I3126">
        <v>109545767</v>
      </c>
      <c r="J3126">
        <v>106760236</v>
      </c>
      <c r="K3126">
        <v>42530944</v>
      </c>
      <c r="L3126">
        <v>78306552</v>
      </c>
      <c r="M3126">
        <v>56979467</v>
      </c>
      <c r="N3126">
        <v>91709124</v>
      </c>
      <c r="O3126">
        <v>75303485</v>
      </c>
      <c r="P3126">
        <v>257</v>
      </c>
      <c r="Q3126" t="s">
        <v>6592</v>
      </c>
    </row>
    <row r="3127" spans="1:17" x14ac:dyDescent="0.3">
      <c r="A3127" t="s">
        <v>4664</v>
      </c>
      <c r="B3127" t="str">
        <f>"002444"</f>
        <v>002444</v>
      </c>
      <c r="C3127" t="s">
        <v>6593</v>
      </c>
      <c r="D3127" t="s">
        <v>560</v>
      </c>
      <c r="F3127">
        <v>1150759593</v>
      </c>
      <c r="G3127">
        <v>1094950304</v>
      </c>
      <c r="H3127">
        <v>727813607</v>
      </c>
      <c r="I3127">
        <v>566105773</v>
      </c>
      <c r="J3127">
        <v>424514017</v>
      </c>
      <c r="K3127">
        <v>460935358</v>
      </c>
      <c r="L3127">
        <v>418815535</v>
      </c>
      <c r="M3127">
        <v>416432209</v>
      </c>
      <c r="N3127">
        <v>329152897</v>
      </c>
      <c r="O3127">
        <v>235376900</v>
      </c>
      <c r="P3127">
        <v>656</v>
      </c>
      <c r="Q3127" t="s">
        <v>6594</v>
      </c>
    </row>
    <row r="3128" spans="1:17" x14ac:dyDescent="0.3">
      <c r="A3128" t="s">
        <v>4664</v>
      </c>
      <c r="B3128" t="str">
        <f>"002445"</f>
        <v>002445</v>
      </c>
      <c r="C3128" t="s">
        <v>6595</v>
      </c>
      <c r="D3128" t="s">
        <v>517</v>
      </c>
      <c r="F3128">
        <v>371229290</v>
      </c>
      <c r="G3128">
        <v>-511402612</v>
      </c>
      <c r="H3128">
        <v>-273516045</v>
      </c>
      <c r="I3128">
        <v>-23571159</v>
      </c>
      <c r="J3128">
        <v>173800678</v>
      </c>
      <c r="K3128">
        <v>132601496</v>
      </c>
      <c r="L3128">
        <v>80145515</v>
      </c>
      <c r="M3128">
        <v>55238346</v>
      </c>
      <c r="N3128">
        <v>44526054</v>
      </c>
      <c r="O3128">
        <v>59883783</v>
      </c>
      <c r="P3128">
        <v>110</v>
      </c>
      <c r="Q3128" t="s">
        <v>6596</v>
      </c>
    </row>
    <row r="3129" spans="1:17" x14ac:dyDescent="0.3">
      <c r="A3129" t="s">
        <v>4664</v>
      </c>
      <c r="B3129" t="str">
        <f>"002446"</f>
        <v>002446</v>
      </c>
      <c r="C3129" t="s">
        <v>6597</v>
      </c>
      <c r="D3129" t="s">
        <v>1136</v>
      </c>
      <c r="F3129">
        <v>14617174</v>
      </c>
      <c r="G3129">
        <v>178058405</v>
      </c>
      <c r="H3129">
        <v>130286900</v>
      </c>
      <c r="I3129">
        <v>121217718</v>
      </c>
      <c r="J3129">
        <v>111850416</v>
      </c>
      <c r="K3129">
        <v>180475403</v>
      </c>
      <c r="L3129">
        <v>91680080</v>
      </c>
      <c r="M3129">
        <v>23832215</v>
      </c>
      <c r="N3129">
        <v>6111588</v>
      </c>
      <c r="O3129">
        <v>7933111</v>
      </c>
      <c r="P3129">
        <v>371</v>
      </c>
      <c r="Q3129" t="s">
        <v>6598</v>
      </c>
    </row>
    <row r="3130" spans="1:17" x14ac:dyDescent="0.3">
      <c r="A3130" t="s">
        <v>4664</v>
      </c>
      <c r="B3130" t="str">
        <f>"002447"</f>
        <v>002447</v>
      </c>
      <c r="C3130" t="s">
        <v>6599</v>
      </c>
      <c r="D3130" t="s">
        <v>517</v>
      </c>
      <c r="F3130">
        <v>-27210000</v>
      </c>
      <c r="G3130">
        <v>375247</v>
      </c>
      <c r="H3130">
        <v>689053</v>
      </c>
      <c r="I3130">
        <v>65497822</v>
      </c>
      <c r="J3130">
        <v>68866618</v>
      </c>
      <c r="K3130">
        <v>131486447</v>
      </c>
      <c r="L3130">
        <v>60990619</v>
      </c>
      <c r="M3130">
        <v>105904496</v>
      </c>
      <c r="N3130">
        <v>86822665</v>
      </c>
      <c r="O3130">
        <v>96171837</v>
      </c>
      <c r="P3130">
        <v>92</v>
      </c>
      <c r="Q3130" t="s">
        <v>6600</v>
      </c>
    </row>
    <row r="3131" spans="1:17" x14ac:dyDescent="0.3">
      <c r="A3131" t="s">
        <v>4664</v>
      </c>
      <c r="B3131" t="str">
        <f>"002448"</f>
        <v>002448</v>
      </c>
      <c r="C3131" t="s">
        <v>6601</v>
      </c>
      <c r="D3131" t="s">
        <v>348</v>
      </c>
      <c r="F3131">
        <v>184263071</v>
      </c>
      <c r="G3131">
        <v>125375216</v>
      </c>
      <c r="H3131">
        <v>124150741</v>
      </c>
      <c r="I3131">
        <v>196446929</v>
      </c>
      <c r="J3131">
        <v>210700183</v>
      </c>
      <c r="K3131">
        <v>164822884</v>
      </c>
      <c r="L3131">
        <v>154933972</v>
      </c>
      <c r="M3131">
        <v>145887148</v>
      </c>
      <c r="N3131">
        <v>126370873</v>
      </c>
      <c r="O3131">
        <v>116717652</v>
      </c>
      <c r="P3131">
        <v>194</v>
      </c>
      <c r="Q3131" t="s">
        <v>6602</v>
      </c>
    </row>
    <row r="3132" spans="1:17" x14ac:dyDescent="0.3">
      <c r="A3132" t="s">
        <v>4664</v>
      </c>
      <c r="B3132" t="str">
        <f>"002449"</f>
        <v>002449</v>
      </c>
      <c r="C3132" t="s">
        <v>6603</v>
      </c>
      <c r="D3132" t="s">
        <v>803</v>
      </c>
      <c r="F3132">
        <v>177610556</v>
      </c>
      <c r="G3132">
        <v>77358306</v>
      </c>
      <c r="H3132">
        <v>312956466</v>
      </c>
      <c r="I3132">
        <v>383475200</v>
      </c>
      <c r="J3132">
        <v>258407091</v>
      </c>
      <c r="K3132">
        <v>130897846</v>
      </c>
      <c r="L3132">
        <v>122803365</v>
      </c>
      <c r="M3132">
        <v>100444026</v>
      </c>
      <c r="N3132">
        <v>74219698</v>
      </c>
      <c r="O3132">
        <v>63293652</v>
      </c>
      <c r="P3132">
        <v>392</v>
      </c>
      <c r="Q3132" t="s">
        <v>6604</v>
      </c>
    </row>
    <row r="3133" spans="1:17" x14ac:dyDescent="0.3">
      <c r="A3133" t="s">
        <v>4664</v>
      </c>
      <c r="B3133" t="str">
        <f>"002450"</f>
        <v>002450</v>
      </c>
      <c r="C3133" t="s">
        <v>6605</v>
      </c>
      <c r="G3133">
        <v>-891761343</v>
      </c>
      <c r="H3133">
        <v>-968274414</v>
      </c>
      <c r="I3133">
        <v>2201435969</v>
      </c>
      <c r="J3133">
        <v>1879365439</v>
      </c>
      <c r="K3133">
        <v>1414502683</v>
      </c>
      <c r="L3133">
        <v>1026962018</v>
      </c>
      <c r="M3133">
        <v>704059298</v>
      </c>
      <c r="N3133">
        <v>468404699</v>
      </c>
      <c r="O3133">
        <v>300094828</v>
      </c>
      <c r="P3133">
        <v>1520</v>
      </c>
      <c r="Q3133" t="s">
        <v>6606</v>
      </c>
    </row>
    <row r="3134" spans="1:17" x14ac:dyDescent="0.3">
      <c r="A3134" t="s">
        <v>4664</v>
      </c>
      <c r="B3134" t="str">
        <f>"002451"</f>
        <v>002451</v>
      </c>
      <c r="C3134" t="s">
        <v>6607</v>
      </c>
      <c r="D3134" t="s">
        <v>1164</v>
      </c>
      <c r="F3134">
        <v>8201483</v>
      </c>
      <c r="G3134">
        <v>-11938676</v>
      </c>
      <c r="H3134">
        <v>43749340</v>
      </c>
      <c r="I3134">
        <v>5978904</v>
      </c>
      <c r="J3134">
        <v>40301484</v>
      </c>
      <c r="K3134">
        <v>6456512</v>
      </c>
      <c r="L3134">
        <v>19790383</v>
      </c>
      <c r="M3134">
        <v>16454295</v>
      </c>
      <c r="N3134">
        <v>12244273</v>
      </c>
      <c r="O3134">
        <v>7385943</v>
      </c>
      <c r="P3134">
        <v>105</v>
      </c>
      <c r="Q3134" t="s">
        <v>6608</v>
      </c>
    </row>
    <row r="3135" spans="1:17" x14ac:dyDescent="0.3">
      <c r="A3135" t="s">
        <v>4664</v>
      </c>
      <c r="B3135" t="str">
        <f>"002452"</f>
        <v>002452</v>
      </c>
      <c r="C3135" t="s">
        <v>6609</v>
      </c>
      <c r="D3135" t="s">
        <v>210</v>
      </c>
      <c r="F3135">
        <v>191729689</v>
      </c>
      <c r="G3135">
        <v>174569887</v>
      </c>
      <c r="H3135">
        <v>94824790</v>
      </c>
      <c r="I3135">
        <v>-33263316</v>
      </c>
      <c r="J3135">
        <v>73134395</v>
      </c>
      <c r="K3135">
        <v>69030492</v>
      </c>
      <c r="L3135">
        <v>48795300</v>
      </c>
      <c r="M3135">
        <v>68423440</v>
      </c>
      <c r="N3135">
        <v>63859246</v>
      </c>
      <c r="O3135">
        <v>49724214</v>
      </c>
      <c r="P3135">
        <v>173</v>
      </c>
      <c r="Q3135" t="s">
        <v>6610</v>
      </c>
    </row>
    <row r="3136" spans="1:17" x14ac:dyDescent="0.3">
      <c r="A3136" t="s">
        <v>4664</v>
      </c>
      <c r="B3136" t="str">
        <f>"002453"</f>
        <v>002453</v>
      </c>
      <c r="C3136" t="s">
        <v>6611</v>
      </c>
      <c r="D3136" t="s">
        <v>386</v>
      </c>
      <c r="F3136">
        <v>65807412</v>
      </c>
      <c r="G3136">
        <v>10193005</v>
      </c>
      <c r="H3136">
        <v>19682788</v>
      </c>
      <c r="I3136">
        <v>22612835</v>
      </c>
      <c r="J3136">
        <v>5058864</v>
      </c>
      <c r="K3136">
        <v>11521505</v>
      </c>
      <c r="L3136">
        <v>25468623</v>
      </c>
      <c r="M3136">
        <v>40398036</v>
      </c>
      <c r="N3136">
        <v>39974689</v>
      </c>
      <c r="O3136">
        <v>55636074</v>
      </c>
      <c r="P3136">
        <v>125</v>
      </c>
      <c r="Q3136" t="s">
        <v>6612</v>
      </c>
    </row>
    <row r="3137" spans="1:17" x14ac:dyDescent="0.3">
      <c r="A3137" t="s">
        <v>4664</v>
      </c>
      <c r="B3137" t="str">
        <f>"002454"</f>
        <v>002454</v>
      </c>
      <c r="C3137" t="s">
        <v>6613</v>
      </c>
      <c r="D3137" t="s">
        <v>1415</v>
      </c>
      <c r="F3137">
        <v>100647786</v>
      </c>
      <c r="G3137">
        <v>148510259</v>
      </c>
      <c r="H3137">
        <v>175622976</v>
      </c>
      <c r="I3137">
        <v>65718941</v>
      </c>
      <c r="J3137">
        <v>163633798</v>
      </c>
      <c r="K3137">
        <v>159009417</v>
      </c>
      <c r="L3137">
        <v>194216971</v>
      </c>
      <c r="M3137">
        <v>205187917</v>
      </c>
      <c r="N3137">
        <v>160585019</v>
      </c>
      <c r="O3137">
        <v>141072426</v>
      </c>
      <c r="P3137">
        <v>191</v>
      </c>
      <c r="Q3137" t="s">
        <v>6614</v>
      </c>
    </row>
    <row r="3138" spans="1:17" x14ac:dyDescent="0.3">
      <c r="A3138" t="s">
        <v>4664</v>
      </c>
      <c r="B3138" t="str">
        <f>"002455"</f>
        <v>002455</v>
      </c>
      <c r="C3138" t="s">
        <v>6615</v>
      </c>
      <c r="D3138" t="s">
        <v>386</v>
      </c>
      <c r="F3138">
        <v>124374604</v>
      </c>
      <c r="G3138">
        <v>33098873</v>
      </c>
      <c r="H3138">
        <v>66014976</v>
      </c>
      <c r="I3138">
        <v>88630431</v>
      </c>
      <c r="J3138">
        <v>87873879</v>
      </c>
      <c r="K3138">
        <v>61827819</v>
      </c>
      <c r="L3138">
        <v>38048884</v>
      </c>
      <c r="M3138">
        <v>37204520</v>
      </c>
      <c r="N3138">
        <v>28219332</v>
      </c>
      <c r="O3138">
        <v>27648018</v>
      </c>
      <c r="P3138">
        <v>209</v>
      </c>
      <c r="Q3138" t="s">
        <v>6616</v>
      </c>
    </row>
    <row r="3139" spans="1:17" x14ac:dyDescent="0.3">
      <c r="A3139" t="s">
        <v>4664</v>
      </c>
      <c r="B3139" t="str">
        <f>"002456"</f>
        <v>002456</v>
      </c>
      <c r="C3139" t="s">
        <v>6617</v>
      </c>
      <c r="D3139" t="s">
        <v>164</v>
      </c>
      <c r="F3139">
        <v>-40387065</v>
      </c>
      <c r="G3139">
        <v>738825770</v>
      </c>
      <c r="H3139">
        <v>180549724</v>
      </c>
      <c r="I3139">
        <v>1376399294</v>
      </c>
      <c r="J3139">
        <v>1021887426</v>
      </c>
      <c r="K3139">
        <v>566756218</v>
      </c>
      <c r="L3139">
        <v>345095827</v>
      </c>
      <c r="M3139">
        <v>524130141</v>
      </c>
      <c r="N3139">
        <v>376876429</v>
      </c>
      <c r="O3139">
        <v>195134462</v>
      </c>
      <c r="P3139">
        <v>1607</v>
      </c>
      <c r="Q3139" t="s">
        <v>6618</v>
      </c>
    </row>
    <row r="3140" spans="1:17" x14ac:dyDescent="0.3">
      <c r="A3140" t="s">
        <v>4664</v>
      </c>
      <c r="B3140" t="str">
        <f>"002457"</f>
        <v>002457</v>
      </c>
      <c r="C3140" t="s">
        <v>6619</v>
      </c>
      <c r="D3140" t="s">
        <v>3320</v>
      </c>
      <c r="F3140">
        <v>85817288</v>
      </c>
      <c r="G3140">
        <v>35102650</v>
      </c>
      <c r="H3140">
        <v>103870312</v>
      </c>
      <c r="I3140">
        <v>37580029</v>
      </c>
      <c r="J3140">
        <v>-70513769</v>
      </c>
      <c r="K3140">
        <v>7964500</v>
      </c>
      <c r="L3140">
        <v>24012834</v>
      </c>
      <c r="M3140">
        <v>62618479</v>
      </c>
      <c r="N3140">
        <v>77158960</v>
      </c>
      <c r="O3140">
        <v>74200479</v>
      </c>
      <c r="P3140">
        <v>132</v>
      </c>
      <c r="Q3140" t="s">
        <v>6620</v>
      </c>
    </row>
    <row r="3141" spans="1:17" x14ac:dyDescent="0.3">
      <c r="A3141" t="s">
        <v>4664</v>
      </c>
      <c r="B3141" t="str">
        <f>"002458"</f>
        <v>002458</v>
      </c>
      <c r="C3141" t="s">
        <v>6621</v>
      </c>
      <c r="D3141" t="s">
        <v>6173</v>
      </c>
      <c r="F3141">
        <v>228572686</v>
      </c>
      <c r="G3141">
        <v>144887881</v>
      </c>
      <c r="H3141">
        <v>1468540425</v>
      </c>
      <c r="I3141">
        <v>133984374</v>
      </c>
      <c r="J3141">
        <v>-185142838</v>
      </c>
      <c r="K3141">
        <v>504822360</v>
      </c>
      <c r="L3141">
        <v>-278418485</v>
      </c>
      <c r="M3141">
        <v>-26557274</v>
      </c>
      <c r="N3141">
        <v>-147116858</v>
      </c>
      <c r="O3141">
        <v>42092027</v>
      </c>
      <c r="P3141">
        <v>815</v>
      </c>
      <c r="Q3141" t="s">
        <v>6622</v>
      </c>
    </row>
    <row r="3142" spans="1:17" x14ac:dyDescent="0.3">
      <c r="A3142" t="s">
        <v>4664</v>
      </c>
      <c r="B3142" t="str">
        <f>"002459"</f>
        <v>002459</v>
      </c>
      <c r="C3142" t="s">
        <v>6623</v>
      </c>
      <c r="D3142" t="s">
        <v>356</v>
      </c>
      <c r="F3142">
        <v>1312386300</v>
      </c>
      <c r="G3142">
        <v>1291427702</v>
      </c>
      <c r="H3142">
        <v>-39515989</v>
      </c>
      <c r="I3142">
        <v>13441549</v>
      </c>
      <c r="J3142">
        <v>5339498</v>
      </c>
      <c r="K3142">
        <v>10839798</v>
      </c>
      <c r="L3142">
        <v>-61738502</v>
      </c>
      <c r="M3142">
        <v>-43378283</v>
      </c>
      <c r="N3142">
        <v>-247951510</v>
      </c>
      <c r="O3142">
        <v>-124683713</v>
      </c>
      <c r="P3142">
        <v>1227</v>
      </c>
      <c r="Q3142" t="s">
        <v>6624</v>
      </c>
    </row>
    <row r="3143" spans="1:17" x14ac:dyDescent="0.3">
      <c r="A3143" t="s">
        <v>4664</v>
      </c>
      <c r="B3143" t="str">
        <f>"002460"</f>
        <v>002460</v>
      </c>
      <c r="C3143" t="s">
        <v>6625</v>
      </c>
      <c r="D3143" t="s">
        <v>5300</v>
      </c>
      <c r="F3143">
        <v>2472792255</v>
      </c>
      <c r="G3143">
        <v>330482915</v>
      </c>
      <c r="H3143">
        <v>329165318</v>
      </c>
      <c r="I3143">
        <v>1106531680</v>
      </c>
      <c r="J3143">
        <v>1003530247</v>
      </c>
      <c r="K3143">
        <v>485803837</v>
      </c>
      <c r="L3143">
        <v>84582709</v>
      </c>
      <c r="M3143">
        <v>59807783</v>
      </c>
      <c r="N3143">
        <v>53451240</v>
      </c>
      <c r="O3143">
        <v>52691580</v>
      </c>
      <c r="P3143">
        <v>2486</v>
      </c>
      <c r="Q3143" t="s">
        <v>6626</v>
      </c>
    </row>
    <row r="3144" spans="1:17" x14ac:dyDescent="0.3">
      <c r="A3144" t="s">
        <v>4664</v>
      </c>
      <c r="B3144" t="str">
        <f>"002461"</f>
        <v>002461</v>
      </c>
      <c r="C3144" t="s">
        <v>6627</v>
      </c>
      <c r="D3144" t="s">
        <v>319</v>
      </c>
      <c r="F3144">
        <v>594613640</v>
      </c>
      <c r="G3144">
        <v>505222682</v>
      </c>
      <c r="H3144">
        <v>454374391</v>
      </c>
      <c r="I3144">
        <v>316864007</v>
      </c>
      <c r="J3144">
        <v>171316755</v>
      </c>
      <c r="K3144">
        <v>108653689</v>
      </c>
      <c r="L3144">
        <v>74560895</v>
      </c>
      <c r="M3144">
        <v>60004776</v>
      </c>
      <c r="N3144">
        <v>46501603</v>
      </c>
      <c r="O3144">
        <v>65132128</v>
      </c>
      <c r="P3144">
        <v>461</v>
      </c>
      <c r="Q3144" t="s">
        <v>6628</v>
      </c>
    </row>
    <row r="3145" spans="1:17" x14ac:dyDescent="0.3">
      <c r="A3145" t="s">
        <v>4664</v>
      </c>
      <c r="B3145" t="str">
        <f>"002462"</f>
        <v>002462</v>
      </c>
      <c r="C3145" t="s">
        <v>6629</v>
      </c>
      <c r="D3145" t="s">
        <v>125</v>
      </c>
      <c r="F3145">
        <v>265618881</v>
      </c>
      <c r="G3145">
        <v>244971634</v>
      </c>
      <c r="H3145">
        <v>295652374</v>
      </c>
      <c r="I3145">
        <v>260192989</v>
      </c>
      <c r="J3145">
        <v>200371376</v>
      </c>
      <c r="K3145">
        <v>170149919</v>
      </c>
      <c r="L3145">
        <v>131877562</v>
      </c>
      <c r="M3145">
        <v>193612160</v>
      </c>
      <c r="N3145">
        <v>80725662</v>
      </c>
      <c r="O3145">
        <v>56883977</v>
      </c>
      <c r="P3145">
        <v>258</v>
      </c>
      <c r="Q3145" t="s">
        <v>6630</v>
      </c>
    </row>
    <row r="3146" spans="1:17" x14ac:dyDescent="0.3">
      <c r="A3146" t="s">
        <v>4664</v>
      </c>
      <c r="B3146" t="str">
        <f>"002463"</f>
        <v>002463</v>
      </c>
      <c r="C3146" t="s">
        <v>6631</v>
      </c>
      <c r="D3146" t="s">
        <v>425</v>
      </c>
      <c r="F3146">
        <v>785635858</v>
      </c>
      <c r="G3146">
        <v>954593694</v>
      </c>
      <c r="H3146">
        <v>851214072</v>
      </c>
      <c r="I3146">
        <v>383210344</v>
      </c>
      <c r="J3146">
        <v>161897343</v>
      </c>
      <c r="K3146">
        <v>64710750</v>
      </c>
      <c r="L3146">
        <v>-22904229</v>
      </c>
      <c r="M3146">
        <v>-17204901</v>
      </c>
      <c r="N3146">
        <v>189644780</v>
      </c>
      <c r="O3146">
        <v>246117808</v>
      </c>
      <c r="P3146">
        <v>3004</v>
      </c>
      <c r="Q3146" t="s">
        <v>6632</v>
      </c>
    </row>
    <row r="3147" spans="1:17" x14ac:dyDescent="0.3">
      <c r="A3147" t="s">
        <v>4664</v>
      </c>
      <c r="B3147" t="str">
        <f>"002464"</f>
        <v>002464</v>
      </c>
      <c r="C3147" t="s">
        <v>6633</v>
      </c>
      <c r="D3147" t="s">
        <v>517</v>
      </c>
      <c r="F3147">
        <v>-139405244</v>
      </c>
      <c r="G3147">
        <v>-89760802</v>
      </c>
      <c r="H3147">
        <v>78139972</v>
      </c>
      <c r="I3147">
        <v>114605183</v>
      </c>
      <c r="J3147">
        <v>133892427</v>
      </c>
      <c r="K3147">
        <v>78603604</v>
      </c>
      <c r="L3147">
        <v>-123082446</v>
      </c>
      <c r="M3147">
        <v>11756461</v>
      </c>
      <c r="N3147">
        <v>28010292</v>
      </c>
      <c r="O3147">
        <v>42513189</v>
      </c>
      <c r="P3147">
        <v>110</v>
      </c>
      <c r="Q3147" t="s">
        <v>6634</v>
      </c>
    </row>
    <row r="3148" spans="1:17" x14ac:dyDescent="0.3">
      <c r="A3148" t="s">
        <v>4664</v>
      </c>
      <c r="B3148" t="str">
        <f>"002465"</f>
        <v>002465</v>
      </c>
      <c r="C3148" t="s">
        <v>6635</v>
      </c>
      <c r="D3148" t="s">
        <v>1136</v>
      </c>
      <c r="F3148">
        <v>382146396</v>
      </c>
      <c r="G3148">
        <v>330685240</v>
      </c>
      <c r="H3148">
        <v>311074319</v>
      </c>
      <c r="I3148">
        <v>255778063</v>
      </c>
      <c r="J3148">
        <v>177510146</v>
      </c>
      <c r="K3148">
        <v>250902946</v>
      </c>
      <c r="L3148">
        <v>226557852</v>
      </c>
      <c r="M3148">
        <v>177865383</v>
      </c>
      <c r="N3148">
        <v>160818379</v>
      </c>
      <c r="O3148">
        <v>139482938</v>
      </c>
      <c r="P3148">
        <v>544</v>
      </c>
      <c r="Q3148" t="s">
        <v>6636</v>
      </c>
    </row>
    <row r="3149" spans="1:17" x14ac:dyDescent="0.3">
      <c r="A3149" t="s">
        <v>4664</v>
      </c>
      <c r="B3149" t="str">
        <f>"002466"</f>
        <v>002466</v>
      </c>
      <c r="C3149" t="s">
        <v>6637</v>
      </c>
      <c r="D3149" t="s">
        <v>5300</v>
      </c>
      <c r="F3149">
        <v>529809525</v>
      </c>
      <c r="G3149">
        <v>-1103278598</v>
      </c>
      <c r="H3149">
        <v>139488406</v>
      </c>
      <c r="I3149">
        <v>1689082390</v>
      </c>
      <c r="J3149">
        <v>1518421356</v>
      </c>
      <c r="K3149">
        <v>1203493841</v>
      </c>
      <c r="L3149">
        <v>61273599</v>
      </c>
      <c r="M3149">
        <v>24467813</v>
      </c>
      <c r="N3149">
        <v>4434517</v>
      </c>
      <c r="O3149">
        <v>37910266</v>
      </c>
      <c r="P3149">
        <v>2365</v>
      </c>
      <c r="Q3149" t="s">
        <v>6638</v>
      </c>
    </row>
    <row r="3150" spans="1:17" x14ac:dyDescent="0.3">
      <c r="A3150" t="s">
        <v>4664</v>
      </c>
      <c r="B3150" t="str">
        <f>"002467"</f>
        <v>002467</v>
      </c>
      <c r="C3150" t="s">
        <v>6639</v>
      </c>
      <c r="D3150" t="s">
        <v>5597</v>
      </c>
      <c r="F3150">
        <v>85811725</v>
      </c>
      <c r="G3150">
        <v>396684743</v>
      </c>
      <c r="H3150">
        <v>91595695</v>
      </c>
      <c r="I3150">
        <v>69188240</v>
      </c>
      <c r="J3150">
        <v>63454384</v>
      </c>
      <c r="K3150">
        <v>95256467</v>
      </c>
      <c r="L3150">
        <v>83484661</v>
      </c>
      <c r="M3150">
        <v>116259318</v>
      </c>
      <c r="N3150">
        <v>105660148</v>
      </c>
      <c r="O3150">
        <v>66650659</v>
      </c>
      <c r="P3150">
        <v>200</v>
      </c>
      <c r="Q3150" t="s">
        <v>6640</v>
      </c>
    </row>
    <row r="3151" spans="1:17" x14ac:dyDescent="0.3">
      <c r="A3151" t="s">
        <v>4664</v>
      </c>
      <c r="B3151" t="str">
        <f>"002468"</f>
        <v>002468</v>
      </c>
      <c r="C3151" t="s">
        <v>6641</v>
      </c>
      <c r="D3151" t="s">
        <v>537</v>
      </c>
      <c r="F3151">
        <v>-237893935</v>
      </c>
      <c r="G3151">
        <v>5204192</v>
      </c>
      <c r="H3151">
        <v>1105753191</v>
      </c>
      <c r="I3151">
        <v>1610646118</v>
      </c>
      <c r="J3151">
        <v>1127408364</v>
      </c>
      <c r="K3151">
        <v>5211448</v>
      </c>
      <c r="L3151">
        <v>4945488</v>
      </c>
      <c r="M3151">
        <v>12690858</v>
      </c>
      <c r="N3151">
        <v>5041683</v>
      </c>
      <c r="O3151">
        <v>9566136</v>
      </c>
      <c r="P3151">
        <v>638</v>
      </c>
      <c r="Q3151" t="s">
        <v>6642</v>
      </c>
    </row>
    <row r="3152" spans="1:17" x14ac:dyDescent="0.3">
      <c r="A3152" t="s">
        <v>4664</v>
      </c>
      <c r="B3152" t="str">
        <f>"002469"</f>
        <v>002469</v>
      </c>
      <c r="C3152" t="s">
        <v>6643</v>
      </c>
      <c r="D3152" t="s">
        <v>2019</v>
      </c>
      <c r="F3152">
        <v>261155168</v>
      </c>
      <c r="G3152">
        <v>46732450</v>
      </c>
      <c r="H3152">
        <v>39699645</v>
      </c>
      <c r="I3152">
        <v>34055783</v>
      </c>
      <c r="J3152">
        <v>36577318</v>
      </c>
      <c r="K3152">
        <v>29191893</v>
      </c>
      <c r="L3152">
        <v>91906803</v>
      </c>
      <c r="M3152">
        <v>100628806</v>
      </c>
      <c r="N3152">
        <v>89343218</v>
      </c>
      <c r="O3152">
        <v>60867231</v>
      </c>
      <c r="P3152">
        <v>126</v>
      </c>
      <c r="Q3152" t="s">
        <v>6644</v>
      </c>
    </row>
    <row r="3153" spans="1:17" x14ac:dyDescent="0.3">
      <c r="A3153" t="s">
        <v>4664</v>
      </c>
      <c r="B3153" t="str">
        <f>"002470"</f>
        <v>002470</v>
      </c>
      <c r="C3153" t="s">
        <v>6645</v>
      </c>
      <c r="D3153" t="s">
        <v>5489</v>
      </c>
      <c r="F3153">
        <v>-23330024</v>
      </c>
      <c r="G3153">
        <v>-312671903</v>
      </c>
      <c r="H3153">
        <v>485362076</v>
      </c>
      <c r="I3153">
        <v>954404452</v>
      </c>
      <c r="J3153">
        <v>907707957</v>
      </c>
      <c r="K3153">
        <v>1127271880</v>
      </c>
      <c r="L3153">
        <v>1098698757</v>
      </c>
      <c r="M3153">
        <v>814943023</v>
      </c>
      <c r="N3153">
        <v>623891104</v>
      </c>
      <c r="O3153">
        <v>497576936</v>
      </c>
      <c r="P3153">
        <v>4918</v>
      </c>
      <c r="Q3153" t="s">
        <v>6646</v>
      </c>
    </row>
    <row r="3154" spans="1:17" x14ac:dyDescent="0.3">
      <c r="A3154" t="s">
        <v>4664</v>
      </c>
      <c r="B3154" t="str">
        <f>"002471"</f>
        <v>002471</v>
      </c>
      <c r="C3154" t="s">
        <v>6647</v>
      </c>
      <c r="D3154" t="s">
        <v>1164</v>
      </c>
      <c r="F3154">
        <v>-33183717</v>
      </c>
      <c r="G3154">
        <v>-29699794</v>
      </c>
      <c r="H3154">
        <v>-28022639</v>
      </c>
      <c r="I3154">
        <v>120261004</v>
      </c>
      <c r="J3154">
        <v>75253342</v>
      </c>
      <c r="K3154">
        <v>88295404</v>
      </c>
      <c r="L3154">
        <v>81891856</v>
      </c>
      <c r="M3154">
        <v>81511521</v>
      </c>
      <c r="N3154">
        <v>121148045</v>
      </c>
      <c r="O3154">
        <v>48335049</v>
      </c>
      <c r="P3154">
        <v>92</v>
      </c>
      <c r="Q3154" t="s">
        <v>6648</v>
      </c>
    </row>
    <row r="3155" spans="1:17" x14ac:dyDescent="0.3">
      <c r="A3155" t="s">
        <v>4664</v>
      </c>
      <c r="B3155" t="str">
        <f>"002472"</f>
        <v>002472</v>
      </c>
      <c r="C3155" t="s">
        <v>6649</v>
      </c>
      <c r="D3155" t="s">
        <v>348</v>
      </c>
      <c r="F3155">
        <v>226542261</v>
      </c>
      <c r="G3155">
        <v>14720058</v>
      </c>
      <c r="H3155">
        <v>100224485</v>
      </c>
      <c r="I3155">
        <v>190225271</v>
      </c>
      <c r="J3155">
        <v>181179057</v>
      </c>
      <c r="K3155">
        <v>133953942</v>
      </c>
      <c r="L3155">
        <v>99405658</v>
      </c>
      <c r="M3155">
        <v>86600093</v>
      </c>
      <c r="N3155">
        <v>54397360</v>
      </c>
      <c r="O3155">
        <v>87974339</v>
      </c>
      <c r="P3155">
        <v>258</v>
      </c>
      <c r="Q3155" t="s">
        <v>6650</v>
      </c>
    </row>
    <row r="3156" spans="1:17" x14ac:dyDescent="0.3">
      <c r="A3156" t="s">
        <v>4664</v>
      </c>
      <c r="B3156" t="str">
        <f>"002473"</f>
        <v>002473</v>
      </c>
      <c r="C3156" t="s">
        <v>6651</v>
      </c>
      <c r="D3156" t="s">
        <v>5712</v>
      </c>
      <c r="F3156">
        <v>-36708805</v>
      </c>
      <c r="G3156">
        <v>-12688755</v>
      </c>
      <c r="H3156">
        <v>-44073461</v>
      </c>
      <c r="I3156">
        <v>3739347</v>
      </c>
      <c r="J3156">
        <v>-16334099</v>
      </c>
      <c r="K3156">
        <v>-19645237</v>
      </c>
      <c r="L3156">
        <v>-14118915</v>
      </c>
      <c r="M3156">
        <v>-5042712</v>
      </c>
      <c r="N3156">
        <v>2117465</v>
      </c>
      <c r="O3156">
        <v>12373579</v>
      </c>
      <c r="P3156">
        <v>61</v>
      </c>
      <c r="Q3156" t="s">
        <v>6652</v>
      </c>
    </row>
    <row r="3157" spans="1:17" x14ac:dyDescent="0.3">
      <c r="A3157" t="s">
        <v>4664</v>
      </c>
      <c r="B3157" t="str">
        <f>"002474"</f>
        <v>002474</v>
      </c>
      <c r="C3157" t="s">
        <v>6653</v>
      </c>
      <c r="D3157" t="s">
        <v>316</v>
      </c>
      <c r="F3157">
        <v>29411916</v>
      </c>
      <c r="G3157">
        <v>25741465</v>
      </c>
      <c r="H3157">
        <v>23895907</v>
      </c>
      <c r="I3157">
        <v>30363195</v>
      </c>
      <c r="J3157">
        <v>25283740</v>
      </c>
      <c r="K3157">
        <v>20366254</v>
      </c>
      <c r="L3157">
        <v>23768173</v>
      </c>
      <c r="M3157">
        <v>44437692</v>
      </c>
      <c r="N3157">
        <v>67642342</v>
      </c>
      <c r="O3157">
        <v>84949232</v>
      </c>
      <c r="P3157">
        <v>180</v>
      </c>
      <c r="Q3157" t="s">
        <v>6654</v>
      </c>
    </row>
    <row r="3158" spans="1:17" x14ac:dyDescent="0.3">
      <c r="A3158" t="s">
        <v>4664</v>
      </c>
      <c r="B3158" t="str">
        <f>"002475"</f>
        <v>002475</v>
      </c>
      <c r="C3158" t="s">
        <v>6655</v>
      </c>
      <c r="D3158" t="s">
        <v>313</v>
      </c>
      <c r="F3158">
        <v>4689661384</v>
      </c>
      <c r="G3158">
        <v>4679614065</v>
      </c>
      <c r="H3158">
        <v>2887521927</v>
      </c>
      <c r="I3158">
        <v>1657040101</v>
      </c>
      <c r="J3158">
        <v>1082163727</v>
      </c>
      <c r="K3158">
        <v>680683882</v>
      </c>
      <c r="L3158">
        <v>652593925</v>
      </c>
      <c r="M3158">
        <v>430538284</v>
      </c>
      <c r="N3158">
        <v>220129289</v>
      </c>
      <c r="O3158">
        <v>186226363</v>
      </c>
      <c r="P3158">
        <v>5894</v>
      </c>
      <c r="Q3158" t="s">
        <v>6656</v>
      </c>
    </row>
    <row r="3159" spans="1:17" x14ac:dyDescent="0.3">
      <c r="A3159" t="s">
        <v>4664</v>
      </c>
      <c r="B3159" t="str">
        <f>"002476"</f>
        <v>002476</v>
      </c>
      <c r="C3159" t="s">
        <v>6657</v>
      </c>
      <c r="D3159" t="s">
        <v>1615</v>
      </c>
      <c r="F3159">
        <v>15651170</v>
      </c>
      <c r="G3159">
        <v>13364415</v>
      </c>
      <c r="H3159">
        <v>620175</v>
      </c>
      <c r="I3159">
        <v>-25588210</v>
      </c>
      <c r="J3159">
        <v>-68728247</v>
      </c>
      <c r="K3159">
        <v>18979804</v>
      </c>
      <c r="L3159">
        <v>28120883</v>
      </c>
      <c r="M3159">
        <v>38967107</v>
      </c>
      <c r="N3159">
        <v>40610675</v>
      </c>
      <c r="O3159">
        <v>42586199</v>
      </c>
      <c r="P3159">
        <v>85</v>
      </c>
      <c r="Q3159" t="s">
        <v>6658</v>
      </c>
    </row>
    <row r="3160" spans="1:17" x14ac:dyDescent="0.3">
      <c r="A3160" t="s">
        <v>4664</v>
      </c>
      <c r="B3160" t="str">
        <f>"002477"</f>
        <v>002477</v>
      </c>
      <c r="C3160" t="s">
        <v>6659</v>
      </c>
      <c r="I3160">
        <v>-1204201491</v>
      </c>
      <c r="J3160">
        <v>648536171</v>
      </c>
      <c r="K3160">
        <v>706564009</v>
      </c>
      <c r="L3160">
        <v>105939343</v>
      </c>
      <c r="M3160">
        <v>-74180739</v>
      </c>
      <c r="N3160">
        <v>68578231</v>
      </c>
      <c r="O3160">
        <v>263376498</v>
      </c>
      <c r="P3160">
        <v>126</v>
      </c>
      <c r="Q3160" t="s">
        <v>6660</v>
      </c>
    </row>
    <row r="3161" spans="1:17" x14ac:dyDescent="0.3">
      <c r="A3161" t="s">
        <v>4664</v>
      </c>
      <c r="B3161" t="str">
        <f>"002478"</f>
        <v>002478</v>
      </c>
      <c r="C3161" t="s">
        <v>6661</v>
      </c>
      <c r="D3161" t="s">
        <v>281</v>
      </c>
      <c r="F3161">
        <v>100704025</v>
      </c>
      <c r="G3161">
        <v>279732227</v>
      </c>
      <c r="H3161">
        <v>512103565</v>
      </c>
      <c r="I3161">
        <v>367933945</v>
      </c>
      <c r="J3161">
        <v>95333568</v>
      </c>
      <c r="K3161">
        <v>85168639</v>
      </c>
      <c r="L3161">
        <v>160305273</v>
      </c>
      <c r="M3161">
        <v>187592639</v>
      </c>
      <c r="N3161">
        <v>181916882</v>
      </c>
      <c r="O3161">
        <v>155982078</v>
      </c>
      <c r="P3161">
        <v>208</v>
      </c>
      <c r="Q3161" t="s">
        <v>6662</v>
      </c>
    </row>
    <row r="3162" spans="1:17" x14ac:dyDescent="0.3">
      <c r="A3162" t="s">
        <v>4664</v>
      </c>
      <c r="B3162" t="str">
        <f>"002479"</f>
        <v>002479</v>
      </c>
      <c r="C3162" t="s">
        <v>6663</v>
      </c>
      <c r="D3162" t="s">
        <v>351</v>
      </c>
      <c r="F3162">
        <v>294845594</v>
      </c>
      <c r="G3162">
        <v>215292979</v>
      </c>
      <c r="H3162">
        <v>230816156</v>
      </c>
      <c r="I3162">
        <v>175618558</v>
      </c>
      <c r="J3162">
        <v>248358935</v>
      </c>
      <c r="K3162">
        <v>180890217</v>
      </c>
      <c r="L3162">
        <v>148754584</v>
      </c>
      <c r="M3162">
        <v>136230245</v>
      </c>
      <c r="N3162">
        <v>125575607</v>
      </c>
      <c r="O3162">
        <v>179500541</v>
      </c>
      <c r="P3162">
        <v>158</v>
      </c>
      <c r="Q3162" t="s">
        <v>6664</v>
      </c>
    </row>
    <row r="3163" spans="1:17" x14ac:dyDescent="0.3">
      <c r="A3163" t="s">
        <v>4664</v>
      </c>
      <c r="B3163" t="str">
        <f>"002480"</f>
        <v>002480</v>
      </c>
      <c r="C3163" t="s">
        <v>6665</v>
      </c>
      <c r="D3163" t="s">
        <v>274</v>
      </c>
      <c r="F3163">
        <v>-149315553</v>
      </c>
      <c r="G3163">
        <v>-66025425</v>
      </c>
      <c r="H3163">
        <v>-120751655</v>
      </c>
      <c r="I3163">
        <v>14390997</v>
      </c>
      <c r="J3163">
        <v>-88363092</v>
      </c>
      <c r="K3163">
        <v>5471287</v>
      </c>
      <c r="L3163">
        <v>-78733724</v>
      </c>
      <c r="M3163">
        <v>23022832</v>
      </c>
      <c r="N3163">
        <v>9715118</v>
      </c>
      <c r="O3163">
        <v>-84361010</v>
      </c>
      <c r="P3163">
        <v>107</v>
      </c>
      <c r="Q3163" t="s">
        <v>6666</v>
      </c>
    </row>
    <row r="3164" spans="1:17" x14ac:dyDescent="0.3">
      <c r="A3164" t="s">
        <v>4664</v>
      </c>
      <c r="B3164" t="str">
        <f>"002481"</f>
        <v>002481</v>
      </c>
      <c r="C3164" t="s">
        <v>6667</v>
      </c>
      <c r="D3164" t="s">
        <v>445</v>
      </c>
      <c r="F3164">
        <v>229650837</v>
      </c>
      <c r="G3164">
        <v>270809939</v>
      </c>
      <c r="H3164">
        <v>147531982</v>
      </c>
      <c r="I3164">
        <v>50129201</v>
      </c>
      <c r="J3164">
        <v>67812491</v>
      </c>
      <c r="K3164">
        <v>101743138</v>
      </c>
      <c r="L3164">
        <v>167432565</v>
      </c>
      <c r="M3164">
        <v>111769169</v>
      </c>
      <c r="N3164">
        <v>87038319</v>
      </c>
      <c r="O3164">
        <v>74171868</v>
      </c>
      <c r="P3164">
        <v>331</v>
      </c>
      <c r="Q3164" t="s">
        <v>6668</v>
      </c>
    </row>
    <row r="3165" spans="1:17" x14ac:dyDescent="0.3">
      <c r="A3165" t="s">
        <v>4664</v>
      </c>
      <c r="B3165" t="str">
        <f>"002482"</f>
        <v>002482</v>
      </c>
      <c r="C3165" t="s">
        <v>6669</v>
      </c>
      <c r="D3165" t="s">
        <v>450</v>
      </c>
      <c r="F3165">
        <v>-22384476</v>
      </c>
      <c r="G3165">
        <v>201182139</v>
      </c>
      <c r="H3165">
        <v>324181543</v>
      </c>
      <c r="I3165">
        <v>461717787</v>
      </c>
      <c r="J3165">
        <v>383131513</v>
      </c>
      <c r="K3165">
        <v>297840987</v>
      </c>
      <c r="L3165">
        <v>258885932</v>
      </c>
      <c r="M3165">
        <v>321457746</v>
      </c>
      <c r="N3165">
        <v>317535066</v>
      </c>
      <c r="O3165">
        <v>226470186</v>
      </c>
      <c r="P3165">
        <v>112</v>
      </c>
      <c r="Q3165" t="s">
        <v>6670</v>
      </c>
    </row>
    <row r="3166" spans="1:17" x14ac:dyDescent="0.3">
      <c r="A3166" t="s">
        <v>4664</v>
      </c>
      <c r="B3166" t="str">
        <f>"002483"</f>
        <v>002483</v>
      </c>
      <c r="C3166" t="s">
        <v>6671</v>
      </c>
      <c r="D3166" t="s">
        <v>395</v>
      </c>
      <c r="F3166">
        <v>264740424</v>
      </c>
      <c r="G3166">
        <v>144792074</v>
      </c>
      <c r="H3166">
        <v>57883412</v>
      </c>
      <c r="I3166">
        <v>65760166</v>
      </c>
      <c r="J3166">
        <v>76295002</v>
      </c>
      <c r="K3166">
        <v>78664328</v>
      </c>
      <c r="L3166">
        <v>13084793</v>
      </c>
      <c r="M3166">
        <v>89535633</v>
      </c>
      <c r="N3166">
        <v>95444147</v>
      </c>
      <c r="O3166">
        <v>45424540</v>
      </c>
      <c r="P3166">
        <v>93</v>
      </c>
      <c r="Q3166" t="s">
        <v>6672</v>
      </c>
    </row>
    <row r="3167" spans="1:17" x14ac:dyDescent="0.3">
      <c r="A3167" t="s">
        <v>4664</v>
      </c>
      <c r="B3167" t="str">
        <f>"002484"</f>
        <v>002484</v>
      </c>
      <c r="C3167" t="s">
        <v>6673</v>
      </c>
      <c r="D3167" t="s">
        <v>546</v>
      </c>
      <c r="F3167">
        <v>326371274</v>
      </c>
      <c r="G3167">
        <v>220666623</v>
      </c>
      <c r="H3167">
        <v>169651710</v>
      </c>
      <c r="I3167">
        <v>178126296</v>
      </c>
      <c r="J3167">
        <v>147116828</v>
      </c>
      <c r="K3167">
        <v>100286924</v>
      </c>
      <c r="L3167">
        <v>96880513</v>
      </c>
      <c r="M3167">
        <v>119518184</v>
      </c>
      <c r="N3167">
        <v>95864562</v>
      </c>
      <c r="O3167">
        <v>69541303</v>
      </c>
      <c r="P3167">
        <v>311</v>
      </c>
      <c r="Q3167" t="s">
        <v>6674</v>
      </c>
    </row>
    <row r="3168" spans="1:17" x14ac:dyDescent="0.3">
      <c r="A3168" t="s">
        <v>4664</v>
      </c>
      <c r="B3168" t="str">
        <f>"002485"</f>
        <v>002485</v>
      </c>
      <c r="C3168" t="s">
        <v>6675</v>
      </c>
      <c r="D3168" t="s">
        <v>255</v>
      </c>
      <c r="F3168">
        <v>-5586068</v>
      </c>
      <c r="G3168">
        <v>-26243880</v>
      </c>
      <c r="H3168">
        <v>85752287</v>
      </c>
      <c r="I3168">
        <v>79405158</v>
      </c>
      <c r="J3168">
        <v>2398860</v>
      </c>
      <c r="K3168">
        <v>12136240</v>
      </c>
      <c r="L3168">
        <v>134160</v>
      </c>
      <c r="M3168">
        <v>-33394425</v>
      </c>
      <c r="N3168">
        <v>50086407</v>
      </c>
      <c r="O3168">
        <v>95445025</v>
      </c>
      <c r="P3168">
        <v>80</v>
      </c>
      <c r="Q3168" t="s">
        <v>6676</v>
      </c>
    </row>
    <row r="3169" spans="1:17" x14ac:dyDescent="0.3">
      <c r="A3169" t="s">
        <v>4664</v>
      </c>
      <c r="B3169" t="str">
        <f>"002486"</f>
        <v>002486</v>
      </c>
      <c r="C3169" t="s">
        <v>6677</v>
      </c>
      <c r="D3169" t="s">
        <v>366</v>
      </c>
      <c r="F3169">
        <v>1039544</v>
      </c>
      <c r="G3169">
        <v>33444098</v>
      </c>
      <c r="H3169">
        <v>-19126842</v>
      </c>
      <c r="I3169">
        <v>10367090</v>
      </c>
      <c r="J3169">
        <v>-36594290</v>
      </c>
      <c r="K3169">
        <v>-42518017</v>
      </c>
      <c r="L3169">
        <v>-41990838</v>
      </c>
      <c r="M3169">
        <v>34190889</v>
      </c>
      <c r="N3169">
        <v>47714907</v>
      </c>
      <c r="O3169">
        <v>31923694</v>
      </c>
      <c r="P3169">
        <v>88</v>
      </c>
      <c r="Q3169" t="s">
        <v>6678</v>
      </c>
    </row>
    <row r="3170" spans="1:17" x14ac:dyDescent="0.3">
      <c r="A3170" t="s">
        <v>4664</v>
      </c>
      <c r="B3170" t="str">
        <f>"002487"</f>
        <v>002487</v>
      </c>
      <c r="C3170" t="s">
        <v>6679</v>
      </c>
      <c r="D3170" t="s">
        <v>950</v>
      </c>
      <c r="F3170">
        <v>432536884</v>
      </c>
      <c r="G3170">
        <v>308669584</v>
      </c>
      <c r="H3170">
        <v>110805737</v>
      </c>
      <c r="I3170">
        <v>46653685</v>
      </c>
      <c r="J3170">
        <v>21135534</v>
      </c>
      <c r="K3170">
        <v>64496163</v>
      </c>
      <c r="L3170">
        <v>66670738</v>
      </c>
      <c r="M3170">
        <v>34206120</v>
      </c>
      <c r="N3170">
        <v>28172587</v>
      </c>
      <c r="O3170">
        <v>20320373</v>
      </c>
      <c r="P3170">
        <v>248</v>
      </c>
      <c r="Q3170" t="s">
        <v>6680</v>
      </c>
    </row>
    <row r="3171" spans="1:17" x14ac:dyDescent="0.3">
      <c r="A3171" t="s">
        <v>4664</v>
      </c>
      <c r="B3171" t="str">
        <f>"002488"</f>
        <v>002488</v>
      </c>
      <c r="C3171" t="s">
        <v>6681</v>
      </c>
      <c r="D3171" t="s">
        <v>422</v>
      </c>
      <c r="F3171">
        <v>125316191</v>
      </c>
      <c r="G3171">
        <v>5130745</v>
      </c>
      <c r="H3171">
        <v>73003768</v>
      </c>
      <c r="I3171">
        <v>126487718</v>
      </c>
      <c r="J3171">
        <v>2868550</v>
      </c>
      <c r="K3171">
        <v>-56141453</v>
      </c>
      <c r="L3171">
        <v>63530257</v>
      </c>
      <c r="M3171">
        <v>61665195</v>
      </c>
      <c r="N3171">
        <v>50486151</v>
      </c>
      <c r="O3171">
        <v>58655662</v>
      </c>
      <c r="P3171">
        <v>152</v>
      </c>
      <c r="Q3171" t="s">
        <v>6682</v>
      </c>
    </row>
    <row r="3172" spans="1:17" x14ac:dyDescent="0.3">
      <c r="A3172" t="s">
        <v>4664</v>
      </c>
      <c r="B3172" t="str">
        <f>"002489"</f>
        <v>002489</v>
      </c>
      <c r="C3172" t="s">
        <v>6683</v>
      </c>
      <c r="D3172" t="s">
        <v>757</v>
      </c>
      <c r="F3172">
        <v>345355479</v>
      </c>
      <c r="G3172">
        <v>483789737</v>
      </c>
      <c r="H3172">
        <v>357030277</v>
      </c>
      <c r="I3172">
        <v>-112191800</v>
      </c>
      <c r="J3172">
        <v>167682406</v>
      </c>
      <c r="K3172">
        <v>164037171</v>
      </c>
      <c r="L3172">
        <v>388668745</v>
      </c>
      <c r="M3172">
        <v>141442435</v>
      </c>
      <c r="N3172">
        <v>244220040</v>
      </c>
      <c r="O3172">
        <v>159644263</v>
      </c>
      <c r="P3172">
        <v>206</v>
      </c>
      <c r="Q3172" t="s">
        <v>6684</v>
      </c>
    </row>
    <row r="3173" spans="1:17" x14ac:dyDescent="0.3">
      <c r="A3173" t="s">
        <v>4664</v>
      </c>
      <c r="B3173" t="str">
        <f>"002490"</f>
        <v>002490</v>
      </c>
      <c r="C3173" t="s">
        <v>6685</v>
      </c>
      <c r="D3173" t="s">
        <v>395</v>
      </c>
      <c r="F3173">
        <v>-105589670</v>
      </c>
      <c r="G3173">
        <v>-245989810</v>
      </c>
      <c r="H3173">
        <v>-33175165</v>
      </c>
      <c r="I3173">
        <v>79550863</v>
      </c>
      <c r="J3173">
        <v>10166619</v>
      </c>
      <c r="K3173">
        <v>-218972129</v>
      </c>
      <c r="L3173">
        <v>-92472363</v>
      </c>
      <c r="M3173">
        <v>10074625</v>
      </c>
      <c r="N3173">
        <v>40536410</v>
      </c>
      <c r="O3173">
        <v>120510248</v>
      </c>
      <c r="P3173">
        <v>82</v>
      </c>
      <c r="Q3173" t="s">
        <v>6686</v>
      </c>
    </row>
    <row r="3174" spans="1:17" x14ac:dyDescent="0.3">
      <c r="A3174" t="s">
        <v>4664</v>
      </c>
      <c r="B3174" t="str">
        <f>"002491"</f>
        <v>002491</v>
      </c>
      <c r="C3174" t="s">
        <v>6687</v>
      </c>
      <c r="D3174" t="s">
        <v>250</v>
      </c>
      <c r="F3174">
        <v>11067622</v>
      </c>
      <c r="G3174">
        <v>12523777</v>
      </c>
      <c r="H3174">
        <v>84179662</v>
      </c>
      <c r="I3174">
        <v>469582006</v>
      </c>
      <c r="J3174">
        <v>424902355</v>
      </c>
      <c r="K3174">
        <v>392594405</v>
      </c>
      <c r="L3174">
        <v>87679570</v>
      </c>
      <c r="M3174">
        <v>128315211</v>
      </c>
      <c r="N3174">
        <v>144802475</v>
      </c>
      <c r="O3174">
        <v>112766430</v>
      </c>
      <c r="P3174">
        <v>214</v>
      </c>
      <c r="Q3174" t="s">
        <v>6688</v>
      </c>
    </row>
    <row r="3175" spans="1:17" x14ac:dyDescent="0.3">
      <c r="A3175" t="s">
        <v>4664</v>
      </c>
      <c r="B3175" t="str">
        <f>"002492"</f>
        <v>002492</v>
      </c>
      <c r="C3175" t="s">
        <v>6689</v>
      </c>
      <c r="D3175" t="s">
        <v>1592</v>
      </c>
      <c r="F3175">
        <v>102482590</v>
      </c>
      <c r="G3175">
        <v>71082241</v>
      </c>
      <c r="H3175">
        <v>42206029</v>
      </c>
      <c r="I3175">
        <v>51990361</v>
      </c>
      <c r="J3175">
        <v>48699833</v>
      </c>
      <c r="K3175">
        <v>25038938</v>
      </c>
      <c r="L3175">
        <v>22118865</v>
      </c>
      <c r="M3175">
        <v>35746339</v>
      </c>
      <c r="N3175">
        <v>41951822</v>
      </c>
      <c r="O3175">
        <v>49967384</v>
      </c>
      <c r="P3175">
        <v>94</v>
      </c>
      <c r="Q3175" t="s">
        <v>6690</v>
      </c>
    </row>
    <row r="3176" spans="1:17" x14ac:dyDescent="0.3">
      <c r="A3176" t="s">
        <v>4664</v>
      </c>
      <c r="B3176" t="str">
        <f>"002493"</f>
        <v>002493</v>
      </c>
      <c r="C3176" t="s">
        <v>6691</v>
      </c>
      <c r="D3176" t="s">
        <v>74</v>
      </c>
      <c r="F3176">
        <v>10121801537</v>
      </c>
      <c r="G3176">
        <v>5651974576</v>
      </c>
      <c r="H3176">
        <v>1845996120</v>
      </c>
      <c r="I3176">
        <v>1768863120</v>
      </c>
      <c r="J3176">
        <v>1554871183</v>
      </c>
      <c r="K3176">
        <v>1228203240</v>
      </c>
      <c r="L3176">
        <v>55976004</v>
      </c>
      <c r="M3176">
        <v>12066621</v>
      </c>
      <c r="N3176">
        <v>155670117</v>
      </c>
      <c r="O3176">
        <v>303800552</v>
      </c>
      <c r="P3176">
        <v>852</v>
      </c>
      <c r="Q3176" t="s">
        <v>6692</v>
      </c>
    </row>
    <row r="3177" spans="1:17" x14ac:dyDescent="0.3">
      <c r="A3177" t="s">
        <v>4664</v>
      </c>
      <c r="B3177" t="str">
        <f>"002494"</f>
        <v>002494</v>
      </c>
      <c r="C3177" t="s">
        <v>6693</v>
      </c>
      <c r="D3177" t="s">
        <v>255</v>
      </c>
      <c r="F3177">
        <v>5726912</v>
      </c>
      <c r="G3177">
        <v>-93443603</v>
      </c>
      <c r="H3177">
        <v>12207910</v>
      </c>
      <c r="I3177">
        <v>12076537</v>
      </c>
      <c r="J3177">
        <v>16277552</v>
      </c>
      <c r="K3177">
        <v>8626139</v>
      </c>
      <c r="L3177">
        <v>7971801</v>
      </c>
      <c r="M3177">
        <v>67973335</v>
      </c>
      <c r="N3177">
        <v>64222821</v>
      </c>
      <c r="O3177">
        <v>60229000</v>
      </c>
      <c r="P3177">
        <v>81</v>
      </c>
      <c r="Q3177" t="s">
        <v>6694</v>
      </c>
    </row>
    <row r="3178" spans="1:17" x14ac:dyDescent="0.3">
      <c r="A3178" t="s">
        <v>4664</v>
      </c>
      <c r="B3178" t="str">
        <f>"002495"</f>
        <v>002495</v>
      </c>
      <c r="C3178" t="s">
        <v>6695</v>
      </c>
      <c r="D3178" t="s">
        <v>433</v>
      </c>
      <c r="F3178">
        <v>18670546</v>
      </c>
      <c r="G3178">
        <v>-4605271</v>
      </c>
      <c r="H3178">
        <v>23896111</v>
      </c>
      <c r="I3178">
        <v>31176648</v>
      </c>
      <c r="J3178">
        <v>21907924</v>
      </c>
      <c r="K3178">
        <v>30100493</v>
      </c>
      <c r="L3178">
        <v>39692613</v>
      </c>
      <c r="M3178">
        <v>34257361</v>
      </c>
      <c r="N3178">
        <v>33242361</v>
      </c>
      <c r="O3178">
        <v>45167857</v>
      </c>
      <c r="P3178">
        <v>113</v>
      </c>
      <c r="Q3178" t="s">
        <v>6696</v>
      </c>
    </row>
    <row r="3179" spans="1:17" x14ac:dyDescent="0.3">
      <c r="A3179" t="s">
        <v>4664</v>
      </c>
      <c r="B3179" t="str">
        <f>"002496"</f>
        <v>002496</v>
      </c>
      <c r="C3179" t="s">
        <v>6697</v>
      </c>
      <c r="D3179" t="s">
        <v>853</v>
      </c>
      <c r="F3179">
        <v>527213403</v>
      </c>
      <c r="G3179">
        <v>148311442</v>
      </c>
      <c r="H3179">
        <v>-189584459</v>
      </c>
      <c r="I3179">
        <v>-243794787</v>
      </c>
      <c r="J3179">
        <v>328433121</v>
      </c>
      <c r="K3179">
        <v>140305659</v>
      </c>
      <c r="L3179">
        <v>137883754</v>
      </c>
      <c r="M3179">
        <v>156473519</v>
      </c>
      <c r="N3179">
        <v>109342649</v>
      </c>
      <c r="O3179">
        <v>77907686</v>
      </c>
      <c r="P3179">
        <v>158</v>
      </c>
      <c r="Q3179" t="s">
        <v>6698</v>
      </c>
    </row>
    <row r="3180" spans="1:17" x14ac:dyDescent="0.3">
      <c r="A3180" t="s">
        <v>4664</v>
      </c>
      <c r="B3180" t="str">
        <f>"002497"</f>
        <v>002497</v>
      </c>
      <c r="C3180" t="s">
        <v>6699</v>
      </c>
      <c r="D3180" t="s">
        <v>2713</v>
      </c>
      <c r="F3180">
        <v>632354251</v>
      </c>
      <c r="G3180">
        <v>193937398</v>
      </c>
      <c r="H3180">
        <v>104326970</v>
      </c>
      <c r="I3180">
        <v>176722748</v>
      </c>
      <c r="J3180">
        <v>164575386</v>
      </c>
      <c r="K3180">
        <v>97504946</v>
      </c>
      <c r="L3180">
        <v>86595999</v>
      </c>
      <c r="M3180">
        <v>165822072</v>
      </c>
      <c r="N3180">
        <v>164873727</v>
      </c>
      <c r="O3180">
        <v>164506638</v>
      </c>
      <c r="P3180">
        <v>481</v>
      </c>
      <c r="Q3180" t="s">
        <v>6700</v>
      </c>
    </row>
    <row r="3181" spans="1:17" x14ac:dyDescent="0.3">
      <c r="A3181" t="s">
        <v>4664</v>
      </c>
      <c r="B3181" t="str">
        <f>"002498"</f>
        <v>002498</v>
      </c>
      <c r="C3181" t="s">
        <v>6701</v>
      </c>
      <c r="D3181" t="s">
        <v>1164</v>
      </c>
      <c r="F3181">
        <v>699892516</v>
      </c>
      <c r="G3181">
        <v>499440893</v>
      </c>
      <c r="H3181">
        <v>363277034</v>
      </c>
      <c r="I3181">
        <v>142835474</v>
      </c>
      <c r="J3181">
        <v>224612000</v>
      </c>
      <c r="K3181">
        <v>319514456</v>
      </c>
      <c r="L3181">
        <v>245839619</v>
      </c>
      <c r="M3181">
        <v>198005273</v>
      </c>
      <c r="N3181">
        <v>345022702</v>
      </c>
      <c r="O3181">
        <v>176831690</v>
      </c>
      <c r="P3181">
        <v>282</v>
      </c>
      <c r="Q3181" t="s">
        <v>6702</v>
      </c>
    </row>
    <row r="3182" spans="1:17" x14ac:dyDescent="0.3">
      <c r="A3182" t="s">
        <v>4664</v>
      </c>
      <c r="B3182" t="str">
        <f>"002499"</f>
        <v>002499</v>
      </c>
      <c r="C3182" t="s">
        <v>6703</v>
      </c>
      <c r="D3182" t="s">
        <v>86</v>
      </c>
      <c r="F3182">
        <v>-35346006</v>
      </c>
      <c r="G3182">
        <v>-13648283</v>
      </c>
      <c r="H3182">
        <v>-38203894</v>
      </c>
      <c r="I3182">
        <v>22317529</v>
      </c>
      <c r="J3182">
        <v>45538977</v>
      </c>
      <c r="K3182">
        <v>18065439</v>
      </c>
      <c r="L3182">
        <v>27171728</v>
      </c>
      <c r="M3182">
        <v>6813367</v>
      </c>
      <c r="N3182">
        <v>8397056</v>
      </c>
      <c r="O3182">
        <v>19506726</v>
      </c>
      <c r="P3182">
        <v>51</v>
      </c>
      <c r="Q3182" t="s">
        <v>6704</v>
      </c>
    </row>
    <row r="3183" spans="1:17" x14ac:dyDescent="0.3">
      <c r="A3183" t="s">
        <v>4664</v>
      </c>
      <c r="B3183" t="str">
        <f>"002500"</f>
        <v>002500</v>
      </c>
      <c r="C3183" t="s">
        <v>6705</v>
      </c>
      <c r="D3183" t="s">
        <v>80</v>
      </c>
      <c r="F3183">
        <v>616491177</v>
      </c>
      <c r="G3183">
        <v>716612801</v>
      </c>
      <c r="H3183">
        <v>508081930</v>
      </c>
      <c r="I3183">
        <v>116047056</v>
      </c>
      <c r="J3183">
        <v>379221463</v>
      </c>
      <c r="K3183">
        <v>324076594</v>
      </c>
      <c r="L3183">
        <v>1241555660</v>
      </c>
      <c r="M3183">
        <v>371286332</v>
      </c>
      <c r="N3183">
        <v>184114667</v>
      </c>
      <c r="O3183">
        <v>145249952</v>
      </c>
      <c r="P3183">
        <v>1129</v>
      </c>
      <c r="Q3183" t="s">
        <v>6706</v>
      </c>
    </row>
    <row r="3184" spans="1:17" x14ac:dyDescent="0.3">
      <c r="A3184" t="s">
        <v>4664</v>
      </c>
      <c r="B3184" t="str">
        <f>"002501"</f>
        <v>002501</v>
      </c>
      <c r="C3184" t="s">
        <v>6707</v>
      </c>
      <c r="D3184" t="s">
        <v>504</v>
      </c>
      <c r="F3184">
        <v>-95975341</v>
      </c>
      <c r="G3184">
        <v>-854637504</v>
      </c>
      <c r="H3184">
        <v>-1208679335</v>
      </c>
      <c r="I3184">
        <v>-950631268</v>
      </c>
      <c r="J3184">
        <v>452424687</v>
      </c>
      <c r="K3184">
        <v>416114951</v>
      </c>
      <c r="L3184">
        <v>360692228</v>
      </c>
      <c r="M3184">
        <v>292053908</v>
      </c>
      <c r="N3184">
        <v>218246269</v>
      </c>
      <c r="O3184">
        <v>164651006</v>
      </c>
      <c r="P3184">
        <v>107</v>
      </c>
      <c r="Q3184" t="s">
        <v>6708</v>
      </c>
    </row>
    <row r="3185" spans="1:17" x14ac:dyDescent="0.3">
      <c r="A3185" t="s">
        <v>4664</v>
      </c>
      <c r="B3185" t="str">
        <f>"002502"</f>
        <v>002502</v>
      </c>
      <c r="C3185" t="s">
        <v>6709</v>
      </c>
      <c r="D3185" t="s">
        <v>113</v>
      </c>
      <c r="F3185">
        <v>-21132641</v>
      </c>
      <c r="G3185">
        <v>27417229</v>
      </c>
      <c r="H3185">
        <v>-466213444</v>
      </c>
      <c r="I3185">
        <v>33436024</v>
      </c>
      <c r="J3185">
        <v>228965932</v>
      </c>
      <c r="K3185">
        <v>157119138</v>
      </c>
      <c r="L3185">
        <v>47713293</v>
      </c>
      <c r="M3185">
        <v>27311271</v>
      </c>
      <c r="N3185">
        <v>30006802</v>
      </c>
      <c r="O3185">
        <v>43846266</v>
      </c>
      <c r="P3185">
        <v>117</v>
      </c>
      <c r="Q3185" t="s">
        <v>6710</v>
      </c>
    </row>
    <row r="3186" spans="1:17" x14ac:dyDescent="0.3">
      <c r="A3186" t="s">
        <v>4664</v>
      </c>
      <c r="B3186" t="str">
        <f>"002503"</f>
        <v>002503</v>
      </c>
      <c r="C3186" t="s">
        <v>6711</v>
      </c>
      <c r="D3186" t="s">
        <v>255</v>
      </c>
      <c r="F3186">
        <v>-2127944484</v>
      </c>
      <c r="G3186">
        <v>60233549</v>
      </c>
      <c r="H3186">
        <v>304269525</v>
      </c>
      <c r="I3186">
        <v>563272086</v>
      </c>
      <c r="J3186">
        <v>540962698</v>
      </c>
      <c r="K3186">
        <v>258557003</v>
      </c>
      <c r="L3186">
        <v>148102471</v>
      </c>
      <c r="M3186">
        <v>106238912</v>
      </c>
      <c r="N3186">
        <v>204276617</v>
      </c>
      <c r="O3186">
        <v>175769145</v>
      </c>
      <c r="P3186">
        <v>244</v>
      </c>
      <c r="Q3186" t="s">
        <v>6712</v>
      </c>
    </row>
    <row r="3187" spans="1:17" x14ac:dyDescent="0.3">
      <c r="A3187" t="s">
        <v>4664</v>
      </c>
      <c r="B3187" t="str">
        <f>"002504"</f>
        <v>002504</v>
      </c>
      <c r="C3187" t="s">
        <v>6713</v>
      </c>
      <c r="D3187" t="s">
        <v>450</v>
      </c>
      <c r="F3187">
        <v>-120955758</v>
      </c>
      <c r="G3187">
        <v>-14425346</v>
      </c>
      <c r="H3187">
        <v>-98786531</v>
      </c>
      <c r="I3187">
        <v>13942986</v>
      </c>
      <c r="J3187">
        <v>102664073</v>
      </c>
      <c r="K3187">
        <v>224680166</v>
      </c>
      <c r="L3187">
        <v>217749883</v>
      </c>
      <c r="M3187">
        <v>-23932556</v>
      </c>
      <c r="N3187">
        <v>3987617</v>
      </c>
      <c r="O3187">
        <v>12937308</v>
      </c>
      <c r="P3187">
        <v>66</v>
      </c>
      <c r="Q3187" t="s">
        <v>6714</v>
      </c>
    </row>
    <row r="3188" spans="1:17" x14ac:dyDescent="0.3">
      <c r="A3188" t="s">
        <v>4664</v>
      </c>
      <c r="B3188" t="str">
        <f>"002505"</f>
        <v>002505</v>
      </c>
      <c r="C3188" t="s">
        <v>6715</v>
      </c>
      <c r="D3188" t="s">
        <v>1876</v>
      </c>
      <c r="F3188">
        <v>82690170</v>
      </c>
      <c r="G3188">
        <v>44862395</v>
      </c>
      <c r="H3188">
        <v>53390241</v>
      </c>
      <c r="I3188">
        <v>42324041</v>
      </c>
      <c r="J3188">
        <v>24117903</v>
      </c>
      <c r="K3188">
        <v>23862048</v>
      </c>
      <c r="L3188">
        <v>15477209</v>
      </c>
      <c r="M3188">
        <v>10593570</v>
      </c>
      <c r="N3188">
        <v>193602</v>
      </c>
      <c r="O3188">
        <v>32316920</v>
      </c>
      <c r="P3188">
        <v>209</v>
      </c>
      <c r="Q3188" t="s">
        <v>6716</v>
      </c>
    </row>
    <row r="3189" spans="1:17" x14ac:dyDescent="0.3">
      <c r="A3189" t="s">
        <v>4664</v>
      </c>
      <c r="B3189" t="str">
        <f>"002506"</f>
        <v>002506</v>
      </c>
      <c r="C3189" t="s">
        <v>6717</v>
      </c>
      <c r="D3189" t="s">
        <v>356</v>
      </c>
      <c r="F3189">
        <v>-384672051</v>
      </c>
      <c r="G3189">
        <v>-269577364</v>
      </c>
      <c r="H3189">
        <v>-36261391</v>
      </c>
      <c r="I3189">
        <v>-96830370</v>
      </c>
      <c r="J3189">
        <v>48403396</v>
      </c>
      <c r="K3189">
        <v>209242252</v>
      </c>
      <c r="L3189">
        <v>376623524</v>
      </c>
      <c r="M3189">
        <v>-2780635339</v>
      </c>
      <c r="N3189">
        <v>-534070754</v>
      </c>
      <c r="O3189">
        <v>6228838</v>
      </c>
      <c r="P3189">
        <v>315</v>
      </c>
      <c r="Q3189" t="s">
        <v>6718</v>
      </c>
    </row>
    <row r="3190" spans="1:17" x14ac:dyDescent="0.3">
      <c r="A3190" t="s">
        <v>4664</v>
      </c>
      <c r="B3190" t="str">
        <f>"002507"</f>
        <v>002507</v>
      </c>
      <c r="C3190" t="s">
        <v>6719</v>
      </c>
      <c r="D3190" t="s">
        <v>433</v>
      </c>
      <c r="F3190">
        <v>503663158</v>
      </c>
      <c r="G3190">
        <v>613606691</v>
      </c>
      <c r="H3190">
        <v>517962785</v>
      </c>
      <c r="I3190">
        <v>523149710</v>
      </c>
      <c r="J3190">
        <v>303867996</v>
      </c>
      <c r="K3190">
        <v>197344745</v>
      </c>
      <c r="L3190">
        <v>142629446</v>
      </c>
      <c r="M3190">
        <v>135213659</v>
      </c>
      <c r="N3190">
        <v>128171069</v>
      </c>
      <c r="O3190">
        <v>104338199</v>
      </c>
      <c r="P3190">
        <v>4502</v>
      </c>
      <c r="Q3190" t="s">
        <v>6720</v>
      </c>
    </row>
    <row r="3191" spans="1:17" x14ac:dyDescent="0.3">
      <c r="A3191" t="s">
        <v>4664</v>
      </c>
      <c r="B3191" t="str">
        <f>"002508"</f>
        <v>002508</v>
      </c>
      <c r="C3191" t="s">
        <v>6721</v>
      </c>
      <c r="D3191" t="s">
        <v>3680</v>
      </c>
      <c r="F3191">
        <v>1342461094</v>
      </c>
      <c r="G3191">
        <v>1122839104</v>
      </c>
      <c r="H3191">
        <v>1085627402</v>
      </c>
      <c r="I3191">
        <v>1011633069</v>
      </c>
      <c r="J3191">
        <v>960433607</v>
      </c>
      <c r="K3191">
        <v>701314386</v>
      </c>
      <c r="L3191">
        <v>488135923</v>
      </c>
      <c r="M3191">
        <v>345935950</v>
      </c>
      <c r="N3191">
        <v>234955034</v>
      </c>
      <c r="O3191">
        <v>162018432</v>
      </c>
      <c r="P3191">
        <v>40626</v>
      </c>
      <c r="Q3191" t="s">
        <v>6722</v>
      </c>
    </row>
    <row r="3192" spans="1:17" x14ac:dyDescent="0.3">
      <c r="A3192" t="s">
        <v>4664</v>
      </c>
      <c r="B3192" t="str">
        <f>"002509"</f>
        <v>002509</v>
      </c>
      <c r="C3192" t="s">
        <v>6723</v>
      </c>
      <c r="H3192">
        <v>-165532797</v>
      </c>
      <c r="I3192">
        <v>259464217</v>
      </c>
      <c r="J3192">
        <v>413273845</v>
      </c>
      <c r="K3192">
        <v>260742464</v>
      </c>
      <c r="L3192">
        <v>96668349</v>
      </c>
      <c r="M3192">
        <v>81141418</v>
      </c>
      <c r="N3192">
        <v>63557115</v>
      </c>
      <c r="O3192">
        <v>119060905</v>
      </c>
      <c r="P3192">
        <v>60</v>
      </c>
      <c r="Q3192" t="s">
        <v>6724</v>
      </c>
    </row>
    <row r="3193" spans="1:17" x14ac:dyDescent="0.3">
      <c r="A3193" t="s">
        <v>4664</v>
      </c>
      <c r="B3193" t="str">
        <f>"002510"</f>
        <v>002510</v>
      </c>
      <c r="C3193" t="s">
        <v>6725</v>
      </c>
      <c r="D3193" t="s">
        <v>985</v>
      </c>
      <c r="F3193">
        <v>15681447</v>
      </c>
      <c r="G3193">
        <v>-126885320</v>
      </c>
      <c r="H3193">
        <v>90458453</v>
      </c>
      <c r="I3193">
        <v>102464142</v>
      </c>
      <c r="J3193">
        <v>85225583</v>
      </c>
      <c r="K3193">
        <v>102652035</v>
      </c>
      <c r="L3193">
        <v>106514512</v>
      </c>
      <c r="M3193">
        <v>95569274</v>
      </c>
      <c r="N3193">
        <v>60574758</v>
      </c>
      <c r="O3193">
        <v>58853377</v>
      </c>
      <c r="P3193">
        <v>208</v>
      </c>
      <c r="Q3193" t="s">
        <v>6726</v>
      </c>
    </row>
    <row r="3194" spans="1:17" x14ac:dyDescent="0.3">
      <c r="A3194" t="s">
        <v>4664</v>
      </c>
      <c r="B3194" t="str">
        <f>"002511"</f>
        <v>002511</v>
      </c>
      <c r="C3194" t="s">
        <v>6727</v>
      </c>
      <c r="D3194" t="s">
        <v>2728</v>
      </c>
      <c r="F3194">
        <v>484424880</v>
      </c>
      <c r="G3194">
        <v>671693102</v>
      </c>
      <c r="H3194">
        <v>437807689</v>
      </c>
      <c r="I3194">
        <v>312809121</v>
      </c>
      <c r="J3194">
        <v>246604039</v>
      </c>
      <c r="K3194">
        <v>181132308</v>
      </c>
      <c r="L3194">
        <v>66131142</v>
      </c>
      <c r="M3194">
        <v>50956409</v>
      </c>
      <c r="N3194">
        <v>107451315</v>
      </c>
      <c r="O3194">
        <v>107025695</v>
      </c>
      <c r="P3194">
        <v>2513</v>
      </c>
      <c r="Q3194" t="s">
        <v>6728</v>
      </c>
    </row>
    <row r="3195" spans="1:17" x14ac:dyDescent="0.3">
      <c r="A3195" t="s">
        <v>4664</v>
      </c>
      <c r="B3195" t="str">
        <f>"002512"</f>
        <v>002512</v>
      </c>
      <c r="C3195" t="s">
        <v>6729</v>
      </c>
      <c r="D3195" t="s">
        <v>236</v>
      </c>
      <c r="F3195">
        <v>-251372542</v>
      </c>
      <c r="G3195">
        <v>5695933</v>
      </c>
      <c r="H3195">
        <v>310372662</v>
      </c>
      <c r="I3195">
        <v>-402608294</v>
      </c>
      <c r="J3195">
        <v>73820555</v>
      </c>
      <c r="K3195">
        <v>62525850</v>
      </c>
      <c r="L3195">
        <v>44356676</v>
      </c>
      <c r="M3195">
        <v>41511531</v>
      </c>
      <c r="N3195">
        <v>37039084</v>
      </c>
      <c r="O3195">
        <v>40581535</v>
      </c>
      <c r="P3195">
        <v>162</v>
      </c>
      <c r="Q3195" t="s">
        <v>6730</v>
      </c>
    </row>
    <row r="3196" spans="1:17" x14ac:dyDescent="0.3">
      <c r="A3196" t="s">
        <v>4664</v>
      </c>
      <c r="B3196" t="str">
        <f>"002513"</f>
        <v>002513</v>
      </c>
      <c r="C3196" t="s">
        <v>6731</v>
      </c>
      <c r="D3196" t="s">
        <v>853</v>
      </c>
      <c r="F3196">
        <v>-42229318</v>
      </c>
      <c r="G3196">
        <v>10849343</v>
      </c>
      <c r="H3196">
        <v>27565115</v>
      </c>
      <c r="I3196">
        <v>-35225920</v>
      </c>
      <c r="J3196">
        <v>93111377</v>
      </c>
      <c r="K3196">
        <v>87664969</v>
      </c>
      <c r="L3196">
        <v>-39370559</v>
      </c>
      <c r="M3196">
        <v>-13705850</v>
      </c>
      <c r="N3196">
        <v>26878692</v>
      </c>
      <c r="O3196">
        <v>42584711</v>
      </c>
      <c r="P3196">
        <v>46</v>
      </c>
      <c r="Q3196" t="s">
        <v>6732</v>
      </c>
    </row>
    <row r="3197" spans="1:17" x14ac:dyDescent="0.3">
      <c r="A3197" t="s">
        <v>4664</v>
      </c>
      <c r="B3197" t="str">
        <f>"002514"</f>
        <v>002514</v>
      </c>
      <c r="C3197" t="s">
        <v>6733</v>
      </c>
      <c r="D3197" t="s">
        <v>274</v>
      </c>
      <c r="F3197">
        <v>5271432</v>
      </c>
      <c r="G3197">
        <v>-46829643</v>
      </c>
      <c r="H3197">
        <v>78309814</v>
      </c>
      <c r="I3197">
        <v>77336825</v>
      </c>
      <c r="J3197">
        <v>43649735</v>
      </c>
      <c r="K3197">
        <v>40245420</v>
      </c>
      <c r="L3197">
        <v>41404225</v>
      </c>
      <c r="M3197">
        <v>15312783</v>
      </c>
      <c r="N3197">
        <v>14799837</v>
      </c>
      <c r="O3197">
        <v>23190683</v>
      </c>
      <c r="P3197">
        <v>61</v>
      </c>
      <c r="Q3197" t="s">
        <v>6734</v>
      </c>
    </row>
    <row r="3198" spans="1:17" x14ac:dyDescent="0.3">
      <c r="A3198" t="s">
        <v>4664</v>
      </c>
      <c r="B3198" t="str">
        <f>"002515"</f>
        <v>002515</v>
      </c>
      <c r="C3198" t="s">
        <v>6735</v>
      </c>
      <c r="D3198" t="s">
        <v>170</v>
      </c>
      <c r="F3198">
        <v>56799158</v>
      </c>
      <c r="G3198">
        <v>92527186</v>
      </c>
      <c r="H3198">
        <v>47501360</v>
      </c>
      <c r="I3198">
        <v>11408134</v>
      </c>
      <c r="J3198">
        <v>133474475</v>
      </c>
      <c r="K3198">
        <v>20942342</v>
      </c>
      <c r="L3198">
        <v>22810451</v>
      </c>
      <c r="M3198">
        <v>23496640</v>
      </c>
      <c r="N3198">
        <v>23441915</v>
      </c>
      <c r="O3198">
        <v>24255750</v>
      </c>
      <c r="P3198">
        <v>296</v>
      </c>
      <c r="Q3198" t="s">
        <v>6736</v>
      </c>
    </row>
    <row r="3199" spans="1:17" x14ac:dyDescent="0.3">
      <c r="A3199" t="s">
        <v>4664</v>
      </c>
      <c r="B3199" t="str">
        <f>"002516"</f>
        <v>002516</v>
      </c>
      <c r="C3199" t="s">
        <v>6737</v>
      </c>
      <c r="D3199" t="s">
        <v>191</v>
      </c>
      <c r="F3199">
        <v>140533982</v>
      </c>
      <c r="G3199">
        <v>159713973</v>
      </c>
      <c r="H3199">
        <v>144503341</v>
      </c>
      <c r="I3199">
        <v>221947613</v>
      </c>
      <c r="J3199">
        <v>287758518</v>
      </c>
      <c r="K3199">
        <v>251122946</v>
      </c>
      <c r="L3199">
        <v>199266638</v>
      </c>
      <c r="M3199">
        <v>125701726</v>
      </c>
      <c r="N3199">
        <v>111690596</v>
      </c>
      <c r="O3199">
        <v>100908444</v>
      </c>
      <c r="P3199">
        <v>160</v>
      </c>
      <c r="Q3199" t="s">
        <v>6738</v>
      </c>
    </row>
    <row r="3200" spans="1:17" x14ac:dyDescent="0.3">
      <c r="A3200" t="s">
        <v>4664</v>
      </c>
      <c r="B3200" t="str">
        <f>"002517"</f>
        <v>002517</v>
      </c>
      <c r="C3200" t="s">
        <v>6739</v>
      </c>
      <c r="D3200" t="s">
        <v>517</v>
      </c>
      <c r="F3200">
        <v>501525593</v>
      </c>
      <c r="G3200">
        <v>164575592</v>
      </c>
      <c r="H3200">
        <v>71341153</v>
      </c>
      <c r="I3200">
        <v>492382751</v>
      </c>
      <c r="J3200">
        <v>1057295660</v>
      </c>
      <c r="K3200">
        <v>431843479</v>
      </c>
      <c r="L3200">
        <v>484221</v>
      </c>
      <c r="M3200">
        <v>-29067774</v>
      </c>
      <c r="N3200">
        <v>-3607057</v>
      </c>
      <c r="O3200">
        <v>61967476</v>
      </c>
      <c r="P3200">
        <v>289</v>
      </c>
      <c r="Q3200" t="s">
        <v>6740</v>
      </c>
    </row>
    <row r="3201" spans="1:17" x14ac:dyDescent="0.3">
      <c r="A3201" t="s">
        <v>4664</v>
      </c>
      <c r="B3201" t="str">
        <f>"002518"</f>
        <v>002518</v>
      </c>
      <c r="C3201" t="s">
        <v>6741</v>
      </c>
      <c r="D3201" t="s">
        <v>880</v>
      </c>
      <c r="F3201">
        <v>281177675</v>
      </c>
      <c r="G3201">
        <v>233873269</v>
      </c>
      <c r="H3201">
        <v>230069887</v>
      </c>
      <c r="I3201">
        <v>221925739</v>
      </c>
      <c r="J3201">
        <v>246491421</v>
      </c>
      <c r="K3201">
        <v>185005254</v>
      </c>
      <c r="L3201">
        <v>139242704</v>
      </c>
      <c r="M3201">
        <v>93017425</v>
      </c>
      <c r="N3201">
        <v>74501150</v>
      </c>
      <c r="O3201">
        <v>59971543</v>
      </c>
      <c r="P3201">
        <v>401</v>
      </c>
      <c r="Q3201" t="s">
        <v>6742</v>
      </c>
    </row>
    <row r="3202" spans="1:17" x14ac:dyDescent="0.3">
      <c r="A3202" t="s">
        <v>4664</v>
      </c>
      <c r="B3202" t="str">
        <f>"002519"</f>
        <v>002519</v>
      </c>
      <c r="C3202" t="s">
        <v>6743</v>
      </c>
      <c r="D3202" t="s">
        <v>4404</v>
      </c>
      <c r="F3202">
        <v>-14806702</v>
      </c>
      <c r="G3202">
        <v>168543717</v>
      </c>
      <c r="H3202">
        <v>162820480</v>
      </c>
      <c r="I3202">
        <v>131883594</v>
      </c>
      <c r="J3202">
        <v>131691707</v>
      </c>
      <c r="K3202">
        <v>230128668</v>
      </c>
      <c r="L3202">
        <v>153385576</v>
      </c>
      <c r="M3202">
        <v>70803699</v>
      </c>
      <c r="N3202">
        <v>75794870</v>
      </c>
      <c r="O3202">
        <v>69071537</v>
      </c>
      <c r="P3202">
        <v>160</v>
      </c>
      <c r="Q3202" t="s">
        <v>6744</v>
      </c>
    </row>
    <row r="3203" spans="1:17" x14ac:dyDescent="0.3">
      <c r="A3203" t="s">
        <v>4664</v>
      </c>
      <c r="B3203" t="str">
        <f>"002520"</f>
        <v>002520</v>
      </c>
      <c r="C3203" t="s">
        <v>6745</v>
      </c>
      <c r="D3203" t="s">
        <v>2312</v>
      </c>
      <c r="F3203">
        <v>129790528</v>
      </c>
      <c r="G3203">
        <v>89309557</v>
      </c>
      <c r="H3203">
        <v>114856644</v>
      </c>
      <c r="I3203">
        <v>62826731</v>
      </c>
      <c r="J3203">
        <v>46694317</v>
      </c>
      <c r="K3203">
        <v>33638092</v>
      </c>
      <c r="L3203">
        <v>33096212</v>
      </c>
      <c r="M3203">
        <v>39450331</v>
      </c>
      <c r="N3203">
        <v>22612289</v>
      </c>
      <c r="O3203">
        <v>71156701</v>
      </c>
      <c r="P3203">
        <v>99</v>
      </c>
      <c r="Q3203" t="s">
        <v>6746</v>
      </c>
    </row>
    <row r="3204" spans="1:17" x14ac:dyDescent="0.3">
      <c r="A3204" t="s">
        <v>4664</v>
      </c>
      <c r="B3204" t="str">
        <f>"002521"</f>
        <v>002521</v>
      </c>
      <c r="C3204" t="s">
        <v>6747</v>
      </c>
      <c r="D3204" t="s">
        <v>244</v>
      </c>
      <c r="F3204">
        <v>159093013</v>
      </c>
      <c r="G3204">
        <v>105632719</v>
      </c>
      <c r="H3204">
        <v>92550043</v>
      </c>
      <c r="I3204">
        <v>52915049</v>
      </c>
      <c r="J3204">
        <v>129065596</v>
      </c>
      <c r="K3204">
        <v>94482088</v>
      </c>
      <c r="L3204">
        <v>183044142</v>
      </c>
      <c r="M3204">
        <v>198592675</v>
      </c>
      <c r="N3204">
        <v>137458927</v>
      </c>
      <c r="O3204">
        <v>95725906</v>
      </c>
      <c r="P3204">
        <v>132</v>
      </c>
      <c r="Q3204" t="s">
        <v>6748</v>
      </c>
    </row>
    <row r="3205" spans="1:17" x14ac:dyDescent="0.3">
      <c r="A3205" t="s">
        <v>4664</v>
      </c>
      <c r="B3205" t="str">
        <f>"002522"</f>
        <v>002522</v>
      </c>
      <c r="C3205" t="s">
        <v>6749</v>
      </c>
      <c r="D3205" t="s">
        <v>324</v>
      </c>
      <c r="F3205">
        <v>143837859</v>
      </c>
      <c r="G3205">
        <v>121567880</v>
      </c>
      <c r="H3205">
        <v>66685570</v>
      </c>
      <c r="I3205">
        <v>37366883</v>
      </c>
      <c r="J3205">
        <v>65936398</v>
      </c>
      <c r="K3205">
        <v>74389474</v>
      </c>
      <c r="L3205">
        <v>39413278</v>
      </c>
      <c r="M3205">
        <v>39969184</v>
      </c>
      <c r="N3205">
        <v>52337886</v>
      </c>
      <c r="O3205">
        <v>74489859</v>
      </c>
      <c r="P3205">
        <v>367</v>
      </c>
      <c r="Q3205" t="s">
        <v>6750</v>
      </c>
    </row>
    <row r="3206" spans="1:17" x14ac:dyDescent="0.3">
      <c r="A3206" t="s">
        <v>4664</v>
      </c>
      <c r="B3206" t="str">
        <f>"002523"</f>
        <v>002523</v>
      </c>
      <c r="C3206" t="s">
        <v>6751</v>
      </c>
      <c r="D3206" t="s">
        <v>395</v>
      </c>
      <c r="F3206">
        <v>41772189</v>
      </c>
      <c r="G3206">
        <v>37508871</v>
      </c>
      <c r="H3206">
        <v>55543999</v>
      </c>
      <c r="I3206">
        <v>78748155</v>
      </c>
      <c r="J3206">
        <v>77219678</v>
      </c>
      <c r="K3206">
        <v>69490544</v>
      </c>
      <c r="L3206">
        <v>40463084</v>
      </c>
      <c r="M3206">
        <v>3847607</v>
      </c>
      <c r="N3206">
        <v>26930862</v>
      </c>
      <c r="O3206">
        <v>7973575</v>
      </c>
      <c r="P3206">
        <v>53</v>
      </c>
      <c r="Q3206" t="s">
        <v>6752</v>
      </c>
    </row>
    <row r="3207" spans="1:17" x14ac:dyDescent="0.3">
      <c r="A3207" t="s">
        <v>4664</v>
      </c>
      <c r="B3207" t="str">
        <f>"002524"</f>
        <v>002524</v>
      </c>
      <c r="C3207" t="s">
        <v>6753</v>
      </c>
      <c r="D3207" t="s">
        <v>1147</v>
      </c>
      <c r="F3207">
        <v>45997058</v>
      </c>
      <c r="G3207">
        <v>30312498</v>
      </c>
      <c r="H3207">
        <v>120512102</v>
      </c>
      <c r="I3207">
        <v>-10772434</v>
      </c>
      <c r="J3207">
        <v>-45764143</v>
      </c>
      <c r="K3207">
        <v>-38605901</v>
      </c>
      <c r="L3207">
        <v>4274820</v>
      </c>
      <c r="M3207">
        <v>-29306301</v>
      </c>
      <c r="N3207">
        <v>-3778795</v>
      </c>
      <c r="O3207">
        <v>16129090</v>
      </c>
      <c r="P3207">
        <v>180</v>
      </c>
      <c r="Q3207" t="s">
        <v>6754</v>
      </c>
    </row>
    <row r="3208" spans="1:17" x14ac:dyDescent="0.3">
      <c r="A3208" t="s">
        <v>4664</v>
      </c>
      <c r="B3208" t="str">
        <f>"002526"</f>
        <v>002526</v>
      </c>
      <c r="C3208" t="s">
        <v>6755</v>
      </c>
      <c r="D3208" t="s">
        <v>395</v>
      </c>
      <c r="F3208">
        <v>128261765</v>
      </c>
      <c r="G3208">
        <v>190205214</v>
      </c>
      <c r="H3208">
        <v>167560485</v>
      </c>
      <c r="I3208">
        <v>112483153</v>
      </c>
      <c r="J3208">
        <v>36776124</v>
      </c>
      <c r="K3208">
        <v>-35480270</v>
      </c>
      <c r="L3208">
        <v>3039267</v>
      </c>
      <c r="M3208">
        <v>1120653</v>
      </c>
      <c r="N3208">
        <v>35341818</v>
      </c>
      <c r="O3208">
        <v>108518857</v>
      </c>
      <c r="P3208">
        <v>103</v>
      </c>
      <c r="Q3208" t="s">
        <v>6756</v>
      </c>
    </row>
    <row r="3209" spans="1:17" x14ac:dyDescent="0.3">
      <c r="A3209" t="s">
        <v>4664</v>
      </c>
      <c r="B3209" t="str">
        <f>"002527"</f>
        <v>002527</v>
      </c>
      <c r="C3209" t="s">
        <v>6757</v>
      </c>
      <c r="D3209" t="s">
        <v>2911</v>
      </c>
      <c r="F3209">
        <v>128809947</v>
      </c>
      <c r="G3209">
        <v>76522725</v>
      </c>
      <c r="H3209">
        <v>56002957</v>
      </c>
      <c r="I3209">
        <v>52012417</v>
      </c>
      <c r="J3209">
        <v>159842105</v>
      </c>
      <c r="K3209">
        <v>158517664</v>
      </c>
      <c r="L3209">
        <v>154266841</v>
      </c>
      <c r="M3209">
        <v>148879301</v>
      </c>
      <c r="N3209">
        <v>122914892</v>
      </c>
      <c r="O3209">
        <v>103339099</v>
      </c>
      <c r="P3209">
        <v>161</v>
      </c>
      <c r="Q3209" t="s">
        <v>6758</v>
      </c>
    </row>
    <row r="3210" spans="1:17" x14ac:dyDescent="0.3">
      <c r="A3210" t="s">
        <v>4664</v>
      </c>
      <c r="B3210" t="str">
        <f>"002528"</f>
        <v>002528</v>
      </c>
      <c r="C3210" t="s">
        <v>6759</v>
      </c>
      <c r="D3210" t="s">
        <v>2953</v>
      </c>
      <c r="F3210">
        <v>-242831756</v>
      </c>
      <c r="G3210">
        <v>-61509798</v>
      </c>
      <c r="H3210">
        <v>20904809</v>
      </c>
      <c r="I3210">
        <v>65826512</v>
      </c>
      <c r="J3210">
        <v>72488911</v>
      </c>
      <c r="K3210">
        <v>-30569446</v>
      </c>
      <c r="L3210">
        <v>-1002008</v>
      </c>
      <c r="M3210">
        <v>10734028</v>
      </c>
      <c r="N3210">
        <v>25704861</v>
      </c>
      <c r="O3210">
        <v>-9143038</v>
      </c>
      <c r="P3210">
        <v>169</v>
      </c>
      <c r="Q3210" t="s">
        <v>6760</v>
      </c>
    </row>
    <row r="3211" spans="1:17" x14ac:dyDescent="0.3">
      <c r="A3211" t="s">
        <v>4664</v>
      </c>
      <c r="B3211" t="str">
        <f>"002529"</f>
        <v>002529</v>
      </c>
      <c r="C3211" t="s">
        <v>6761</v>
      </c>
      <c r="D3211" t="s">
        <v>741</v>
      </c>
      <c r="F3211">
        <v>-50019841</v>
      </c>
      <c r="G3211">
        <v>2577630</v>
      </c>
      <c r="H3211">
        <v>-46477318</v>
      </c>
      <c r="I3211">
        <v>6179706</v>
      </c>
      <c r="J3211">
        <v>32043738</v>
      </c>
      <c r="K3211">
        <v>-448885</v>
      </c>
      <c r="L3211">
        <v>-13389642</v>
      </c>
      <c r="M3211">
        <v>-6648165</v>
      </c>
      <c r="N3211">
        <v>2208949</v>
      </c>
      <c r="O3211">
        <v>5045540</v>
      </c>
      <c r="P3211">
        <v>68</v>
      </c>
      <c r="Q3211" t="s">
        <v>6762</v>
      </c>
    </row>
    <row r="3212" spans="1:17" x14ac:dyDescent="0.3">
      <c r="A3212" t="s">
        <v>4664</v>
      </c>
      <c r="B3212" t="str">
        <f>"002530"</f>
        <v>002530</v>
      </c>
      <c r="C3212" t="s">
        <v>6763</v>
      </c>
      <c r="D3212" t="s">
        <v>316</v>
      </c>
      <c r="F3212">
        <v>-170161573</v>
      </c>
      <c r="G3212">
        <v>51090288</v>
      </c>
      <c r="H3212">
        <v>180945274</v>
      </c>
      <c r="I3212">
        <v>175831705</v>
      </c>
      <c r="J3212">
        <v>148292085</v>
      </c>
      <c r="K3212">
        <v>10209636</v>
      </c>
      <c r="L3212">
        <v>22508632</v>
      </c>
      <c r="M3212">
        <v>17081631</v>
      </c>
      <c r="N3212">
        <v>35233463</v>
      </c>
      <c r="O3212">
        <v>42046946</v>
      </c>
      <c r="P3212">
        <v>135</v>
      </c>
      <c r="Q3212" t="s">
        <v>6764</v>
      </c>
    </row>
    <row r="3213" spans="1:17" x14ac:dyDescent="0.3">
      <c r="A3213" t="s">
        <v>4664</v>
      </c>
      <c r="B3213" t="str">
        <f>"002531"</f>
        <v>002531</v>
      </c>
      <c r="C3213" t="s">
        <v>6765</v>
      </c>
      <c r="D3213" t="s">
        <v>950</v>
      </c>
      <c r="F3213">
        <v>1031362713</v>
      </c>
      <c r="G3213">
        <v>808924471</v>
      </c>
      <c r="H3213">
        <v>545837637</v>
      </c>
      <c r="I3213">
        <v>357543940</v>
      </c>
      <c r="J3213">
        <v>357176767</v>
      </c>
      <c r="K3213">
        <v>343122467</v>
      </c>
      <c r="L3213">
        <v>235550816</v>
      </c>
      <c r="M3213">
        <v>139807614</v>
      </c>
      <c r="N3213">
        <v>152805886</v>
      </c>
      <c r="O3213">
        <v>144010457</v>
      </c>
      <c r="P3213">
        <v>599</v>
      </c>
      <c r="Q3213" t="s">
        <v>6766</v>
      </c>
    </row>
    <row r="3214" spans="1:17" x14ac:dyDescent="0.3">
      <c r="A3214" t="s">
        <v>4664</v>
      </c>
      <c r="B3214" t="str">
        <f>"002532"</f>
        <v>002532</v>
      </c>
      <c r="C3214" t="s">
        <v>6767</v>
      </c>
      <c r="D3214" t="s">
        <v>504</v>
      </c>
      <c r="F3214">
        <v>3232221620</v>
      </c>
      <c r="G3214">
        <v>1226275320</v>
      </c>
      <c r="H3214">
        <v>106746956</v>
      </c>
      <c r="I3214">
        <v>111662929</v>
      </c>
      <c r="J3214">
        <v>129549168</v>
      </c>
      <c r="K3214">
        <v>94215197</v>
      </c>
      <c r="L3214">
        <v>106350726</v>
      </c>
      <c r="M3214">
        <v>78526757</v>
      </c>
      <c r="N3214">
        <v>104135958</v>
      </c>
      <c r="O3214">
        <v>70581809</v>
      </c>
      <c r="P3214">
        <v>424</v>
      </c>
      <c r="Q3214" t="s">
        <v>6768</v>
      </c>
    </row>
    <row r="3215" spans="1:17" x14ac:dyDescent="0.3">
      <c r="A3215" t="s">
        <v>4664</v>
      </c>
      <c r="B3215" t="str">
        <f>"002533"</f>
        <v>002533</v>
      </c>
      <c r="C3215" t="s">
        <v>6769</v>
      </c>
      <c r="D3215" t="s">
        <v>1164</v>
      </c>
      <c r="F3215">
        <v>261583966</v>
      </c>
      <c r="G3215">
        <v>175608371</v>
      </c>
      <c r="H3215">
        <v>141460549</v>
      </c>
      <c r="I3215">
        <v>110576671</v>
      </c>
      <c r="J3215">
        <v>108023452</v>
      </c>
      <c r="K3215">
        <v>129226214</v>
      </c>
      <c r="L3215">
        <v>105191700</v>
      </c>
      <c r="M3215">
        <v>87756682</v>
      </c>
      <c r="N3215">
        <v>76514931</v>
      </c>
      <c r="O3215">
        <v>90790804</v>
      </c>
      <c r="P3215">
        <v>192</v>
      </c>
      <c r="Q3215" t="s">
        <v>6770</v>
      </c>
    </row>
    <row r="3216" spans="1:17" x14ac:dyDescent="0.3">
      <c r="A3216" t="s">
        <v>4664</v>
      </c>
      <c r="B3216" t="str">
        <f>"002534"</f>
        <v>002534</v>
      </c>
      <c r="C3216" t="s">
        <v>6771</v>
      </c>
      <c r="D3216" t="s">
        <v>470</v>
      </c>
      <c r="F3216">
        <v>357337217</v>
      </c>
      <c r="G3216">
        <v>419744143</v>
      </c>
      <c r="H3216">
        <v>274195202</v>
      </c>
      <c r="I3216">
        <v>191795535</v>
      </c>
      <c r="J3216">
        <v>361561263</v>
      </c>
      <c r="K3216">
        <v>153768677</v>
      </c>
      <c r="L3216">
        <v>-159286279</v>
      </c>
      <c r="M3216">
        <v>97740018</v>
      </c>
      <c r="N3216">
        <v>148711198</v>
      </c>
      <c r="O3216">
        <v>251950170</v>
      </c>
      <c r="P3216">
        <v>191</v>
      </c>
      <c r="Q3216" t="s">
        <v>6772</v>
      </c>
    </row>
    <row r="3217" spans="1:17" x14ac:dyDescent="0.3">
      <c r="A3217" t="s">
        <v>4664</v>
      </c>
      <c r="B3217" t="str">
        <f>"002535"</f>
        <v>002535</v>
      </c>
      <c r="C3217" t="s">
        <v>6773</v>
      </c>
      <c r="D3217" t="s">
        <v>395</v>
      </c>
      <c r="F3217">
        <v>-144421879</v>
      </c>
      <c r="G3217">
        <v>10240044</v>
      </c>
      <c r="H3217">
        <v>5350684</v>
      </c>
      <c r="I3217">
        <v>73593252</v>
      </c>
      <c r="J3217">
        <v>31367497</v>
      </c>
      <c r="K3217">
        <v>12607884</v>
      </c>
      <c r="L3217">
        <v>-27321178</v>
      </c>
      <c r="M3217">
        <v>44688551</v>
      </c>
      <c r="N3217">
        <v>165797345</v>
      </c>
      <c r="O3217">
        <v>164020036</v>
      </c>
      <c r="P3217">
        <v>89</v>
      </c>
      <c r="Q3217" t="s">
        <v>6774</v>
      </c>
    </row>
    <row r="3218" spans="1:17" x14ac:dyDescent="0.3">
      <c r="A3218" t="s">
        <v>4664</v>
      </c>
      <c r="B3218" t="str">
        <f>"002536"</f>
        <v>002536</v>
      </c>
      <c r="C3218" t="s">
        <v>6775</v>
      </c>
      <c r="D3218" t="s">
        <v>348</v>
      </c>
      <c r="F3218">
        <v>171410825</v>
      </c>
      <c r="G3218">
        <v>81977625</v>
      </c>
      <c r="H3218">
        <v>65483789</v>
      </c>
      <c r="I3218">
        <v>187698799</v>
      </c>
      <c r="J3218">
        <v>178296890</v>
      </c>
      <c r="K3218">
        <v>78569988</v>
      </c>
      <c r="L3218">
        <v>53012541</v>
      </c>
      <c r="M3218">
        <v>34515770</v>
      </c>
      <c r="N3218">
        <v>25101657</v>
      </c>
      <c r="O3218">
        <v>23757126</v>
      </c>
      <c r="P3218">
        <v>254</v>
      </c>
      <c r="Q3218" t="s">
        <v>6776</v>
      </c>
    </row>
    <row r="3219" spans="1:17" x14ac:dyDescent="0.3">
      <c r="A3219" t="s">
        <v>4664</v>
      </c>
      <c r="B3219" t="str">
        <f>"002537"</f>
        <v>002537</v>
      </c>
      <c r="C3219" t="s">
        <v>6777</v>
      </c>
      <c r="D3219" t="s">
        <v>191</v>
      </c>
      <c r="F3219">
        <v>232473910</v>
      </c>
      <c r="G3219">
        <v>103111025</v>
      </c>
      <c r="H3219">
        <v>-24915162</v>
      </c>
      <c r="I3219">
        <v>288389729</v>
      </c>
      <c r="J3219">
        <v>283834773</v>
      </c>
      <c r="K3219">
        <v>98551235</v>
      </c>
      <c r="L3219">
        <v>69613722</v>
      </c>
      <c r="M3219">
        <v>24487485</v>
      </c>
      <c r="N3219">
        <v>44414688</v>
      </c>
      <c r="O3219">
        <v>51261655</v>
      </c>
      <c r="P3219">
        <v>182</v>
      </c>
      <c r="Q3219" t="s">
        <v>6778</v>
      </c>
    </row>
    <row r="3220" spans="1:17" x14ac:dyDescent="0.3">
      <c r="A3220" t="s">
        <v>4664</v>
      </c>
      <c r="B3220" t="str">
        <f>"002538"</f>
        <v>002538</v>
      </c>
      <c r="C3220" t="s">
        <v>6779</v>
      </c>
      <c r="D3220" t="s">
        <v>5489</v>
      </c>
      <c r="F3220">
        <v>386966608</v>
      </c>
      <c r="G3220">
        <v>201082951</v>
      </c>
      <c r="H3220">
        <v>200457425</v>
      </c>
      <c r="I3220">
        <v>186117776</v>
      </c>
      <c r="J3220">
        <v>131241748</v>
      </c>
      <c r="K3220">
        <v>206242668</v>
      </c>
      <c r="L3220">
        <v>192321884</v>
      </c>
      <c r="M3220">
        <v>105521775</v>
      </c>
      <c r="N3220">
        <v>92603642</v>
      </c>
      <c r="O3220">
        <v>129998077</v>
      </c>
      <c r="P3220">
        <v>174</v>
      </c>
      <c r="Q3220" t="s">
        <v>6780</v>
      </c>
    </row>
    <row r="3221" spans="1:17" x14ac:dyDescent="0.3">
      <c r="A3221" t="s">
        <v>4664</v>
      </c>
      <c r="B3221" t="str">
        <f>"002539"</f>
        <v>002539</v>
      </c>
      <c r="C3221" t="s">
        <v>6781</v>
      </c>
      <c r="D3221" t="s">
        <v>5489</v>
      </c>
      <c r="F3221">
        <v>780647865</v>
      </c>
      <c r="G3221">
        <v>370541667</v>
      </c>
      <c r="H3221">
        <v>183185513</v>
      </c>
      <c r="I3221">
        <v>140871334</v>
      </c>
      <c r="J3221">
        <v>83736840</v>
      </c>
      <c r="K3221">
        <v>162141023</v>
      </c>
      <c r="L3221">
        <v>160089260</v>
      </c>
      <c r="M3221">
        <v>88876009</v>
      </c>
      <c r="N3221">
        <v>73150961</v>
      </c>
      <c r="O3221">
        <v>131211816</v>
      </c>
      <c r="P3221">
        <v>240</v>
      </c>
      <c r="Q3221" t="s">
        <v>6782</v>
      </c>
    </row>
    <row r="3222" spans="1:17" x14ac:dyDescent="0.3">
      <c r="A3222" t="s">
        <v>4664</v>
      </c>
      <c r="B3222" t="str">
        <f>"002540"</f>
        <v>002540</v>
      </c>
      <c r="C3222" t="s">
        <v>6783</v>
      </c>
      <c r="D3222" t="s">
        <v>504</v>
      </c>
      <c r="F3222">
        <v>277460722</v>
      </c>
      <c r="G3222">
        <v>244804756</v>
      </c>
      <c r="H3222">
        <v>230387911</v>
      </c>
      <c r="I3222">
        <v>289532538</v>
      </c>
      <c r="J3222">
        <v>214285209</v>
      </c>
      <c r="K3222">
        <v>200607306</v>
      </c>
      <c r="L3222">
        <v>134565847</v>
      </c>
      <c r="M3222">
        <v>173779414</v>
      </c>
      <c r="N3222">
        <v>112642015</v>
      </c>
      <c r="O3222">
        <v>82209677</v>
      </c>
      <c r="P3222">
        <v>161</v>
      </c>
      <c r="Q3222" t="s">
        <v>6784</v>
      </c>
    </row>
    <row r="3223" spans="1:17" x14ac:dyDescent="0.3">
      <c r="A3223" t="s">
        <v>4664</v>
      </c>
      <c r="B3223" t="str">
        <f>"002541"</f>
        <v>002541</v>
      </c>
      <c r="C3223" t="s">
        <v>6785</v>
      </c>
      <c r="D3223" t="s">
        <v>978</v>
      </c>
      <c r="F3223">
        <v>824016747</v>
      </c>
      <c r="G3223">
        <v>502088158</v>
      </c>
      <c r="H3223">
        <v>338063615</v>
      </c>
      <c r="I3223">
        <v>332789831</v>
      </c>
      <c r="J3223">
        <v>176217233</v>
      </c>
      <c r="K3223">
        <v>120441821</v>
      </c>
      <c r="L3223">
        <v>118914831</v>
      </c>
      <c r="M3223">
        <v>130431534</v>
      </c>
      <c r="N3223">
        <v>129031850</v>
      </c>
      <c r="O3223">
        <v>128325819</v>
      </c>
      <c r="P3223">
        <v>443</v>
      </c>
      <c r="Q3223" t="s">
        <v>6786</v>
      </c>
    </row>
    <row r="3224" spans="1:17" x14ac:dyDescent="0.3">
      <c r="A3224" t="s">
        <v>4664</v>
      </c>
      <c r="B3224" t="str">
        <f>"002542"</f>
        <v>002542</v>
      </c>
      <c r="C3224" t="s">
        <v>6787</v>
      </c>
      <c r="D3224" t="s">
        <v>1986</v>
      </c>
      <c r="F3224">
        <v>105077717</v>
      </c>
      <c r="G3224">
        <v>171071902</v>
      </c>
      <c r="H3224">
        <v>168004788</v>
      </c>
      <c r="I3224">
        <v>162680731</v>
      </c>
      <c r="J3224">
        <v>137796573</v>
      </c>
      <c r="K3224">
        <v>146185128</v>
      </c>
      <c r="L3224">
        <v>132855358</v>
      </c>
      <c r="M3224">
        <v>75617402</v>
      </c>
      <c r="N3224">
        <v>49303181</v>
      </c>
      <c r="O3224">
        <v>44664322</v>
      </c>
      <c r="P3224">
        <v>161</v>
      </c>
      <c r="Q3224" t="s">
        <v>6788</v>
      </c>
    </row>
    <row r="3225" spans="1:17" x14ac:dyDescent="0.3">
      <c r="A3225" t="s">
        <v>4664</v>
      </c>
      <c r="B3225" t="str">
        <f>"002543"</f>
        <v>002543</v>
      </c>
      <c r="C3225" t="s">
        <v>6789</v>
      </c>
      <c r="D3225" t="s">
        <v>2865</v>
      </c>
      <c r="F3225">
        <v>525192292</v>
      </c>
      <c r="G3225">
        <v>430833840</v>
      </c>
      <c r="H3225">
        <v>445715926</v>
      </c>
      <c r="I3225">
        <v>368587153</v>
      </c>
      <c r="J3225">
        <v>275037568</v>
      </c>
      <c r="K3225">
        <v>293682710</v>
      </c>
      <c r="L3225">
        <v>256171099</v>
      </c>
      <c r="M3225">
        <v>226593938</v>
      </c>
      <c r="N3225">
        <v>205268148</v>
      </c>
      <c r="O3225">
        <v>176812247</v>
      </c>
      <c r="P3225">
        <v>434</v>
      </c>
      <c r="Q3225" t="s">
        <v>6790</v>
      </c>
    </row>
    <row r="3226" spans="1:17" x14ac:dyDescent="0.3">
      <c r="A3226" t="s">
        <v>4664</v>
      </c>
      <c r="B3226" t="str">
        <f>"002544"</f>
        <v>002544</v>
      </c>
      <c r="C3226" t="s">
        <v>6791</v>
      </c>
      <c r="D3226" t="s">
        <v>654</v>
      </c>
      <c r="F3226">
        <v>131015134</v>
      </c>
      <c r="G3226">
        <v>73410994</v>
      </c>
      <c r="H3226">
        <v>54029703</v>
      </c>
      <c r="I3226">
        <v>41923733</v>
      </c>
      <c r="J3226">
        <v>29243327</v>
      </c>
      <c r="K3226">
        <v>25922505</v>
      </c>
      <c r="L3226">
        <v>25749983</v>
      </c>
      <c r="M3226">
        <v>42715730</v>
      </c>
      <c r="N3226">
        <v>43867225</v>
      </c>
      <c r="O3226">
        <v>39676995</v>
      </c>
      <c r="P3226">
        <v>324</v>
      </c>
      <c r="Q3226" t="s">
        <v>6792</v>
      </c>
    </row>
    <row r="3227" spans="1:17" x14ac:dyDescent="0.3">
      <c r="A3227" t="s">
        <v>4664</v>
      </c>
      <c r="B3227" t="str">
        <f>"002545"</f>
        <v>002545</v>
      </c>
      <c r="C3227" t="s">
        <v>6793</v>
      </c>
      <c r="D3227" t="s">
        <v>978</v>
      </c>
      <c r="F3227">
        <v>352274518</v>
      </c>
      <c r="G3227">
        <v>232590805</v>
      </c>
      <c r="H3227">
        <v>257015178</v>
      </c>
      <c r="I3227">
        <v>217940892</v>
      </c>
      <c r="J3227">
        <v>135381649</v>
      </c>
      <c r="K3227">
        <v>80415912</v>
      </c>
      <c r="L3227">
        <v>48254906</v>
      </c>
      <c r="M3227">
        <v>44773610</v>
      </c>
      <c r="N3227">
        <v>127956383</v>
      </c>
      <c r="O3227">
        <v>143368356</v>
      </c>
      <c r="P3227">
        <v>138</v>
      </c>
      <c r="Q3227" t="s">
        <v>6794</v>
      </c>
    </row>
    <row r="3228" spans="1:17" x14ac:dyDescent="0.3">
      <c r="A3228" t="s">
        <v>4664</v>
      </c>
      <c r="B3228" t="str">
        <f>"002546"</f>
        <v>002546</v>
      </c>
      <c r="C3228" t="s">
        <v>6795</v>
      </c>
      <c r="D3228" t="s">
        <v>2171</v>
      </c>
      <c r="F3228">
        <v>121231984</v>
      </c>
      <c r="G3228">
        <v>125338556</v>
      </c>
      <c r="H3228">
        <v>110041933</v>
      </c>
      <c r="I3228">
        <v>103824915</v>
      </c>
      <c r="J3228">
        <v>75927865</v>
      </c>
      <c r="K3228">
        <v>65002697</v>
      </c>
      <c r="L3228">
        <v>92455512</v>
      </c>
      <c r="M3228">
        <v>90765507</v>
      </c>
      <c r="N3228">
        <v>80274775</v>
      </c>
      <c r="O3228">
        <v>90215147</v>
      </c>
      <c r="P3228">
        <v>76</v>
      </c>
      <c r="Q3228" t="s">
        <v>6796</v>
      </c>
    </row>
    <row r="3229" spans="1:17" x14ac:dyDescent="0.3">
      <c r="A3229" t="s">
        <v>4664</v>
      </c>
      <c r="B3229" t="str">
        <f>"002547"</f>
        <v>002547</v>
      </c>
      <c r="C3229" t="s">
        <v>6797</v>
      </c>
      <c r="D3229" t="s">
        <v>313</v>
      </c>
      <c r="F3229">
        <v>-245452109</v>
      </c>
      <c r="G3229">
        <v>-357353054</v>
      </c>
      <c r="H3229">
        <v>26729577</v>
      </c>
      <c r="I3229">
        <v>44156863</v>
      </c>
      <c r="J3229">
        <v>42634747</v>
      </c>
      <c r="K3229">
        <v>134492180</v>
      </c>
      <c r="L3229">
        <v>121821323</v>
      </c>
      <c r="M3229">
        <v>76548959</v>
      </c>
      <c r="N3229">
        <v>27006861</v>
      </c>
      <c r="O3229">
        <v>10327045</v>
      </c>
      <c r="P3229">
        <v>306</v>
      </c>
      <c r="Q3229" t="s">
        <v>6798</v>
      </c>
    </row>
    <row r="3230" spans="1:17" x14ac:dyDescent="0.3">
      <c r="A3230" t="s">
        <v>4664</v>
      </c>
      <c r="B3230" t="str">
        <f>"002548"</f>
        <v>002548</v>
      </c>
      <c r="C3230" t="s">
        <v>6799</v>
      </c>
      <c r="D3230" t="s">
        <v>2859</v>
      </c>
      <c r="F3230">
        <v>-292365696</v>
      </c>
      <c r="G3230">
        <v>325287420</v>
      </c>
      <c r="H3230">
        <v>34967890</v>
      </c>
      <c r="I3230">
        <v>-54707336</v>
      </c>
      <c r="J3230">
        <v>91591820</v>
      </c>
      <c r="K3230">
        <v>123774459</v>
      </c>
      <c r="L3230">
        <v>88998266</v>
      </c>
      <c r="M3230">
        <v>48418368</v>
      </c>
      <c r="N3230">
        <v>33263176</v>
      </c>
      <c r="O3230">
        <v>50057924</v>
      </c>
      <c r="P3230">
        <v>260</v>
      </c>
      <c r="Q3230" t="s">
        <v>6800</v>
      </c>
    </row>
    <row r="3231" spans="1:17" x14ac:dyDescent="0.3">
      <c r="A3231" t="s">
        <v>4664</v>
      </c>
      <c r="B3231" t="str">
        <f>"002549"</f>
        <v>002549</v>
      </c>
      <c r="C3231" t="s">
        <v>6801</v>
      </c>
      <c r="D3231" t="s">
        <v>386</v>
      </c>
      <c r="F3231">
        <v>102134816</v>
      </c>
      <c r="G3231">
        <v>59907857</v>
      </c>
      <c r="H3231">
        <v>90209258</v>
      </c>
      <c r="I3231">
        <v>70891511</v>
      </c>
      <c r="J3231">
        <v>25984370</v>
      </c>
      <c r="K3231">
        <v>9646715</v>
      </c>
      <c r="L3231">
        <v>-33295314</v>
      </c>
      <c r="M3231">
        <v>47534082</v>
      </c>
      <c r="N3231">
        <v>46007523</v>
      </c>
      <c r="O3231">
        <v>30293399</v>
      </c>
      <c r="P3231">
        <v>172</v>
      </c>
      <c r="Q3231" t="s">
        <v>6802</v>
      </c>
    </row>
    <row r="3232" spans="1:17" x14ac:dyDescent="0.3">
      <c r="A3232" t="s">
        <v>4664</v>
      </c>
      <c r="B3232" t="str">
        <f>"002550"</f>
        <v>002550</v>
      </c>
      <c r="C3232" t="s">
        <v>6803</v>
      </c>
      <c r="D3232" t="s">
        <v>143</v>
      </c>
      <c r="F3232">
        <v>189922248</v>
      </c>
      <c r="G3232">
        <v>146207872</v>
      </c>
      <c r="H3232">
        <v>221085067</v>
      </c>
      <c r="I3232">
        <v>210743817</v>
      </c>
      <c r="J3232">
        <v>171376761</v>
      </c>
      <c r="K3232">
        <v>184075081</v>
      </c>
      <c r="L3232">
        <v>201330712</v>
      </c>
      <c r="M3232">
        <v>178631434</v>
      </c>
      <c r="N3232">
        <v>139639592</v>
      </c>
      <c r="O3232">
        <v>113594245</v>
      </c>
      <c r="P3232">
        <v>172</v>
      </c>
      <c r="Q3232" t="s">
        <v>6804</v>
      </c>
    </row>
    <row r="3233" spans="1:17" x14ac:dyDescent="0.3">
      <c r="A3233" t="s">
        <v>4664</v>
      </c>
      <c r="B3233" t="str">
        <f>"002551"</f>
        <v>002551</v>
      </c>
      <c r="C3233" t="s">
        <v>6805</v>
      </c>
      <c r="D3233" t="s">
        <v>1077</v>
      </c>
      <c r="F3233">
        <v>75624641</v>
      </c>
      <c r="G3233">
        <v>128028465</v>
      </c>
      <c r="H3233">
        <v>57558697</v>
      </c>
      <c r="I3233">
        <v>102584464</v>
      </c>
      <c r="J3233">
        <v>144821769</v>
      </c>
      <c r="K3233">
        <v>130255948</v>
      </c>
      <c r="L3233">
        <v>116872359</v>
      </c>
      <c r="M3233">
        <v>86343295</v>
      </c>
      <c r="N3233">
        <v>63847458</v>
      </c>
      <c r="O3233">
        <v>49112410</v>
      </c>
      <c r="P3233">
        <v>242</v>
      </c>
      <c r="Q3233" t="s">
        <v>6806</v>
      </c>
    </row>
    <row r="3234" spans="1:17" x14ac:dyDescent="0.3">
      <c r="A3234" t="s">
        <v>4664</v>
      </c>
      <c r="B3234" t="str">
        <f>"002552"</f>
        <v>002552</v>
      </c>
      <c r="C3234" t="s">
        <v>6807</v>
      </c>
      <c r="D3234" t="s">
        <v>274</v>
      </c>
      <c r="F3234">
        <v>7694950</v>
      </c>
      <c r="G3234">
        <v>7457273</v>
      </c>
      <c r="H3234">
        <v>56010982</v>
      </c>
      <c r="I3234">
        <v>25189355</v>
      </c>
      <c r="J3234">
        <v>-3441260</v>
      </c>
      <c r="K3234">
        <v>-45623877</v>
      </c>
      <c r="L3234">
        <v>7865488</v>
      </c>
      <c r="M3234">
        <v>10206828</v>
      </c>
      <c r="N3234">
        <v>9276368</v>
      </c>
      <c r="O3234">
        <v>37029906</v>
      </c>
      <c r="P3234">
        <v>83</v>
      </c>
      <c r="Q3234" t="s">
        <v>6808</v>
      </c>
    </row>
    <row r="3235" spans="1:17" x14ac:dyDescent="0.3">
      <c r="A3235" t="s">
        <v>4664</v>
      </c>
      <c r="B3235" t="str">
        <f>"002553"</f>
        <v>002553</v>
      </c>
      <c r="C3235" t="s">
        <v>6809</v>
      </c>
      <c r="D3235" t="s">
        <v>348</v>
      </c>
      <c r="F3235">
        <v>72695748</v>
      </c>
      <c r="G3235">
        <v>59506666</v>
      </c>
      <c r="H3235">
        <v>43427931</v>
      </c>
      <c r="I3235">
        <v>95316275</v>
      </c>
      <c r="J3235">
        <v>64127749</v>
      </c>
      <c r="K3235">
        <v>60460771</v>
      </c>
      <c r="L3235">
        <v>56231782</v>
      </c>
      <c r="M3235">
        <v>50531382</v>
      </c>
      <c r="N3235">
        <v>33977829</v>
      </c>
      <c r="O3235">
        <v>29143967</v>
      </c>
      <c r="P3235">
        <v>140</v>
      </c>
      <c r="Q3235" t="s">
        <v>6810</v>
      </c>
    </row>
    <row r="3236" spans="1:17" x14ac:dyDescent="0.3">
      <c r="A3236" t="s">
        <v>4664</v>
      </c>
      <c r="B3236" t="str">
        <f>"002554"</f>
        <v>002554</v>
      </c>
      <c r="C3236" t="s">
        <v>6811</v>
      </c>
      <c r="D3236" t="s">
        <v>762</v>
      </c>
      <c r="F3236">
        <v>112048362</v>
      </c>
      <c r="G3236">
        <v>-195332498</v>
      </c>
      <c r="H3236">
        <v>46021677</v>
      </c>
      <c r="I3236">
        <v>29018250</v>
      </c>
      <c r="J3236">
        <v>77346482</v>
      </c>
      <c r="K3236">
        <v>105492826</v>
      </c>
      <c r="L3236">
        <v>101135075</v>
      </c>
      <c r="M3236">
        <v>85258611</v>
      </c>
      <c r="N3236">
        <v>63572126</v>
      </c>
      <c r="O3236">
        <v>39903648</v>
      </c>
      <c r="P3236">
        <v>112</v>
      </c>
      <c r="Q3236" t="s">
        <v>6812</v>
      </c>
    </row>
    <row r="3237" spans="1:17" x14ac:dyDescent="0.3">
      <c r="A3237" t="s">
        <v>4664</v>
      </c>
      <c r="B3237" t="str">
        <f>"002555"</f>
        <v>002555</v>
      </c>
      <c r="C3237" t="s">
        <v>6813</v>
      </c>
      <c r="D3237" t="s">
        <v>517</v>
      </c>
      <c r="F3237">
        <v>1721185263</v>
      </c>
      <c r="G3237">
        <v>2260226116</v>
      </c>
      <c r="H3237">
        <v>1555836327</v>
      </c>
      <c r="I3237">
        <v>1218348508</v>
      </c>
      <c r="J3237">
        <v>1211339326</v>
      </c>
      <c r="K3237">
        <v>752178438</v>
      </c>
      <c r="L3237">
        <v>353925547</v>
      </c>
      <c r="M3237">
        <v>3262290</v>
      </c>
      <c r="N3237">
        <v>2317259</v>
      </c>
      <c r="O3237">
        <v>11025727</v>
      </c>
      <c r="P3237">
        <v>2917</v>
      </c>
      <c r="Q3237" t="s">
        <v>6814</v>
      </c>
    </row>
    <row r="3238" spans="1:17" x14ac:dyDescent="0.3">
      <c r="A3238" t="s">
        <v>4664</v>
      </c>
      <c r="B3238" t="str">
        <f>"002556"</f>
        <v>002556</v>
      </c>
      <c r="C3238" t="s">
        <v>6815</v>
      </c>
      <c r="D3238" t="s">
        <v>6816</v>
      </c>
      <c r="F3238">
        <v>446083471</v>
      </c>
      <c r="G3238">
        <v>220800893</v>
      </c>
      <c r="H3238">
        <v>90425934</v>
      </c>
      <c r="I3238">
        <v>139347456</v>
      </c>
      <c r="J3238">
        <v>121257565</v>
      </c>
      <c r="K3238">
        <v>101617284</v>
      </c>
      <c r="L3238">
        <v>148288821</v>
      </c>
      <c r="M3238">
        <v>86995726</v>
      </c>
      <c r="N3238">
        <v>67037613</v>
      </c>
      <c r="O3238">
        <v>72909363</v>
      </c>
      <c r="P3238">
        <v>110</v>
      </c>
      <c r="Q3238" t="s">
        <v>6817</v>
      </c>
    </row>
    <row r="3239" spans="1:17" x14ac:dyDescent="0.3">
      <c r="A3239" t="s">
        <v>4664</v>
      </c>
      <c r="B3239" t="str">
        <f>"002557"</f>
        <v>002557</v>
      </c>
      <c r="C3239" t="s">
        <v>6818</v>
      </c>
      <c r="D3239" t="s">
        <v>3167</v>
      </c>
      <c r="F3239">
        <v>594300454</v>
      </c>
      <c r="G3239">
        <v>529831778</v>
      </c>
      <c r="H3239">
        <v>400482115</v>
      </c>
      <c r="I3239">
        <v>302765073</v>
      </c>
      <c r="J3239">
        <v>236323081</v>
      </c>
      <c r="K3239">
        <v>272096549</v>
      </c>
      <c r="L3239">
        <v>264602526</v>
      </c>
      <c r="M3239">
        <v>206524212</v>
      </c>
      <c r="N3239">
        <v>173844691</v>
      </c>
      <c r="O3239">
        <v>203318359</v>
      </c>
      <c r="P3239">
        <v>1823</v>
      </c>
      <c r="Q3239" t="s">
        <v>6819</v>
      </c>
    </row>
    <row r="3240" spans="1:17" x14ac:dyDescent="0.3">
      <c r="A3240" t="s">
        <v>4664</v>
      </c>
      <c r="B3240" t="str">
        <f>"002558"</f>
        <v>002558</v>
      </c>
      <c r="C3240" t="s">
        <v>6820</v>
      </c>
      <c r="D3240" t="s">
        <v>517</v>
      </c>
      <c r="F3240">
        <v>874265977</v>
      </c>
      <c r="G3240">
        <v>837579602</v>
      </c>
      <c r="H3240">
        <v>717679441</v>
      </c>
      <c r="I3240">
        <v>993034868</v>
      </c>
      <c r="J3240">
        <v>1043306277</v>
      </c>
      <c r="K3240">
        <v>796589888</v>
      </c>
      <c r="L3240">
        <v>-20840861</v>
      </c>
      <c r="M3240">
        <v>5720266</v>
      </c>
      <c r="N3240">
        <v>4228159</v>
      </c>
      <c r="O3240">
        <v>28368428</v>
      </c>
      <c r="P3240">
        <v>458</v>
      </c>
      <c r="Q3240" t="s">
        <v>6821</v>
      </c>
    </row>
    <row r="3241" spans="1:17" x14ac:dyDescent="0.3">
      <c r="A3241" t="s">
        <v>4664</v>
      </c>
      <c r="B3241" t="str">
        <f>"002559"</f>
        <v>002559</v>
      </c>
      <c r="C3241" t="s">
        <v>6822</v>
      </c>
      <c r="D3241" t="s">
        <v>2312</v>
      </c>
      <c r="F3241">
        <v>138450653</v>
      </c>
      <c r="G3241">
        <v>104036151</v>
      </c>
      <c r="H3241">
        <v>94537207</v>
      </c>
      <c r="I3241">
        <v>86935790</v>
      </c>
      <c r="J3241">
        <v>62800014</v>
      </c>
      <c r="K3241">
        <v>55277790</v>
      </c>
      <c r="L3241">
        <v>63552181</v>
      </c>
      <c r="M3241">
        <v>75631407</v>
      </c>
      <c r="N3241">
        <v>72891727</v>
      </c>
      <c r="O3241">
        <v>70730012</v>
      </c>
      <c r="P3241">
        <v>149</v>
      </c>
      <c r="Q3241" t="s">
        <v>6823</v>
      </c>
    </row>
    <row r="3242" spans="1:17" x14ac:dyDescent="0.3">
      <c r="A3242" t="s">
        <v>4664</v>
      </c>
      <c r="B3242" t="str">
        <f>"002560"</f>
        <v>002560</v>
      </c>
      <c r="C3242" t="s">
        <v>6824</v>
      </c>
      <c r="D3242" t="s">
        <v>1164</v>
      </c>
      <c r="F3242">
        <v>47838867</v>
      </c>
      <c r="G3242">
        <v>139507677</v>
      </c>
      <c r="H3242">
        <v>79059908</v>
      </c>
      <c r="I3242">
        <v>27899326</v>
      </c>
      <c r="J3242">
        <v>10604761</v>
      </c>
      <c r="K3242">
        <v>69079259</v>
      </c>
      <c r="L3242">
        <v>39160782</v>
      </c>
      <c r="M3242">
        <v>26530786</v>
      </c>
      <c r="N3242">
        <v>42150389</v>
      </c>
      <c r="O3242">
        <v>38516570</v>
      </c>
      <c r="P3242">
        <v>138</v>
      </c>
      <c r="Q3242" t="s">
        <v>6825</v>
      </c>
    </row>
    <row r="3243" spans="1:17" x14ac:dyDescent="0.3">
      <c r="A3243" t="s">
        <v>4664</v>
      </c>
      <c r="B3243" t="str">
        <f>"002561"</f>
        <v>002561</v>
      </c>
      <c r="C3243" t="s">
        <v>6826</v>
      </c>
      <c r="D3243" t="s">
        <v>633</v>
      </c>
      <c r="F3243">
        <v>70897710</v>
      </c>
      <c r="G3243">
        <v>66492407</v>
      </c>
      <c r="H3243">
        <v>152592742</v>
      </c>
      <c r="I3243">
        <v>170584189</v>
      </c>
      <c r="J3243">
        <v>163256190</v>
      </c>
      <c r="K3243">
        <v>171858843</v>
      </c>
      <c r="L3243">
        <v>182927578</v>
      </c>
      <c r="M3243">
        <v>181165539</v>
      </c>
      <c r="N3243">
        <v>171541009</v>
      </c>
      <c r="O3243">
        <v>166885126</v>
      </c>
      <c r="P3243">
        <v>183</v>
      </c>
      <c r="Q3243" t="s">
        <v>6827</v>
      </c>
    </row>
    <row r="3244" spans="1:17" x14ac:dyDescent="0.3">
      <c r="A3244" t="s">
        <v>4664</v>
      </c>
      <c r="B3244" t="str">
        <f>"002562"</f>
        <v>002562</v>
      </c>
      <c r="C3244" t="s">
        <v>6828</v>
      </c>
      <c r="D3244" t="s">
        <v>677</v>
      </c>
      <c r="F3244">
        <v>2981052</v>
      </c>
      <c r="G3244">
        <v>101879829</v>
      </c>
      <c r="H3244">
        <v>19223671</v>
      </c>
      <c r="I3244">
        <v>75514234</v>
      </c>
      <c r="J3244">
        <v>250756972</v>
      </c>
      <c r="K3244">
        <v>97227526</v>
      </c>
      <c r="L3244">
        <v>47836988</v>
      </c>
      <c r="M3244">
        <v>26813210</v>
      </c>
      <c r="N3244">
        <v>7157828</v>
      </c>
      <c r="O3244">
        <v>16568254</v>
      </c>
      <c r="P3244">
        <v>259</v>
      </c>
      <c r="Q3244" t="s">
        <v>6829</v>
      </c>
    </row>
    <row r="3245" spans="1:17" x14ac:dyDescent="0.3">
      <c r="A3245" t="s">
        <v>4664</v>
      </c>
      <c r="B3245" t="str">
        <f>"002563"</f>
        <v>002563</v>
      </c>
      <c r="C3245" t="s">
        <v>6830</v>
      </c>
      <c r="D3245" t="s">
        <v>255</v>
      </c>
      <c r="F3245">
        <v>942805684</v>
      </c>
      <c r="G3245">
        <v>215922089</v>
      </c>
      <c r="H3245">
        <v>1307306806</v>
      </c>
      <c r="I3245">
        <v>1271825365</v>
      </c>
      <c r="J3245">
        <v>1012077431</v>
      </c>
      <c r="K3245">
        <v>1001967698</v>
      </c>
      <c r="L3245">
        <v>828813105</v>
      </c>
      <c r="M3245">
        <v>671323298</v>
      </c>
      <c r="N3245">
        <v>551753433</v>
      </c>
      <c r="O3245">
        <v>473707328</v>
      </c>
      <c r="P3245">
        <v>904</v>
      </c>
      <c r="Q3245" t="s">
        <v>6831</v>
      </c>
    </row>
    <row r="3246" spans="1:17" x14ac:dyDescent="0.3">
      <c r="A3246" t="s">
        <v>4664</v>
      </c>
      <c r="B3246" t="str">
        <f>"002564"</f>
        <v>002564</v>
      </c>
      <c r="C3246" t="s">
        <v>6832</v>
      </c>
      <c r="D3246" t="s">
        <v>395</v>
      </c>
      <c r="F3246">
        <v>-118800947</v>
      </c>
      <c r="G3246">
        <v>-609083148</v>
      </c>
      <c r="H3246">
        <v>115938619</v>
      </c>
      <c r="I3246">
        <v>161564653</v>
      </c>
      <c r="J3246">
        <v>205816152</v>
      </c>
      <c r="K3246">
        <v>-55803893</v>
      </c>
      <c r="L3246">
        <v>48421829</v>
      </c>
      <c r="M3246">
        <v>55474140</v>
      </c>
      <c r="N3246">
        <v>76743302</v>
      </c>
      <c r="O3246">
        <v>68859222</v>
      </c>
      <c r="P3246">
        <v>130</v>
      </c>
      <c r="Q3246" t="s">
        <v>6833</v>
      </c>
    </row>
    <row r="3247" spans="1:17" x14ac:dyDescent="0.3">
      <c r="A3247" t="s">
        <v>4664</v>
      </c>
      <c r="B3247" t="str">
        <f>"002565"</f>
        <v>002565</v>
      </c>
      <c r="C3247" t="s">
        <v>6834</v>
      </c>
      <c r="D3247" t="s">
        <v>2156</v>
      </c>
      <c r="F3247">
        <v>-9828147</v>
      </c>
      <c r="G3247">
        <v>6536435</v>
      </c>
      <c r="H3247">
        <v>73347907</v>
      </c>
      <c r="I3247">
        <v>63775617</v>
      </c>
      <c r="J3247">
        <v>37536541</v>
      </c>
      <c r="K3247">
        <v>57790245</v>
      </c>
      <c r="L3247">
        <v>85067731</v>
      </c>
      <c r="M3247">
        <v>146417045</v>
      </c>
      <c r="N3247">
        <v>154031542</v>
      </c>
      <c r="O3247">
        <v>118020292</v>
      </c>
      <c r="P3247">
        <v>107</v>
      </c>
      <c r="Q3247" t="s">
        <v>6835</v>
      </c>
    </row>
    <row r="3248" spans="1:17" x14ac:dyDescent="0.3">
      <c r="A3248" t="s">
        <v>4664</v>
      </c>
      <c r="B3248" t="str">
        <f>"002566"</f>
        <v>002566</v>
      </c>
      <c r="C3248" t="s">
        <v>6836</v>
      </c>
      <c r="D3248" t="s">
        <v>188</v>
      </c>
      <c r="F3248">
        <v>65251455</v>
      </c>
      <c r="G3248">
        <v>54188768</v>
      </c>
      <c r="H3248">
        <v>55313113</v>
      </c>
      <c r="I3248">
        <v>53129795</v>
      </c>
      <c r="J3248">
        <v>44018033</v>
      </c>
      <c r="K3248">
        <v>31127539</v>
      </c>
      <c r="L3248">
        <v>70860710</v>
      </c>
      <c r="M3248">
        <v>67768043</v>
      </c>
      <c r="N3248">
        <v>72055796</v>
      </c>
      <c r="O3248">
        <v>70429540</v>
      </c>
      <c r="P3248">
        <v>134</v>
      </c>
      <c r="Q3248" t="s">
        <v>6837</v>
      </c>
    </row>
    <row r="3249" spans="1:17" x14ac:dyDescent="0.3">
      <c r="A3249" t="s">
        <v>4664</v>
      </c>
      <c r="B3249" t="str">
        <f>"002567"</f>
        <v>002567</v>
      </c>
      <c r="C3249" t="s">
        <v>6838</v>
      </c>
      <c r="D3249" t="s">
        <v>2859</v>
      </c>
      <c r="F3249">
        <v>-397630522</v>
      </c>
      <c r="G3249">
        <v>706373179</v>
      </c>
      <c r="H3249">
        <v>129674137</v>
      </c>
      <c r="I3249">
        <v>126893107</v>
      </c>
      <c r="J3249">
        <v>213379992</v>
      </c>
      <c r="K3249">
        <v>134869756</v>
      </c>
      <c r="L3249">
        <v>66561960</v>
      </c>
      <c r="M3249">
        <v>57528618</v>
      </c>
      <c r="N3249">
        <v>78043114</v>
      </c>
      <c r="O3249">
        <v>116438369</v>
      </c>
      <c r="P3249">
        <v>451</v>
      </c>
      <c r="Q3249" t="s">
        <v>6839</v>
      </c>
    </row>
    <row r="3250" spans="1:17" x14ac:dyDescent="0.3">
      <c r="A3250" t="s">
        <v>4664</v>
      </c>
      <c r="B3250" t="str">
        <f>"002568"</f>
        <v>002568</v>
      </c>
      <c r="C3250" t="s">
        <v>6840</v>
      </c>
      <c r="D3250" t="s">
        <v>134</v>
      </c>
      <c r="F3250">
        <v>563085616</v>
      </c>
      <c r="G3250">
        <v>383160587</v>
      </c>
      <c r="H3250">
        <v>228544969</v>
      </c>
      <c r="I3250">
        <v>130426463</v>
      </c>
      <c r="J3250">
        <v>116948814</v>
      </c>
      <c r="K3250">
        <v>-104441378</v>
      </c>
      <c r="L3250">
        <v>701025732</v>
      </c>
      <c r="M3250">
        <v>46873043</v>
      </c>
      <c r="N3250">
        <v>31945444</v>
      </c>
      <c r="O3250">
        <v>58812129</v>
      </c>
      <c r="P3250">
        <v>1074</v>
      </c>
      <c r="Q3250" t="s">
        <v>6841</v>
      </c>
    </row>
    <row r="3251" spans="1:17" x14ac:dyDescent="0.3">
      <c r="A3251" t="s">
        <v>4664</v>
      </c>
      <c r="B3251" t="str">
        <f>"002569"</f>
        <v>002569</v>
      </c>
      <c r="C3251" t="s">
        <v>6842</v>
      </c>
      <c r="D3251" t="s">
        <v>255</v>
      </c>
      <c r="F3251">
        <v>43265515</v>
      </c>
      <c r="G3251">
        <v>-77201636</v>
      </c>
      <c r="H3251">
        <v>-40028280</v>
      </c>
      <c r="I3251">
        <v>-5561871</v>
      </c>
      <c r="J3251">
        <v>-22696739</v>
      </c>
      <c r="K3251">
        <v>-27902791</v>
      </c>
      <c r="L3251">
        <v>-8384980</v>
      </c>
      <c r="M3251">
        <v>-39603784</v>
      </c>
      <c r="N3251">
        <v>13515537</v>
      </c>
      <c r="O3251">
        <v>33115216</v>
      </c>
      <c r="P3251">
        <v>59</v>
      </c>
      <c r="Q3251" t="s">
        <v>6843</v>
      </c>
    </row>
    <row r="3252" spans="1:17" x14ac:dyDescent="0.3">
      <c r="A3252" t="s">
        <v>4664</v>
      </c>
      <c r="B3252" t="str">
        <f>"002570"</f>
        <v>002570</v>
      </c>
      <c r="C3252" t="s">
        <v>6844</v>
      </c>
      <c r="D3252" t="s">
        <v>900</v>
      </c>
      <c r="F3252">
        <v>38749902</v>
      </c>
      <c r="G3252">
        <v>50797475</v>
      </c>
      <c r="H3252">
        <v>-105942504</v>
      </c>
      <c r="I3252">
        <v>27963963</v>
      </c>
      <c r="J3252">
        <v>-383272954</v>
      </c>
      <c r="K3252">
        <v>-409030882</v>
      </c>
      <c r="L3252">
        <v>-215908766</v>
      </c>
      <c r="M3252">
        <v>134548518</v>
      </c>
      <c r="N3252">
        <v>501103495</v>
      </c>
      <c r="O3252">
        <v>305046609</v>
      </c>
      <c r="P3252">
        <v>261</v>
      </c>
      <c r="Q3252" t="s">
        <v>6845</v>
      </c>
    </row>
    <row r="3253" spans="1:17" x14ac:dyDescent="0.3">
      <c r="A3253" t="s">
        <v>4664</v>
      </c>
      <c r="B3253" t="str">
        <f>"002571"</f>
        <v>002571</v>
      </c>
      <c r="C3253" t="s">
        <v>6846</v>
      </c>
      <c r="D3253" t="s">
        <v>2436</v>
      </c>
      <c r="F3253">
        <v>14244241</v>
      </c>
      <c r="G3253">
        <v>861874</v>
      </c>
      <c r="H3253">
        <v>44080696</v>
      </c>
      <c r="I3253">
        <v>-41944295</v>
      </c>
      <c r="J3253">
        <v>28059642</v>
      </c>
      <c r="K3253">
        <v>-43471400</v>
      </c>
      <c r="L3253">
        <v>-3250807</v>
      </c>
      <c r="M3253">
        <v>35133927</v>
      </c>
      <c r="N3253">
        <v>77826348</v>
      </c>
      <c r="O3253">
        <v>59799084</v>
      </c>
      <c r="P3253">
        <v>92</v>
      </c>
      <c r="Q3253" t="s">
        <v>6847</v>
      </c>
    </row>
    <row r="3254" spans="1:17" x14ac:dyDescent="0.3">
      <c r="A3254" t="s">
        <v>4664</v>
      </c>
      <c r="B3254" t="str">
        <f>"002572"</f>
        <v>002572</v>
      </c>
      <c r="C3254" t="s">
        <v>6848</v>
      </c>
      <c r="D3254" t="s">
        <v>2647</v>
      </c>
      <c r="F3254">
        <v>848856786</v>
      </c>
      <c r="G3254">
        <v>697037706</v>
      </c>
      <c r="H3254">
        <v>719842486</v>
      </c>
      <c r="I3254">
        <v>691795011</v>
      </c>
      <c r="J3254">
        <v>575723297</v>
      </c>
      <c r="K3254">
        <v>408178172</v>
      </c>
      <c r="L3254">
        <v>275726994</v>
      </c>
      <c r="M3254">
        <v>198081097</v>
      </c>
      <c r="N3254">
        <v>147952583</v>
      </c>
      <c r="O3254">
        <v>104619024</v>
      </c>
      <c r="P3254">
        <v>9141</v>
      </c>
      <c r="Q3254" t="s">
        <v>6849</v>
      </c>
    </row>
    <row r="3255" spans="1:17" x14ac:dyDescent="0.3">
      <c r="A3255" t="s">
        <v>4664</v>
      </c>
      <c r="B3255" t="str">
        <f>"002573"</f>
        <v>002573</v>
      </c>
      <c r="C3255" t="s">
        <v>6850</v>
      </c>
      <c r="D3255" t="s">
        <v>663</v>
      </c>
      <c r="F3255">
        <v>347327513</v>
      </c>
      <c r="G3255">
        <v>180774581</v>
      </c>
      <c r="H3255">
        <v>322571926</v>
      </c>
      <c r="I3255">
        <v>495018270</v>
      </c>
      <c r="J3255">
        <v>617549383</v>
      </c>
      <c r="K3255">
        <v>498059109</v>
      </c>
      <c r="L3255">
        <v>355248004</v>
      </c>
      <c r="M3255">
        <v>209855801</v>
      </c>
      <c r="N3255">
        <v>134263710</v>
      </c>
      <c r="O3255">
        <v>80936735</v>
      </c>
      <c r="P3255">
        <v>613</v>
      </c>
      <c r="Q3255" t="s">
        <v>6851</v>
      </c>
    </row>
    <row r="3256" spans="1:17" x14ac:dyDescent="0.3">
      <c r="A3256" t="s">
        <v>4664</v>
      </c>
      <c r="B3256" t="str">
        <f>"002574"</f>
        <v>002574</v>
      </c>
      <c r="C3256" t="s">
        <v>6852</v>
      </c>
      <c r="D3256" t="s">
        <v>1238</v>
      </c>
      <c r="F3256">
        <v>130043614</v>
      </c>
      <c r="G3256">
        <v>29490208</v>
      </c>
      <c r="H3256">
        <v>90891307</v>
      </c>
      <c r="I3256">
        <v>85000304</v>
      </c>
      <c r="J3256">
        <v>82258624</v>
      </c>
      <c r="K3256">
        <v>51418453</v>
      </c>
      <c r="L3256">
        <v>74312990</v>
      </c>
      <c r="M3256">
        <v>190029093</v>
      </c>
      <c r="N3256">
        <v>76588347</v>
      </c>
      <c r="O3256">
        <v>55874348</v>
      </c>
      <c r="P3256">
        <v>105</v>
      </c>
      <c r="Q3256" t="s">
        <v>6853</v>
      </c>
    </row>
    <row r="3257" spans="1:17" x14ac:dyDescent="0.3">
      <c r="A3257" t="s">
        <v>4664</v>
      </c>
      <c r="B3257" t="str">
        <f>"002575"</f>
        <v>002575</v>
      </c>
      <c r="C3257" t="s">
        <v>6854</v>
      </c>
      <c r="D3257" t="s">
        <v>2904</v>
      </c>
      <c r="F3257">
        <v>15597518</v>
      </c>
      <c r="G3257">
        <v>-14596579</v>
      </c>
      <c r="H3257">
        <v>-20699423</v>
      </c>
      <c r="I3257">
        <v>5936437</v>
      </c>
      <c r="J3257">
        <v>-15204385</v>
      </c>
      <c r="K3257">
        <v>19957123</v>
      </c>
      <c r="L3257">
        <v>22434470</v>
      </c>
      <c r="M3257">
        <v>21651017</v>
      </c>
      <c r="N3257">
        <v>27771874</v>
      </c>
      <c r="O3257">
        <v>42960584</v>
      </c>
      <c r="P3257">
        <v>57</v>
      </c>
      <c r="Q3257" t="s">
        <v>6855</v>
      </c>
    </row>
    <row r="3258" spans="1:17" x14ac:dyDescent="0.3">
      <c r="A3258" t="s">
        <v>4664</v>
      </c>
      <c r="B3258" t="str">
        <f>"002576"</f>
        <v>002576</v>
      </c>
      <c r="C3258" t="s">
        <v>6856</v>
      </c>
      <c r="D3258" t="s">
        <v>1171</v>
      </c>
      <c r="F3258">
        <v>91019076</v>
      </c>
      <c r="G3258">
        <v>60429008</v>
      </c>
      <c r="H3258">
        <v>27027476</v>
      </c>
      <c r="I3258">
        <v>16317460</v>
      </c>
      <c r="J3258">
        <v>530844</v>
      </c>
      <c r="K3258">
        <v>3141088</v>
      </c>
      <c r="L3258">
        <v>3376203</v>
      </c>
      <c r="M3258">
        <v>7590849</v>
      </c>
      <c r="N3258">
        <v>8700001</v>
      </c>
      <c r="O3258">
        <v>26088517</v>
      </c>
      <c r="P3258">
        <v>123</v>
      </c>
      <c r="Q3258" t="s">
        <v>6857</v>
      </c>
    </row>
    <row r="3259" spans="1:17" x14ac:dyDescent="0.3">
      <c r="A3259" t="s">
        <v>4664</v>
      </c>
      <c r="B3259" t="str">
        <f>"002577"</f>
        <v>002577</v>
      </c>
      <c r="C3259" t="s">
        <v>6858</v>
      </c>
      <c r="D3259" t="s">
        <v>236</v>
      </c>
      <c r="F3259">
        <v>34606060</v>
      </c>
      <c r="G3259">
        <v>44314463</v>
      </c>
      <c r="H3259">
        <v>-2565278</v>
      </c>
      <c r="I3259">
        <v>18369663</v>
      </c>
      <c r="J3259">
        <v>16179298</v>
      </c>
      <c r="K3259">
        <v>17831663</v>
      </c>
      <c r="L3259">
        <v>-22907754</v>
      </c>
      <c r="M3259">
        <v>65218088</v>
      </c>
      <c r="N3259">
        <v>33601958</v>
      </c>
      <c r="O3259">
        <v>59443896</v>
      </c>
      <c r="P3259">
        <v>83</v>
      </c>
      <c r="Q3259" t="s">
        <v>6859</v>
      </c>
    </row>
    <row r="3260" spans="1:17" x14ac:dyDescent="0.3">
      <c r="A3260" t="s">
        <v>4664</v>
      </c>
      <c r="B3260" t="str">
        <f>"002578"</f>
        <v>002578</v>
      </c>
      <c r="C3260" t="s">
        <v>6860</v>
      </c>
      <c r="D3260" t="s">
        <v>504</v>
      </c>
      <c r="F3260">
        <v>48912468</v>
      </c>
      <c r="G3260">
        <v>57499749</v>
      </c>
      <c r="H3260">
        <v>36533464</v>
      </c>
      <c r="I3260">
        <v>22676669</v>
      </c>
      <c r="J3260">
        <v>22714417</v>
      </c>
      <c r="K3260">
        <v>10908857</v>
      </c>
      <c r="L3260">
        <v>19900628</v>
      </c>
      <c r="M3260">
        <v>28361480</v>
      </c>
      <c r="N3260">
        <v>43024910</v>
      </c>
      <c r="O3260">
        <v>40152475</v>
      </c>
      <c r="P3260">
        <v>91</v>
      </c>
      <c r="Q3260" t="s">
        <v>6861</v>
      </c>
    </row>
    <row r="3261" spans="1:17" x14ac:dyDescent="0.3">
      <c r="A3261" t="s">
        <v>4664</v>
      </c>
      <c r="B3261" t="str">
        <f>"002579"</f>
        <v>002579</v>
      </c>
      <c r="C3261" t="s">
        <v>6862</v>
      </c>
      <c r="D3261" t="s">
        <v>425</v>
      </c>
      <c r="F3261">
        <v>148077607</v>
      </c>
      <c r="G3261">
        <v>110906484</v>
      </c>
      <c r="H3261">
        <v>107899482</v>
      </c>
      <c r="I3261">
        <v>59183428</v>
      </c>
      <c r="J3261">
        <v>8134901</v>
      </c>
      <c r="K3261">
        <v>96208249</v>
      </c>
      <c r="L3261">
        <v>16893774</v>
      </c>
      <c r="M3261">
        <v>8384941</v>
      </c>
      <c r="N3261">
        <v>6653996</v>
      </c>
      <c r="O3261">
        <v>6380509</v>
      </c>
      <c r="P3261">
        <v>279</v>
      </c>
      <c r="Q3261" t="s">
        <v>6863</v>
      </c>
    </row>
    <row r="3262" spans="1:17" x14ac:dyDescent="0.3">
      <c r="A3262" t="s">
        <v>4664</v>
      </c>
      <c r="B3262" t="str">
        <f>"002580"</f>
        <v>002580</v>
      </c>
      <c r="C3262" t="s">
        <v>6864</v>
      </c>
      <c r="D3262" t="s">
        <v>555</v>
      </c>
      <c r="F3262">
        <v>28404503</v>
      </c>
      <c r="G3262">
        <v>25975000</v>
      </c>
      <c r="H3262">
        <v>21079650</v>
      </c>
      <c r="I3262">
        <v>14149769</v>
      </c>
      <c r="J3262">
        <v>25694975</v>
      </c>
      <c r="K3262">
        <v>39233068</v>
      </c>
      <c r="L3262">
        <v>26922462</v>
      </c>
      <c r="M3262">
        <v>21070150</v>
      </c>
      <c r="N3262">
        <v>24850132</v>
      </c>
      <c r="O3262">
        <v>40225434</v>
      </c>
      <c r="P3262">
        <v>114</v>
      </c>
      <c r="Q3262" t="s">
        <v>6865</v>
      </c>
    </row>
    <row r="3263" spans="1:17" x14ac:dyDescent="0.3">
      <c r="A3263" t="s">
        <v>4664</v>
      </c>
      <c r="B3263" t="str">
        <f>"002581"</f>
        <v>002581</v>
      </c>
      <c r="C3263" t="s">
        <v>6866</v>
      </c>
      <c r="D3263" t="s">
        <v>1379</v>
      </c>
      <c r="F3263">
        <v>347452967</v>
      </c>
      <c r="G3263">
        <v>-105994129</v>
      </c>
      <c r="H3263">
        <v>49319311</v>
      </c>
      <c r="I3263">
        <v>12592914</v>
      </c>
      <c r="J3263">
        <v>272312434</v>
      </c>
      <c r="K3263">
        <v>269904327</v>
      </c>
      <c r="L3263">
        <v>146053465</v>
      </c>
      <c r="M3263">
        <v>69438847</v>
      </c>
      <c r="N3263">
        <v>65697095</v>
      </c>
      <c r="O3263">
        <v>68241974</v>
      </c>
      <c r="P3263">
        <v>228</v>
      </c>
      <c r="Q3263" t="s">
        <v>6867</v>
      </c>
    </row>
    <row r="3264" spans="1:17" x14ac:dyDescent="0.3">
      <c r="A3264" t="s">
        <v>4664</v>
      </c>
      <c r="B3264" t="str">
        <f>"002582"</f>
        <v>002582</v>
      </c>
      <c r="C3264" t="s">
        <v>6868</v>
      </c>
      <c r="D3264" t="s">
        <v>3167</v>
      </c>
      <c r="F3264">
        <v>18408856</v>
      </c>
      <c r="G3264">
        <v>2238486243</v>
      </c>
      <c r="H3264">
        <v>130580585</v>
      </c>
      <c r="I3264">
        <v>107701224</v>
      </c>
      <c r="J3264">
        <v>88113812</v>
      </c>
      <c r="K3264">
        <v>14814022</v>
      </c>
      <c r="L3264">
        <v>25351323</v>
      </c>
      <c r="M3264">
        <v>43736879</v>
      </c>
      <c r="N3264">
        <v>85528812</v>
      </c>
      <c r="O3264">
        <v>70641920</v>
      </c>
      <c r="P3264">
        <v>439</v>
      </c>
      <c r="Q3264" t="s">
        <v>6869</v>
      </c>
    </row>
    <row r="3265" spans="1:17" x14ac:dyDescent="0.3">
      <c r="A3265" t="s">
        <v>4664</v>
      </c>
      <c r="B3265" t="str">
        <f>"002583"</f>
        <v>002583</v>
      </c>
      <c r="C3265" t="s">
        <v>6870</v>
      </c>
      <c r="D3265" t="s">
        <v>1019</v>
      </c>
      <c r="F3265">
        <v>-113932224</v>
      </c>
      <c r="G3265">
        <v>209242127</v>
      </c>
      <c r="H3265">
        <v>108839147</v>
      </c>
      <c r="I3265">
        <v>131444676</v>
      </c>
      <c r="J3265">
        <v>51393520</v>
      </c>
      <c r="K3265">
        <v>103722148</v>
      </c>
      <c r="L3265">
        <v>95352603</v>
      </c>
      <c r="M3265">
        <v>-61065326</v>
      </c>
      <c r="N3265">
        <v>19049897</v>
      </c>
      <c r="O3265">
        <v>6400617</v>
      </c>
      <c r="P3265">
        <v>397</v>
      </c>
      <c r="Q3265" t="s">
        <v>6871</v>
      </c>
    </row>
    <row r="3266" spans="1:17" x14ac:dyDescent="0.3">
      <c r="A3266" t="s">
        <v>4664</v>
      </c>
      <c r="B3266" t="str">
        <f>"002584"</f>
        <v>002584</v>
      </c>
      <c r="C3266" t="s">
        <v>6872</v>
      </c>
      <c r="D3266" t="s">
        <v>2399</v>
      </c>
      <c r="F3266">
        <v>156624961</v>
      </c>
      <c r="G3266">
        <v>43257460</v>
      </c>
      <c r="H3266">
        <v>22953203</v>
      </c>
      <c r="I3266">
        <v>76235256</v>
      </c>
      <c r="J3266">
        <v>63053930</v>
      </c>
      <c r="K3266">
        <v>82468671</v>
      </c>
      <c r="L3266">
        <v>73377147</v>
      </c>
      <c r="M3266">
        <v>58665363</v>
      </c>
      <c r="N3266">
        <v>37952138</v>
      </c>
      <c r="O3266">
        <v>52580554</v>
      </c>
      <c r="P3266">
        <v>119</v>
      </c>
      <c r="Q3266" t="s">
        <v>6873</v>
      </c>
    </row>
    <row r="3267" spans="1:17" x14ac:dyDescent="0.3">
      <c r="A3267" t="s">
        <v>4664</v>
      </c>
      <c r="B3267" t="str">
        <f>"002585"</f>
        <v>002585</v>
      </c>
      <c r="C3267" t="s">
        <v>6874</v>
      </c>
      <c r="D3267" t="s">
        <v>324</v>
      </c>
      <c r="F3267">
        <v>973422036</v>
      </c>
      <c r="G3267">
        <v>450448532</v>
      </c>
      <c r="H3267">
        <v>133274015</v>
      </c>
      <c r="I3267">
        <v>261728014</v>
      </c>
      <c r="J3267">
        <v>127541202</v>
      </c>
      <c r="K3267">
        <v>112304015</v>
      </c>
      <c r="L3267">
        <v>100193398</v>
      </c>
      <c r="M3267">
        <v>90921951</v>
      </c>
      <c r="N3267">
        <v>56474487</v>
      </c>
      <c r="O3267">
        <v>101430389</v>
      </c>
      <c r="P3267">
        <v>382</v>
      </c>
      <c r="Q3267" t="s">
        <v>6875</v>
      </c>
    </row>
    <row r="3268" spans="1:17" x14ac:dyDescent="0.3">
      <c r="A3268" t="s">
        <v>4664</v>
      </c>
      <c r="B3268" t="str">
        <f>"002586"</f>
        <v>002586</v>
      </c>
      <c r="C3268" t="s">
        <v>6876</v>
      </c>
      <c r="D3268" t="s">
        <v>101</v>
      </c>
      <c r="F3268">
        <v>29829902</v>
      </c>
      <c r="G3268">
        <v>-118353894</v>
      </c>
      <c r="H3268">
        <v>89669350</v>
      </c>
      <c r="I3268">
        <v>185724243</v>
      </c>
      <c r="J3268">
        <v>62711504</v>
      </c>
      <c r="K3268">
        <v>28104483</v>
      </c>
      <c r="L3268">
        <v>19844840</v>
      </c>
      <c r="M3268">
        <v>51291938</v>
      </c>
      <c r="N3268">
        <v>41202238</v>
      </c>
      <c r="O3268">
        <v>39683185</v>
      </c>
      <c r="P3268">
        <v>62</v>
      </c>
      <c r="Q3268" t="s">
        <v>6877</v>
      </c>
    </row>
    <row r="3269" spans="1:17" x14ac:dyDescent="0.3">
      <c r="A3269" t="s">
        <v>4664</v>
      </c>
      <c r="B3269" t="str">
        <f>"002587"</f>
        <v>002587</v>
      </c>
      <c r="C3269" t="s">
        <v>6878</v>
      </c>
      <c r="D3269" t="s">
        <v>803</v>
      </c>
      <c r="F3269">
        <v>14829417</v>
      </c>
      <c r="G3269">
        <v>23403624</v>
      </c>
      <c r="H3269">
        <v>147931572</v>
      </c>
      <c r="I3269">
        <v>119786866</v>
      </c>
      <c r="J3269">
        <v>87143159</v>
      </c>
      <c r="K3269">
        <v>59449557</v>
      </c>
      <c r="L3269">
        <v>14663846</v>
      </c>
      <c r="M3269">
        <v>47159316</v>
      </c>
      <c r="N3269">
        <v>39310109</v>
      </c>
      <c r="O3269">
        <v>36205182</v>
      </c>
      <c r="P3269">
        <v>142</v>
      </c>
      <c r="Q3269" t="s">
        <v>6879</v>
      </c>
    </row>
    <row r="3270" spans="1:17" x14ac:dyDescent="0.3">
      <c r="A3270" t="s">
        <v>4664</v>
      </c>
      <c r="B3270" t="str">
        <f>"002588"</f>
        <v>002588</v>
      </c>
      <c r="C3270" t="s">
        <v>6880</v>
      </c>
      <c r="D3270" t="s">
        <v>5489</v>
      </c>
      <c r="F3270">
        <v>347299461</v>
      </c>
      <c r="G3270">
        <v>203962881</v>
      </c>
      <c r="H3270">
        <v>117738915</v>
      </c>
      <c r="I3270">
        <v>196529911</v>
      </c>
      <c r="J3270">
        <v>239278717</v>
      </c>
      <c r="K3270">
        <v>462589641</v>
      </c>
      <c r="L3270">
        <v>540068496</v>
      </c>
      <c r="M3270">
        <v>413195291</v>
      </c>
      <c r="N3270">
        <v>335241880</v>
      </c>
      <c r="O3270">
        <v>246070416</v>
      </c>
      <c r="P3270">
        <v>164</v>
      </c>
      <c r="Q3270" t="s">
        <v>6881</v>
      </c>
    </row>
    <row r="3271" spans="1:17" x14ac:dyDescent="0.3">
      <c r="A3271" t="s">
        <v>4664</v>
      </c>
      <c r="B3271" t="str">
        <f>"002589"</f>
        <v>002589</v>
      </c>
      <c r="C3271" t="s">
        <v>6882</v>
      </c>
      <c r="D3271" t="s">
        <v>125</v>
      </c>
      <c r="F3271">
        <v>125494510</v>
      </c>
      <c r="G3271">
        <v>308719150</v>
      </c>
      <c r="H3271">
        <v>578658701</v>
      </c>
      <c r="I3271">
        <v>833380060</v>
      </c>
      <c r="J3271">
        <v>722289667</v>
      </c>
      <c r="K3271">
        <v>372393491</v>
      </c>
      <c r="L3271">
        <v>165884729</v>
      </c>
      <c r="M3271">
        <v>129127468</v>
      </c>
      <c r="N3271">
        <v>99647996</v>
      </c>
      <c r="O3271">
        <v>77002677</v>
      </c>
      <c r="P3271">
        <v>460</v>
      </c>
      <c r="Q3271" t="s">
        <v>6883</v>
      </c>
    </row>
    <row r="3272" spans="1:17" x14ac:dyDescent="0.3">
      <c r="A3272" t="s">
        <v>4664</v>
      </c>
      <c r="B3272" t="str">
        <f>"002590"</f>
        <v>002590</v>
      </c>
      <c r="C3272" t="s">
        <v>6884</v>
      </c>
      <c r="D3272" t="s">
        <v>348</v>
      </c>
      <c r="F3272">
        <v>11189831</v>
      </c>
      <c r="G3272">
        <v>17710424</v>
      </c>
      <c r="H3272">
        <v>26536265</v>
      </c>
      <c r="I3272">
        <v>77427377</v>
      </c>
      <c r="J3272">
        <v>94302352</v>
      </c>
      <c r="K3272">
        <v>80900115</v>
      </c>
      <c r="L3272">
        <v>59603020</v>
      </c>
      <c r="M3272">
        <v>48733033</v>
      </c>
      <c r="N3272">
        <v>15918429</v>
      </c>
      <c r="O3272">
        <v>11563020</v>
      </c>
      <c r="P3272">
        <v>119</v>
      </c>
      <c r="Q3272" t="s">
        <v>6885</v>
      </c>
    </row>
    <row r="3273" spans="1:17" x14ac:dyDescent="0.3">
      <c r="A3273" t="s">
        <v>4664</v>
      </c>
      <c r="B3273" t="str">
        <f>"002591"</f>
        <v>002591</v>
      </c>
      <c r="C3273" t="s">
        <v>6886</v>
      </c>
      <c r="D3273" t="s">
        <v>207</v>
      </c>
      <c r="F3273">
        <v>24945073</v>
      </c>
      <c r="G3273">
        <v>34032817</v>
      </c>
      <c r="H3273">
        <v>83285100</v>
      </c>
      <c r="I3273">
        <v>23372178</v>
      </c>
      <c r="J3273">
        <v>-6141124</v>
      </c>
      <c r="K3273">
        <v>-11543185</v>
      </c>
      <c r="L3273">
        <v>-14750225</v>
      </c>
      <c r="M3273">
        <v>15891545</v>
      </c>
      <c r="N3273">
        <v>28694995</v>
      </c>
      <c r="O3273">
        <v>28183301</v>
      </c>
      <c r="P3273">
        <v>113</v>
      </c>
      <c r="Q3273" t="s">
        <v>6887</v>
      </c>
    </row>
    <row r="3274" spans="1:17" x14ac:dyDescent="0.3">
      <c r="A3274" t="s">
        <v>4664</v>
      </c>
      <c r="B3274" t="str">
        <f>"002592"</f>
        <v>002592</v>
      </c>
      <c r="C3274" t="s">
        <v>6888</v>
      </c>
      <c r="D3274" t="s">
        <v>348</v>
      </c>
      <c r="F3274">
        <v>215176214</v>
      </c>
      <c r="G3274">
        <v>-5297911</v>
      </c>
      <c r="H3274">
        <v>-9614288</v>
      </c>
      <c r="I3274">
        <v>13275272</v>
      </c>
      <c r="J3274">
        <v>102935167</v>
      </c>
      <c r="K3274">
        <v>90739450</v>
      </c>
      <c r="L3274">
        <v>98916246</v>
      </c>
      <c r="M3274">
        <v>68306272</v>
      </c>
      <c r="N3274">
        <v>64891320</v>
      </c>
      <c r="O3274">
        <v>62242846</v>
      </c>
      <c r="P3274">
        <v>76</v>
      </c>
      <c r="Q3274" t="s">
        <v>6889</v>
      </c>
    </row>
    <row r="3275" spans="1:17" x14ac:dyDescent="0.3">
      <c r="A3275" t="s">
        <v>4664</v>
      </c>
      <c r="B3275" t="str">
        <f>"002593"</f>
        <v>002593</v>
      </c>
      <c r="C3275" t="s">
        <v>6890</v>
      </c>
      <c r="D3275" t="s">
        <v>978</v>
      </c>
      <c r="F3275">
        <v>98763603</v>
      </c>
      <c r="G3275">
        <v>68737482</v>
      </c>
      <c r="H3275">
        <v>63499196</v>
      </c>
      <c r="I3275">
        <v>61529865</v>
      </c>
      <c r="J3275">
        <v>44384444</v>
      </c>
      <c r="K3275">
        <v>46213486</v>
      </c>
      <c r="L3275">
        <v>30351660</v>
      </c>
      <c r="M3275">
        <v>31781034</v>
      </c>
      <c r="N3275">
        <v>27782734</v>
      </c>
      <c r="O3275">
        <v>53362337</v>
      </c>
      <c r="P3275">
        <v>88</v>
      </c>
      <c r="Q3275" t="s">
        <v>6891</v>
      </c>
    </row>
    <row r="3276" spans="1:17" x14ac:dyDescent="0.3">
      <c r="A3276" t="s">
        <v>4664</v>
      </c>
      <c r="B3276" t="str">
        <f>"002594"</f>
        <v>002594</v>
      </c>
      <c r="C3276" t="s">
        <v>6892</v>
      </c>
      <c r="D3276" t="s">
        <v>6893</v>
      </c>
      <c r="F3276">
        <v>2443112000</v>
      </c>
      <c r="G3276">
        <v>3413570000</v>
      </c>
      <c r="H3276">
        <v>1574296000</v>
      </c>
      <c r="I3276">
        <v>1527053000</v>
      </c>
      <c r="J3276">
        <v>2791435000</v>
      </c>
      <c r="K3276">
        <v>3664126000</v>
      </c>
      <c r="L3276">
        <v>1961360000</v>
      </c>
      <c r="M3276">
        <v>388909000</v>
      </c>
      <c r="N3276">
        <v>465100000</v>
      </c>
      <c r="O3276">
        <v>20881000</v>
      </c>
      <c r="P3276">
        <v>5218</v>
      </c>
      <c r="Q3276" t="s">
        <v>6894</v>
      </c>
    </row>
    <row r="3277" spans="1:17" x14ac:dyDescent="0.3">
      <c r="A3277" t="s">
        <v>4664</v>
      </c>
      <c r="B3277" t="str">
        <f>"002595"</f>
        <v>002595</v>
      </c>
      <c r="C3277" t="s">
        <v>6895</v>
      </c>
      <c r="D3277" t="s">
        <v>741</v>
      </c>
      <c r="F3277">
        <v>842652581</v>
      </c>
      <c r="G3277">
        <v>800604994</v>
      </c>
      <c r="H3277">
        <v>650430070</v>
      </c>
      <c r="I3277">
        <v>576701016</v>
      </c>
      <c r="J3277">
        <v>538491533</v>
      </c>
      <c r="K3277">
        <v>565749914</v>
      </c>
      <c r="L3277">
        <v>508207557</v>
      </c>
      <c r="M3277">
        <v>381724458</v>
      </c>
      <c r="N3277">
        <v>241635074</v>
      </c>
      <c r="O3277">
        <v>152385912</v>
      </c>
      <c r="P3277">
        <v>4171</v>
      </c>
      <c r="Q3277" t="s">
        <v>6896</v>
      </c>
    </row>
    <row r="3278" spans="1:17" x14ac:dyDescent="0.3">
      <c r="A3278" t="s">
        <v>4664</v>
      </c>
      <c r="B3278" t="str">
        <f>"002596"</f>
        <v>002596</v>
      </c>
      <c r="C3278" t="s">
        <v>6897</v>
      </c>
      <c r="D3278" t="s">
        <v>3071</v>
      </c>
      <c r="F3278">
        <v>-84531481</v>
      </c>
      <c r="G3278">
        <v>30869845</v>
      </c>
      <c r="H3278">
        <v>56586093</v>
      </c>
      <c r="I3278">
        <v>110929515</v>
      </c>
      <c r="J3278">
        <v>105286753</v>
      </c>
      <c r="K3278">
        <v>16516023</v>
      </c>
      <c r="L3278">
        <v>7664284</v>
      </c>
      <c r="M3278">
        <v>16282884</v>
      </c>
      <c r="N3278">
        <v>38551779</v>
      </c>
      <c r="O3278">
        <v>47555160</v>
      </c>
      <c r="P3278">
        <v>100</v>
      </c>
      <c r="Q3278" t="s">
        <v>6898</v>
      </c>
    </row>
    <row r="3279" spans="1:17" x14ac:dyDescent="0.3">
      <c r="A3279" t="s">
        <v>4664</v>
      </c>
      <c r="B3279" t="str">
        <f>"002597"</f>
        <v>002597</v>
      </c>
      <c r="C3279" t="s">
        <v>6899</v>
      </c>
      <c r="D3279" t="s">
        <v>677</v>
      </c>
      <c r="F3279">
        <v>713404102</v>
      </c>
      <c r="G3279">
        <v>533092945</v>
      </c>
      <c r="H3279">
        <v>610913182</v>
      </c>
      <c r="I3279">
        <v>754004991</v>
      </c>
      <c r="J3279">
        <v>699617264</v>
      </c>
      <c r="K3279">
        <v>351550165</v>
      </c>
      <c r="L3279">
        <v>163837028</v>
      </c>
      <c r="M3279">
        <v>131890043</v>
      </c>
      <c r="N3279">
        <v>119906153</v>
      </c>
      <c r="O3279">
        <v>118284583</v>
      </c>
      <c r="P3279">
        <v>1878</v>
      </c>
      <c r="Q3279" t="s">
        <v>6900</v>
      </c>
    </row>
    <row r="3280" spans="1:17" x14ac:dyDescent="0.3">
      <c r="A3280" t="s">
        <v>4664</v>
      </c>
      <c r="B3280" t="str">
        <f>"002598"</f>
        <v>002598</v>
      </c>
      <c r="C3280" t="s">
        <v>6901</v>
      </c>
      <c r="D3280" t="s">
        <v>560</v>
      </c>
      <c r="F3280">
        <v>97690706</v>
      </c>
      <c r="G3280">
        <v>78512773</v>
      </c>
      <c r="H3280">
        <v>69555486</v>
      </c>
      <c r="I3280">
        <v>62600417</v>
      </c>
      <c r="J3280">
        <v>51356785</v>
      </c>
      <c r="K3280">
        <v>42319014</v>
      </c>
      <c r="L3280">
        <v>42890931</v>
      </c>
      <c r="M3280">
        <v>59208987</v>
      </c>
      <c r="N3280">
        <v>57841536</v>
      </c>
      <c r="O3280">
        <v>66902964</v>
      </c>
      <c r="P3280">
        <v>88</v>
      </c>
      <c r="Q3280" t="s">
        <v>6902</v>
      </c>
    </row>
    <row r="3281" spans="1:17" x14ac:dyDescent="0.3">
      <c r="A3281" t="s">
        <v>4664</v>
      </c>
      <c r="B3281" t="str">
        <f>"002599"</f>
        <v>002599</v>
      </c>
      <c r="C3281" t="s">
        <v>6903</v>
      </c>
      <c r="D3281" t="s">
        <v>1692</v>
      </c>
      <c r="F3281">
        <v>70443179</v>
      </c>
      <c r="G3281">
        <v>23652067</v>
      </c>
      <c r="H3281">
        <v>78647004</v>
      </c>
      <c r="I3281">
        <v>72289504</v>
      </c>
      <c r="J3281">
        <v>51199926</v>
      </c>
      <c r="K3281">
        <v>19862027</v>
      </c>
      <c r="L3281">
        <v>15459981</v>
      </c>
      <c r="M3281">
        <v>13241204</v>
      </c>
      <c r="N3281">
        <v>14275904</v>
      </c>
      <c r="O3281">
        <v>23617007</v>
      </c>
      <c r="P3281">
        <v>87</v>
      </c>
      <c r="Q3281" t="s">
        <v>6904</v>
      </c>
    </row>
    <row r="3282" spans="1:17" x14ac:dyDescent="0.3">
      <c r="A3282" t="s">
        <v>4664</v>
      </c>
      <c r="B3282" t="str">
        <f>"002600"</f>
        <v>002600</v>
      </c>
      <c r="C3282" t="s">
        <v>6905</v>
      </c>
      <c r="D3282" t="s">
        <v>313</v>
      </c>
      <c r="F3282">
        <v>1269514536</v>
      </c>
      <c r="G3282">
        <v>1441847270</v>
      </c>
      <c r="H3282">
        <v>2099319006</v>
      </c>
      <c r="I3282">
        <v>-351868052</v>
      </c>
      <c r="J3282">
        <v>230553159</v>
      </c>
      <c r="K3282">
        <v>166657490</v>
      </c>
      <c r="L3282">
        <v>17649056</v>
      </c>
      <c r="M3282">
        <v>-18125043</v>
      </c>
      <c r="N3282">
        <v>10449898</v>
      </c>
      <c r="O3282">
        <v>51943654</v>
      </c>
      <c r="P3282">
        <v>877</v>
      </c>
      <c r="Q3282" t="s">
        <v>6906</v>
      </c>
    </row>
    <row r="3283" spans="1:17" x14ac:dyDescent="0.3">
      <c r="A3283" t="s">
        <v>4664</v>
      </c>
      <c r="B3283" t="str">
        <f>"002601"</f>
        <v>002601</v>
      </c>
      <c r="C3283" t="s">
        <v>6907</v>
      </c>
      <c r="D3283" t="s">
        <v>1474</v>
      </c>
      <c r="F3283">
        <v>3830823025</v>
      </c>
      <c r="G3283">
        <v>1949734253</v>
      </c>
      <c r="H3283">
        <v>2065905536</v>
      </c>
      <c r="I3283">
        <v>1970484018</v>
      </c>
      <c r="J3283">
        <v>1920736173</v>
      </c>
      <c r="K3283">
        <v>119483209</v>
      </c>
      <c r="L3283">
        <v>58669915</v>
      </c>
      <c r="M3283">
        <v>25832255</v>
      </c>
      <c r="N3283">
        <v>10458640</v>
      </c>
      <c r="O3283">
        <v>184400015</v>
      </c>
      <c r="P3283">
        <v>1262</v>
      </c>
      <c r="Q3283" t="s">
        <v>6908</v>
      </c>
    </row>
    <row r="3284" spans="1:17" x14ac:dyDescent="0.3">
      <c r="A3284" t="s">
        <v>4664</v>
      </c>
      <c r="B3284" t="str">
        <f>"002602"</f>
        <v>002602</v>
      </c>
      <c r="C3284" t="s">
        <v>6909</v>
      </c>
      <c r="D3284" t="s">
        <v>517</v>
      </c>
      <c r="F3284">
        <v>2729001690</v>
      </c>
      <c r="G3284">
        <v>2445846880</v>
      </c>
      <c r="H3284">
        <v>2009214023</v>
      </c>
      <c r="I3284">
        <v>879753502</v>
      </c>
      <c r="J3284">
        <v>714680970</v>
      </c>
      <c r="K3284">
        <v>392677407</v>
      </c>
      <c r="L3284">
        <v>274460341</v>
      </c>
      <c r="M3284">
        <v>91865498</v>
      </c>
      <c r="N3284">
        <v>62646919</v>
      </c>
      <c r="O3284">
        <v>86418506</v>
      </c>
      <c r="P3284">
        <v>718</v>
      </c>
      <c r="Q3284" t="s">
        <v>6910</v>
      </c>
    </row>
    <row r="3285" spans="1:17" x14ac:dyDescent="0.3">
      <c r="A3285" t="s">
        <v>4664</v>
      </c>
      <c r="B3285" t="str">
        <f>"002603"</f>
        <v>002603</v>
      </c>
      <c r="C3285" t="s">
        <v>6911</v>
      </c>
      <c r="D3285" t="s">
        <v>188</v>
      </c>
      <c r="F3285">
        <v>1223666291</v>
      </c>
      <c r="G3285">
        <v>1016119194</v>
      </c>
      <c r="H3285">
        <v>574927125</v>
      </c>
      <c r="I3285">
        <v>561809988</v>
      </c>
      <c r="J3285">
        <v>449396310</v>
      </c>
      <c r="K3285">
        <v>435267078</v>
      </c>
      <c r="L3285">
        <v>330778007</v>
      </c>
      <c r="M3285">
        <v>290360676</v>
      </c>
      <c r="N3285">
        <v>222957599</v>
      </c>
      <c r="O3285">
        <v>160463920</v>
      </c>
      <c r="P3285">
        <v>833</v>
      </c>
      <c r="Q3285" t="s">
        <v>6912</v>
      </c>
    </row>
    <row r="3286" spans="1:17" x14ac:dyDescent="0.3">
      <c r="A3286" t="s">
        <v>4664</v>
      </c>
      <c r="B3286" t="str">
        <f>"002604"</f>
        <v>002604</v>
      </c>
      <c r="C3286" t="s">
        <v>6913</v>
      </c>
      <c r="H3286">
        <v>-321165274</v>
      </c>
      <c r="I3286">
        <v>-253474358</v>
      </c>
      <c r="J3286">
        <v>116282282</v>
      </c>
      <c r="K3286">
        <v>97099089</v>
      </c>
      <c r="L3286">
        <v>52140150</v>
      </c>
      <c r="M3286">
        <v>87322952</v>
      </c>
      <c r="N3286">
        <v>56743141</v>
      </c>
      <c r="O3286">
        <v>61120139</v>
      </c>
      <c r="P3286">
        <v>49</v>
      </c>
      <c r="Q3286" t="s">
        <v>6914</v>
      </c>
    </row>
    <row r="3287" spans="1:17" x14ac:dyDescent="0.3">
      <c r="A3287" t="s">
        <v>4664</v>
      </c>
      <c r="B3287" t="str">
        <f>"002605"</f>
        <v>002605</v>
      </c>
      <c r="C3287" t="s">
        <v>6915</v>
      </c>
      <c r="D3287" t="s">
        <v>517</v>
      </c>
      <c r="F3287">
        <v>460427975</v>
      </c>
      <c r="G3287">
        <v>984978324</v>
      </c>
      <c r="H3287">
        <v>264533395</v>
      </c>
      <c r="I3287">
        <v>76837269</v>
      </c>
      <c r="J3287">
        <v>51328263</v>
      </c>
      <c r="K3287">
        <v>69760666</v>
      </c>
      <c r="L3287">
        <v>80379112</v>
      </c>
      <c r="M3287">
        <v>93814314</v>
      </c>
      <c r="N3287">
        <v>83114514</v>
      </c>
      <c r="O3287">
        <v>69661210</v>
      </c>
      <c r="P3287">
        <v>432</v>
      </c>
      <c r="Q3287" t="s">
        <v>6916</v>
      </c>
    </row>
    <row r="3288" spans="1:17" x14ac:dyDescent="0.3">
      <c r="A3288" t="s">
        <v>4664</v>
      </c>
      <c r="B3288" t="str">
        <f>"002606"</f>
        <v>002606</v>
      </c>
      <c r="C3288" t="s">
        <v>6917</v>
      </c>
      <c r="D3288" t="s">
        <v>1164</v>
      </c>
      <c r="F3288">
        <v>147899837</v>
      </c>
      <c r="G3288">
        <v>103989728</v>
      </c>
      <c r="H3288">
        <v>43972188</v>
      </c>
      <c r="I3288">
        <v>-6764811</v>
      </c>
      <c r="J3288">
        <v>59557511</v>
      </c>
      <c r="K3288">
        <v>65442366</v>
      </c>
      <c r="L3288">
        <v>17259005</v>
      </c>
      <c r="M3288">
        <v>16536342</v>
      </c>
      <c r="N3288">
        <v>19109798</v>
      </c>
      <c r="O3288">
        <v>13199774</v>
      </c>
      <c r="P3288">
        <v>160</v>
      </c>
      <c r="Q3288" t="s">
        <v>6918</v>
      </c>
    </row>
    <row r="3289" spans="1:17" x14ac:dyDescent="0.3">
      <c r="A3289" t="s">
        <v>4664</v>
      </c>
      <c r="B3289" t="str">
        <f>"002607"</f>
        <v>002607</v>
      </c>
      <c r="C3289" t="s">
        <v>6919</v>
      </c>
      <c r="D3289" t="s">
        <v>1336</v>
      </c>
      <c r="F3289">
        <v>-890898144</v>
      </c>
      <c r="G3289">
        <v>1320893510</v>
      </c>
      <c r="H3289">
        <v>958863121</v>
      </c>
      <c r="I3289">
        <v>40365335</v>
      </c>
      <c r="J3289">
        <v>55460876</v>
      </c>
      <c r="K3289">
        <v>54512392</v>
      </c>
      <c r="L3289">
        <v>4172401</v>
      </c>
      <c r="M3289">
        <v>5835758</v>
      </c>
      <c r="N3289">
        <v>52852078</v>
      </c>
      <c r="O3289">
        <v>65943786</v>
      </c>
      <c r="P3289">
        <v>1791</v>
      </c>
      <c r="Q3289" t="s">
        <v>6920</v>
      </c>
    </row>
    <row r="3290" spans="1:17" x14ac:dyDescent="0.3">
      <c r="A3290" t="s">
        <v>4664</v>
      </c>
      <c r="B3290" t="str">
        <f>"002608"</f>
        <v>002608</v>
      </c>
      <c r="C3290" t="s">
        <v>6921</v>
      </c>
      <c r="D3290" t="s">
        <v>41</v>
      </c>
      <c r="F3290">
        <v>1183826227</v>
      </c>
      <c r="G3290">
        <v>1765208828</v>
      </c>
      <c r="H3290">
        <v>1968133042</v>
      </c>
      <c r="I3290">
        <v>1583033442</v>
      </c>
      <c r="J3290">
        <v>1414925921</v>
      </c>
      <c r="K3290">
        <v>-1040253434</v>
      </c>
      <c r="L3290">
        <v>-763598791</v>
      </c>
      <c r="M3290">
        <v>41680112</v>
      </c>
      <c r="N3290">
        <v>102148175</v>
      </c>
      <c r="O3290">
        <v>56705609</v>
      </c>
      <c r="P3290">
        <v>138</v>
      </c>
      <c r="Q3290" t="s">
        <v>6922</v>
      </c>
    </row>
    <row r="3291" spans="1:17" x14ac:dyDescent="0.3">
      <c r="A3291" t="s">
        <v>4664</v>
      </c>
      <c r="B3291" t="str">
        <f>"002609"</f>
        <v>002609</v>
      </c>
      <c r="C3291" t="s">
        <v>6923</v>
      </c>
      <c r="D3291" t="s">
        <v>316</v>
      </c>
      <c r="F3291">
        <v>67247250</v>
      </c>
      <c r="G3291">
        <v>62656724</v>
      </c>
      <c r="H3291">
        <v>70003725</v>
      </c>
      <c r="I3291">
        <v>49712127</v>
      </c>
      <c r="J3291">
        <v>121861796</v>
      </c>
      <c r="K3291">
        <v>108701821</v>
      </c>
      <c r="L3291">
        <v>79766468</v>
      </c>
      <c r="M3291">
        <v>58210608</v>
      </c>
      <c r="N3291">
        <v>43608523</v>
      </c>
      <c r="O3291">
        <v>30675499</v>
      </c>
      <c r="P3291">
        <v>212</v>
      </c>
      <c r="Q3291" t="s">
        <v>6924</v>
      </c>
    </row>
    <row r="3292" spans="1:17" x14ac:dyDescent="0.3">
      <c r="A3292" t="s">
        <v>4664</v>
      </c>
      <c r="B3292" t="str">
        <f>"002610"</f>
        <v>002610</v>
      </c>
      <c r="C3292" t="s">
        <v>6925</v>
      </c>
      <c r="D3292" t="s">
        <v>478</v>
      </c>
      <c r="F3292">
        <v>-120004284</v>
      </c>
      <c r="G3292">
        <v>11929925</v>
      </c>
      <c r="H3292">
        <v>55880609</v>
      </c>
      <c r="I3292">
        <v>134128666</v>
      </c>
      <c r="J3292">
        <v>154796127</v>
      </c>
      <c r="K3292">
        <v>83928283</v>
      </c>
      <c r="L3292">
        <v>96936516</v>
      </c>
      <c r="M3292">
        <v>80508400</v>
      </c>
      <c r="N3292">
        <v>7476095</v>
      </c>
      <c r="O3292">
        <v>-31671677</v>
      </c>
      <c r="P3292">
        <v>301</v>
      </c>
      <c r="Q3292" t="s">
        <v>6926</v>
      </c>
    </row>
    <row r="3293" spans="1:17" x14ac:dyDescent="0.3">
      <c r="A3293" t="s">
        <v>4664</v>
      </c>
      <c r="B3293" t="str">
        <f>"002611"</f>
        <v>002611</v>
      </c>
      <c r="C3293" t="s">
        <v>6927</v>
      </c>
      <c r="D3293" t="s">
        <v>3388</v>
      </c>
      <c r="F3293">
        <v>320871722</v>
      </c>
      <c r="G3293">
        <v>225718052</v>
      </c>
      <c r="H3293">
        <v>395182302</v>
      </c>
      <c r="I3293">
        <v>346030254</v>
      </c>
      <c r="J3293">
        <v>204637370</v>
      </c>
      <c r="K3293">
        <v>72406957</v>
      </c>
      <c r="L3293">
        <v>36537798</v>
      </c>
      <c r="M3293">
        <v>60537801</v>
      </c>
      <c r="N3293">
        <v>40329092</v>
      </c>
      <c r="O3293">
        <v>55401025</v>
      </c>
      <c r="P3293">
        <v>208</v>
      </c>
      <c r="Q3293" t="s">
        <v>6928</v>
      </c>
    </row>
    <row r="3294" spans="1:17" x14ac:dyDescent="0.3">
      <c r="A3294" t="s">
        <v>4664</v>
      </c>
      <c r="B3294" t="str">
        <f>"002612"</f>
        <v>002612</v>
      </c>
      <c r="C3294" t="s">
        <v>6929</v>
      </c>
      <c r="D3294" t="s">
        <v>255</v>
      </c>
      <c r="F3294">
        <v>158205324</v>
      </c>
      <c r="G3294">
        <v>49993655</v>
      </c>
      <c r="H3294">
        <v>157113034</v>
      </c>
      <c r="I3294">
        <v>184654872</v>
      </c>
      <c r="J3294">
        <v>102254450</v>
      </c>
      <c r="K3294">
        <v>82438012</v>
      </c>
      <c r="L3294">
        <v>48013032</v>
      </c>
      <c r="M3294">
        <v>88064147</v>
      </c>
      <c r="N3294">
        <v>211575430</v>
      </c>
      <c r="O3294">
        <v>207866389</v>
      </c>
      <c r="P3294">
        <v>370</v>
      </c>
      <c r="Q3294" t="s">
        <v>6930</v>
      </c>
    </row>
    <row r="3295" spans="1:17" x14ac:dyDescent="0.3">
      <c r="A3295" t="s">
        <v>4664</v>
      </c>
      <c r="B3295" t="str">
        <f>"002613"</f>
        <v>002613</v>
      </c>
      <c r="C3295" t="s">
        <v>6931</v>
      </c>
      <c r="D3295" t="s">
        <v>666</v>
      </c>
      <c r="F3295">
        <v>20829464</v>
      </c>
      <c r="G3295">
        <v>15362780</v>
      </c>
      <c r="H3295">
        <v>9403892</v>
      </c>
      <c r="I3295">
        <v>77958150</v>
      </c>
      <c r="J3295">
        <v>-25347004</v>
      </c>
      <c r="K3295">
        <v>19739603</v>
      </c>
      <c r="L3295">
        <v>26478304</v>
      </c>
      <c r="M3295">
        <v>23702262</v>
      </c>
      <c r="N3295">
        <v>48485800</v>
      </c>
      <c r="O3295">
        <v>41178388</v>
      </c>
      <c r="P3295">
        <v>90</v>
      </c>
      <c r="Q3295" t="s">
        <v>6932</v>
      </c>
    </row>
    <row r="3296" spans="1:17" x14ac:dyDescent="0.3">
      <c r="A3296" t="s">
        <v>4664</v>
      </c>
      <c r="B3296" t="str">
        <f>"002614"</f>
        <v>002614</v>
      </c>
      <c r="C3296" t="s">
        <v>6933</v>
      </c>
      <c r="D3296" t="s">
        <v>3015</v>
      </c>
      <c r="F3296">
        <v>311398308</v>
      </c>
      <c r="G3296">
        <v>327163421</v>
      </c>
      <c r="H3296">
        <v>206166738</v>
      </c>
      <c r="I3296">
        <v>309062377</v>
      </c>
      <c r="J3296">
        <v>210186427</v>
      </c>
      <c r="K3296">
        <v>148384875</v>
      </c>
      <c r="L3296">
        <v>118965850</v>
      </c>
      <c r="M3296">
        <v>110843833</v>
      </c>
      <c r="N3296">
        <v>74514003</v>
      </c>
      <c r="O3296">
        <v>28888381</v>
      </c>
      <c r="P3296">
        <v>525</v>
      </c>
      <c r="Q3296" t="s">
        <v>6934</v>
      </c>
    </row>
    <row r="3297" spans="1:17" x14ac:dyDescent="0.3">
      <c r="A3297" t="s">
        <v>4664</v>
      </c>
      <c r="B3297" t="str">
        <f>"002615"</f>
        <v>002615</v>
      </c>
      <c r="C3297" t="s">
        <v>6935</v>
      </c>
      <c r="D3297" t="s">
        <v>2436</v>
      </c>
      <c r="F3297">
        <v>91835160</v>
      </c>
      <c r="G3297">
        <v>-13914630</v>
      </c>
      <c r="H3297">
        <v>90811528</v>
      </c>
      <c r="I3297">
        <v>81943486</v>
      </c>
      <c r="J3297">
        <v>106149474</v>
      </c>
      <c r="K3297">
        <v>84795180</v>
      </c>
      <c r="L3297">
        <v>28371227</v>
      </c>
      <c r="M3297">
        <v>56672591</v>
      </c>
      <c r="N3297">
        <v>43426691</v>
      </c>
      <c r="O3297">
        <v>27295079</v>
      </c>
      <c r="P3297">
        <v>178</v>
      </c>
      <c r="Q3297" t="s">
        <v>6936</v>
      </c>
    </row>
    <row r="3298" spans="1:17" x14ac:dyDescent="0.3">
      <c r="A3298" t="s">
        <v>4664</v>
      </c>
      <c r="B3298" t="str">
        <f>"002616"</f>
        <v>002616</v>
      </c>
      <c r="C3298" t="s">
        <v>6937</v>
      </c>
      <c r="D3298" t="s">
        <v>6938</v>
      </c>
      <c r="F3298">
        <v>31231162</v>
      </c>
      <c r="G3298">
        <v>262923228</v>
      </c>
      <c r="H3298">
        <v>193432184</v>
      </c>
      <c r="I3298">
        <v>97170827</v>
      </c>
      <c r="J3298">
        <v>71059713</v>
      </c>
      <c r="K3298">
        <v>103761650</v>
      </c>
      <c r="L3298">
        <v>80910479</v>
      </c>
      <c r="M3298">
        <v>56422803</v>
      </c>
      <c r="N3298">
        <v>39782033</v>
      </c>
      <c r="O3298">
        <v>34920010</v>
      </c>
      <c r="P3298">
        <v>202</v>
      </c>
      <c r="Q3298" t="s">
        <v>6939</v>
      </c>
    </row>
    <row r="3299" spans="1:17" x14ac:dyDescent="0.3">
      <c r="A3299" t="s">
        <v>4664</v>
      </c>
      <c r="B3299" t="str">
        <f>"002617"</f>
        <v>002617</v>
      </c>
      <c r="C3299" t="s">
        <v>6940</v>
      </c>
      <c r="D3299" t="s">
        <v>86</v>
      </c>
      <c r="F3299">
        <v>165348527</v>
      </c>
      <c r="G3299">
        <v>190977917</v>
      </c>
      <c r="H3299">
        <v>221966910</v>
      </c>
      <c r="I3299">
        <v>162775261</v>
      </c>
      <c r="J3299">
        <v>233519812</v>
      </c>
      <c r="K3299">
        <v>48390582</v>
      </c>
      <c r="L3299">
        <v>51620390</v>
      </c>
      <c r="M3299">
        <v>5440952</v>
      </c>
      <c r="N3299">
        <v>34092410</v>
      </c>
      <c r="O3299">
        <v>26023928</v>
      </c>
      <c r="P3299">
        <v>321</v>
      </c>
      <c r="Q3299" t="s">
        <v>6941</v>
      </c>
    </row>
    <row r="3300" spans="1:17" x14ac:dyDescent="0.3">
      <c r="A3300" t="s">
        <v>4664</v>
      </c>
      <c r="B3300" t="str">
        <f>"002618"</f>
        <v>002618</v>
      </c>
      <c r="C3300" t="s">
        <v>6942</v>
      </c>
      <c r="D3300" t="s">
        <v>425</v>
      </c>
      <c r="F3300">
        <v>-171375793</v>
      </c>
      <c r="G3300">
        <v>-5113464</v>
      </c>
      <c r="H3300">
        <v>23456024</v>
      </c>
      <c r="I3300">
        <v>25132503</v>
      </c>
      <c r="J3300">
        <v>16775514</v>
      </c>
      <c r="K3300">
        <v>16323288</v>
      </c>
      <c r="L3300">
        <v>52074598</v>
      </c>
      <c r="M3300">
        <v>56735528</v>
      </c>
      <c r="N3300">
        <v>36078289</v>
      </c>
      <c r="O3300">
        <v>43346487</v>
      </c>
      <c r="P3300">
        <v>135</v>
      </c>
      <c r="Q3300" t="s">
        <v>6943</v>
      </c>
    </row>
    <row r="3301" spans="1:17" x14ac:dyDescent="0.3">
      <c r="A3301" t="s">
        <v>4664</v>
      </c>
      <c r="B3301" t="str">
        <f>"002619"</f>
        <v>002619</v>
      </c>
      <c r="C3301" t="s">
        <v>6944</v>
      </c>
      <c r="D3301" t="s">
        <v>517</v>
      </c>
      <c r="F3301">
        <v>-78896346</v>
      </c>
      <c r="G3301">
        <v>33814932</v>
      </c>
      <c r="H3301">
        <v>241289358</v>
      </c>
      <c r="I3301">
        <v>350272512</v>
      </c>
      <c r="J3301">
        <v>235733236</v>
      </c>
      <c r="K3301">
        <v>123219187</v>
      </c>
      <c r="L3301">
        <v>109699791</v>
      </c>
      <c r="M3301">
        <v>10305022</v>
      </c>
      <c r="N3301">
        <v>19144863</v>
      </c>
      <c r="O3301">
        <v>11742554</v>
      </c>
      <c r="P3301">
        <v>124</v>
      </c>
      <c r="Q3301" t="s">
        <v>6945</v>
      </c>
    </row>
    <row r="3302" spans="1:17" x14ac:dyDescent="0.3">
      <c r="A3302" t="s">
        <v>4664</v>
      </c>
      <c r="B3302" t="str">
        <f>"002620"</f>
        <v>002620</v>
      </c>
      <c r="C3302" t="s">
        <v>6946</v>
      </c>
      <c r="D3302" t="s">
        <v>450</v>
      </c>
      <c r="F3302">
        <v>16307390</v>
      </c>
      <c r="G3302">
        <v>122786367</v>
      </c>
      <c r="H3302">
        <v>141051418</v>
      </c>
      <c r="I3302">
        <v>122885884</v>
      </c>
      <c r="J3302">
        <v>100150046</v>
      </c>
      <c r="K3302">
        <v>75326040</v>
      </c>
      <c r="L3302">
        <v>53259680</v>
      </c>
      <c r="M3302">
        <v>45027994</v>
      </c>
      <c r="N3302">
        <v>69201535</v>
      </c>
      <c r="O3302">
        <v>62831194</v>
      </c>
      <c r="P3302">
        <v>90</v>
      </c>
      <c r="Q3302" t="s">
        <v>6947</v>
      </c>
    </row>
    <row r="3303" spans="1:17" x14ac:dyDescent="0.3">
      <c r="A3303" t="s">
        <v>4664</v>
      </c>
      <c r="B3303" t="str">
        <f>"002621"</f>
        <v>002621</v>
      </c>
      <c r="C3303" t="s">
        <v>6948</v>
      </c>
      <c r="D3303" t="s">
        <v>1336</v>
      </c>
      <c r="F3303">
        <v>37939959</v>
      </c>
      <c r="G3303">
        <v>102078300</v>
      </c>
      <c r="H3303">
        <v>83455783</v>
      </c>
      <c r="I3303">
        <v>13394439</v>
      </c>
      <c r="J3303">
        <v>26453234</v>
      </c>
      <c r="K3303">
        <v>21054623</v>
      </c>
      <c r="L3303">
        <v>39824041</v>
      </c>
      <c r="M3303">
        <v>46129758</v>
      </c>
      <c r="N3303">
        <v>48162761</v>
      </c>
      <c r="O3303">
        <v>43011150</v>
      </c>
      <c r="P3303">
        <v>143</v>
      </c>
      <c r="Q3303" t="s">
        <v>6949</v>
      </c>
    </row>
    <row r="3304" spans="1:17" x14ac:dyDescent="0.3">
      <c r="A3304" t="s">
        <v>4664</v>
      </c>
      <c r="B3304" t="str">
        <f>"002622"</f>
        <v>002622</v>
      </c>
      <c r="C3304" t="s">
        <v>6950</v>
      </c>
      <c r="D3304" t="s">
        <v>210</v>
      </c>
      <c r="F3304">
        <v>1190683</v>
      </c>
      <c r="G3304">
        <v>-27711292</v>
      </c>
      <c r="H3304">
        <v>-14487380</v>
      </c>
      <c r="I3304">
        <v>19562486</v>
      </c>
      <c r="J3304">
        <v>31319587</v>
      </c>
      <c r="K3304">
        <v>27863383</v>
      </c>
      <c r="L3304">
        <v>57819586</v>
      </c>
      <c r="M3304">
        <v>26124150</v>
      </c>
      <c r="N3304">
        <v>33031838</v>
      </c>
      <c r="O3304">
        <v>43849766</v>
      </c>
      <c r="P3304">
        <v>120</v>
      </c>
      <c r="Q3304" t="s">
        <v>6951</v>
      </c>
    </row>
    <row r="3305" spans="1:17" x14ac:dyDescent="0.3">
      <c r="A3305" t="s">
        <v>4664</v>
      </c>
      <c r="B3305" t="str">
        <f>"002623"</f>
        <v>002623</v>
      </c>
      <c r="C3305" t="s">
        <v>6952</v>
      </c>
      <c r="D3305" t="s">
        <v>478</v>
      </c>
      <c r="F3305">
        <v>40475827</v>
      </c>
      <c r="G3305">
        <v>71884560</v>
      </c>
      <c r="H3305">
        <v>1733487</v>
      </c>
      <c r="I3305">
        <v>64241028</v>
      </c>
      <c r="J3305">
        <v>9032020</v>
      </c>
      <c r="K3305">
        <v>45484696</v>
      </c>
      <c r="L3305">
        <v>65472662</v>
      </c>
      <c r="M3305">
        <v>23473409</v>
      </c>
      <c r="N3305">
        <v>45954603</v>
      </c>
      <c r="O3305">
        <v>57390867</v>
      </c>
      <c r="P3305">
        <v>172</v>
      </c>
      <c r="Q3305" t="s">
        <v>6953</v>
      </c>
    </row>
    <row r="3306" spans="1:17" x14ac:dyDescent="0.3">
      <c r="A3306" t="s">
        <v>4664</v>
      </c>
      <c r="B3306" t="str">
        <f>"002624"</f>
        <v>002624</v>
      </c>
      <c r="C3306" t="s">
        <v>6954</v>
      </c>
      <c r="D3306" t="s">
        <v>517</v>
      </c>
      <c r="F3306">
        <v>799916206</v>
      </c>
      <c r="G3306">
        <v>1806569197</v>
      </c>
      <c r="H3306">
        <v>1475521310</v>
      </c>
      <c r="I3306">
        <v>1317396331</v>
      </c>
      <c r="J3306">
        <v>1078235519</v>
      </c>
      <c r="K3306">
        <v>717415532</v>
      </c>
      <c r="L3306">
        <v>81327065</v>
      </c>
      <c r="M3306">
        <v>-26943765</v>
      </c>
      <c r="N3306">
        <v>15423731</v>
      </c>
      <c r="O3306">
        <v>27678089</v>
      </c>
      <c r="P3306">
        <v>2399</v>
      </c>
      <c r="Q3306" t="s">
        <v>6955</v>
      </c>
    </row>
    <row r="3307" spans="1:17" x14ac:dyDescent="0.3">
      <c r="A3307" t="s">
        <v>4664</v>
      </c>
      <c r="B3307" t="str">
        <f>"002625"</f>
        <v>002625</v>
      </c>
      <c r="C3307" t="s">
        <v>6956</v>
      </c>
      <c r="D3307" t="s">
        <v>98</v>
      </c>
      <c r="F3307">
        <v>120506543</v>
      </c>
      <c r="G3307">
        <v>101936635</v>
      </c>
      <c r="H3307">
        <v>77042221</v>
      </c>
      <c r="I3307">
        <v>33044317</v>
      </c>
      <c r="J3307">
        <v>73424850</v>
      </c>
      <c r="K3307">
        <v>37482194</v>
      </c>
      <c r="L3307">
        <v>28036762</v>
      </c>
      <c r="M3307">
        <v>29147014</v>
      </c>
      <c r="N3307">
        <v>27300571</v>
      </c>
      <c r="O3307">
        <v>26174261</v>
      </c>
      <c r="P3307">
        <v>259</v>
      </c>
      <c r="Q3307" t="s">
        <v>6957</v>
      </c>
    </row>
    <row r="3308" spans="1:17" x14ac:dyDescent="0.3">
      <c r="A3308" t="s">
        <v>4664</v>
      </c>
      <c r="B3308" t="str">
        <f>"002626"</f>
        <v>002626</v>
      </c>
      <c r="C3308" t="s">
        <v>6958</v>
      </c>
      <c r="D3308" t="s">
        <v>838</v>
      </c>
      <c r="F3308">
        <v>665287077</v>
      </c>
      <c r="G3308">
        <v>794268002</v>
      </c>
      <c r="H3308">
        <v>528072042</v>
      </c>
      <c r="I3308">
        <v>650977190</v>
      </c>
      <c r="J3308">
        <v>240318709</v>
      </c>
      <c r="K3308">
        <v>195518601</v>
      </c>
      <c r="L3308">
        <v>111639852</v>
      </c>
      <c r="M3308">
        <v>147159696</v>
      </c>
      <c r="N3308">
        <v>65196142</v>
      </c>
      <c r="O3308">
        <v>84589786</v>
      </c>
      <c r="P3308">
        <v>1113</v>
      </c>
      <c r="Q3308" t="s">
        <v>6959</v>
      </c>
    </row>
    <row r="3309" spans="1:17" x14ac:dyDescent="0.3">
      <c r="A3309" t="s">
        <v>4664</v>
      </c>
      <c r="B3309" t="str">
        <f>"002627"</f>
        <v>002627</v>
      </c>
      <c r="C3309" t="s">
        <v>6960</v>
      </c>
      <c r="D3309" t="s">
        <v>1133</v>
      </c>
      <c r="F3309">
        <v>66334092</v>
      </c>
      <c r="G3309">
        <v>6379454</v>
      </c>
      <c r="H3309">
        <v>109322047</v>
      </c>
      <c r="I3309">
        <v>84458352</v>
      </c>
      <c r="J3309">
        <v>95692112</v>
      </c>
      <c r="K3309">
        <v>43110712</v>
      </c>
      <c r="L3309">
        <v>39430192</v>
      </c>
      <c r="M3309">
        <v>51530368</v>
      </c>
      <c r="N3309">
        <v>49353431</v>
      </c>
      <c r="O3309">
        <v>71761795</v>
      </c>
      <c r="P3309">
        <v>99</v>
      </c>
      <c r="Q3309" t="s">
        <v>6961</v>
      </c>
    </row>
    <row r="3310" spans="1:17" x14ac:dyDescent="0.3">
      <c r="A3310" t="s">
        <v>4664</v>
      </c>
      <c r="B3310" t="str">
        <f>"002628"</f>
        <v>002628</v>
      </c>
      <c r="C3310" t="s">
        <v>6962</v>
      </c>
      <c r="D3310" t="s">
        <v>101</v>
      </c>
      <c r="F3310">
        <v>59956030</v>
      </c>
      <c r="G3310">
        <v>58907485</v>
      </c>
      <c r="H3310">
        <v>32163292</v>
      </c>
      <c r="I3310">
        <v>16536413</v>
      </c>
      <c r="J3310">
        <v>17000622</v>
      </c>
      <c r="K3310">
        <v>16404485</v>
      </c>
      <c r="L3310">
        <v>26923730</v>
      </c>
      <c r="M3310">
        <v>110337800</v>
      </c>
      <c r="N3310">
        <v>262704923</v>
      </c>
      <c r="O3310">
        <v>156817184</v>
      </c>
      <c r="P3310">
        <v>91</v>
      </c>
      <c r="Q3310" t="s">
        <v>6963</v>
      </c>
    </row>
    <row r="3311" spans="1:17" x14ac:dyDescent="0.3">
      <c r="A3311" t="s">
        <v>4664</v>
      </c>
      <c r="B3311" t="str">
        <f>"002629"</f>
        <v>002629</v>
      </c>
      <c r="C3311" t="s">
        <v>6964</v>
      </c>
      <c r="D3311" t="s">
        <v>1758</v>
      </c>
      <c r="F3311">
        <v>-8250154</v>
      </c>
      <c r="G3311">
        <v>-22648844</v>
      </c>
      <c r="H3311">
        <v>-11151621</v>
      </c>
      <c r="I3311">
        <v>-21174954</v>
      </c>
      <c r="J3311">
        <v>-11858651</v>
      </c>
      <c r="K3311">
        <v>-40763236</v>
      </c>
      <c r="L3311">
        <v>-72741602</v>
      </c>
      <c r="M3311">
        <v>-18789675</v>
      </c>
      <c r="N3311">
        <v>25400557</v>
      </c>
      <c r="O3311">
        <v>44818987</v>
      </c>
      <c r="P3311">
        <v>60</v>
      </c>
      <c r="Q3311" t="s">
        <v>6965</v>
      </c>
    </row>
    <row r="3312" spans="1:17" x14ac:dyDescent="0.3">
      <c r="A3312" t="s">
        <v>4664</v>
      </c>
      <c r="B3312" t="str">
        <f>"002630"</f>
        <v>002630</v>
      </c>
      <c r="C3312" t="s">
        <v>6966</v>
      </c>
      <c r="D3312" t="s">
        <v>470</v>
      </c>
      <c r="F3312">
        <v>-241694288</v>
      </c>
      <c r="G3312">
        <v>20371439</v>
      </c>
      <c r="H3312">
        <v>38141404</v>
      </c>
      <c r="I3312">
        <v>111146558</v>
      </c>
      <c r="J3312">
        <v>110889229</v>
      </c>
      <c r="K3312">
        <v>176410987</v>
      </c>
      <c r="L3312">
        <v>188192403</v>
      </c>
      <c r="M3312">
        <v>126431035</v>
      </c>
      <c r="N3312">
        <v>102164469</v>
      </c>
      <c r="O3312">
        <v>88644386</v>
      </c>
      <c r="P3312">
        <v>109</v>
      </c>
      <c r="Q3312" t="s">
        <v>6967</v>
      </c>
    </row>
    <row r="3313" spans="1:17" x14ac:dyDescent="0.3">
      <c r="A3313" t="s">
        <v>4664</v>
      </c>
      <c r="B3313" t="str">
        <f>"002631"</f>
        <v>002631</v>
      </c>
      <c r="C3313" t="s">
        <v>6968</v>
      </c>
      <c r="D3313" t="s">
        <v>2647</v>
      </c>
      <c r="F3313">
        <v>48259842</v>
      </c>
      <c r="G3313">
        <v>33980968</v>
      </c>
      <c r="H3313">
        <v>89975719</v>
      </c>
      <c r="I3313">
        <v>126642972</v>
      </c>
      <c r="J3313">
        <v>125211675</v>
      </c>
      <c r="K3313">
        <v>141869533</v>
      </c>
      <c r="L3313">
        <v>117605313</v>
      </c>
      <c r="M3313">
        <v>102899442</v>
      </c>
      <c r="N3313">
        <v>76021959</v>
      </c>
      <c r="O3313">
        <v>68730359</v>
      </c>
      <c r="P3313">
        <v>156</v>
      </c>
      <c r="Q3313" t="s">
        <v>6969</v>
      </c>
    </row>
    <row r="3314" spans="1:17" x14ac:dyDescent="0.3">
      <c r="A3314" t="s">
        <v>4664</v>
      </c>
      <c r="B3314" t="str">
        <f>"002632"</f>
        <v>002632</v>
      </c>
      <c r="C3314" t="s">
        <v>6970</v>
      </c>
      <c r="D3314" t="s">
        <v>324</v>
      </c>
      <c r="F3314">
        <v>126288861</v>
      </c>
      <c r="G3314">
        <v>174266665</v>
      </c>
      <c r="H3314">
        <v>187371208</v>
      </c>
      <c r="I3314">
        <v>167006231</v>
      </c>
      <c r="J3314">
        <v>82979674</v>
      </c>
      <c r="K3314">
        <v>38484163</v>
      </c>
      <c r="L3314">
        <v>33319200</v>
      </c>
      <c r="M3314">
        <v>22380108</v>
      </c>
      <c r="N3314">
        <v>19613059</v>
      </c>
      <c r="O3314">
        <v>31378685</v>
      </c>
      <c r="P3314">
        <v>144</v>
      </c>
      <c r="Q3314" t="s">
        <v>6971</v>
      </c>
    </row>
    <row r="3315" spans="1:17" x14ac:dyDescent="0.3">
      <c r="A3315" t="s">
        <v>4664</v>
      </c>
      <c r="B3315" t="str">
        <f>"002633"</f>
        <v>002633</v>
      </c>
      <c r="C3315" t="s">
        <v>6972</v>
      </c>
      <c r="D3315" t="s">
        <v>274</v>
      </c>
      <c r="F3315">
        <v>2828361</v>
      </c>
      <c r="G3315">
        <v>-7115710</v>
      </c>
      <c r="H3315">
        <v>-10412310</v>
      </c>
      <c r="I3315">
        <v>-1173547</v>
      </c>
      <c r="J3315">
        <v>-310866</v>
      </c>
      <c r="K3315">
        <v>-18773313</v>
      </c>
      <c r="L3315">
        <v>-14669143</v>
      </c>
      <c r="M3315">
        <v>-11359463</v>
      </c>
      <c r="N3315">
        <v>-16378704</v>
      </c>
      <c r="O3315">
        <v>8774010</v>
      </c>
      <c r="P3315">
        <v>44</v>
      </c>
      <c r="Q3315" t="s">
        <v>6973</v>
      </c>
    </row>
    <row r="3316" spans="1:17" x14ac:dyDescent="0.3">
      <c r="A3316" t="s">
        <v>4664</v>
      </c>
      <c r="B3316" t="str">
        <f>"002634"</f>
        <v>002634</v>
      </c>
      <c r="C3316" t="s">
        <v>6974</v>
      </c>
      <c r="D3316" t="s">
        <v>330</v>
      </c>
      <c r="F3316">
        <v>44250452</v>
      </c>
      <c r="G3316">
        <v>51523760</v>
      </c>
      <c r="H3316">
        <v>32065646</v>
      </c>
      <c r="I3316">
        <v>25032331</v>
      </c>
      <c r="J3316">
        <v>37106412</v>
      </c>
      <c r="K3316">
        <v>29369895</v>
      </c>
      <c r="L3316">
        <v>27831859</v>
      </c>
      <c r="M3316">
        <v>30633759</v>
      </c>
      <c r="N3316">
        <v>23965296</v>
      </c>
      <c r="O3316">
        <v>31430671</v>
      </c>
      <c r="P3316">
        <v>88</v>
      </c>
      <c r="Q3316" t="s">
        <v>6975</v>
      </c>
    </row>
    <row r="3317" spans="1:17" x14ac:dyDescent="0.3">
      <c r="A3317" t="s">
        <v>4664</v>
      </c>
      <c r="B3317" t="str">
        <f>"002635"</f>
        <v>002635</v>
      </c>
      <c r="C3317" t="s">
        <v>6976</v>
      </c>
      <c r="D3317" t="s">
        <v>313</v>
      </c>
      <c r="F3317">
        <v>104295770</v>
      </c>
      <c r="G3317">
        <v>435170021</v>
      </c>
      <c r="H3317">
        <v>330813239</v>
      </c>
      <c r="I3317">
        <v>426122547</v>
      </c>
      <c r="J3317">
        <v>343854624</v>
      </c>
      <c r="K3317">
        <v>267068642</v>
      </c>
      <c r="L3317">
        <v>183317170</v>
      </c>
      <c r="M3317">
        <v>89646208</v>
      </c>
      <c r="N3317">
        <v>104751672</v>
      </c>
      <c r="O3317">
        <v>129366408</v>
      </c>
      <c r="P3317">
        <v>513</v>
      </c>
      <c r="Q3317" t="s">
        <v>6977</v>
      </c>
    </row>
    <row r="3318" spans="1:17" x14ac:dyDescent="0.3">
      <c r="A3318" t="s">
        <v>4664</v>
      </c>
      <c r="B3318" t="str">
        <f>"002636"</f>
        <v>002636</v>
      </c>
      <c r="C3318" t="s">
        <v>6978</v>
      </c>
      <c r="D3318" t="s">
        <v>425</v>
      </c>
      <c r="F3318">
        <v>715431953</v>
      </c>
      <c r="G3318">
        <v>92396414</v>
      </c>
      <c r="H3318">
        <v>130027007</v>
      </c>
      <c r="I3318">
        <v>236614362</v>
      </c>
      <c r="J3318">
        <v>395747750</v>
      </c>
      <c r="K3318">
        <v>157868237</v>
      </c>
      <c r="L3318">
        <v>46110328</v>
      </c>
      <c r="M3318">
        <v>42106807</v>
      </c>
      <c r="N3318">
        <v>27499270</v>
      </c>
      <c r="O3318">
        <v>36721490</v>
      </c>
      <c r="P3318">
        <v>306</v>
      </c>
      <c r="Q3318" t="s">
        <v>6979</v>
      </c>
    </row>
    <row r="3319" spans="1:17" x14ac:dyDescent="0.3">
      <c r="A3319" t="s">
        <v>4664</v>
      </c>
      <c r="B3319" t="str">
        <f>"002637"</f>
        <v>002637</v>
      </c>
      <c r="C3319" t="s">
        <v>6980</v>
      </c>
      <c r="D3319" t="s">
        <v>386</v>
      </c>
      <c r="F3319">
        <v>603829921</v>
      </c>
      <c r="G3319">
        <v>365900436</v>
      </c>
      <c r="H3319">
        <v>235501198</v>
      </c>
      <c r="I3319">
        <v>150694965</v>
      </c>
      <c r="J3319">
        <v>82466451</v>
      </c>
      <c r="K3319">
        <v>75542035</v>
      </c>
      <c r="L3319">
        <v>20132903</v>
      </c>
      <c r="M3319">
        <v>38267660</v>
      </c>
      <c r="N3319">
        <v>23859761</v>
      </c>
      <c r="O3319">
        <v>18518250</v>
      </c>
      <c r="P3319">
        <v>145</v>
      </c>
      <c r="Q3319" t="s">
        <v>6981</v>
      </c>
    </row>
    <row r="3320" spans="1:17" x14ac:dyDescent="0.3">
      <c r="A3320" t="s">
        <v>4664</v>
      </c>
      <c r="B3320" t="str">
        <f>"002638"</f>
        <v>002638</v>
      </c>
      <c r="C3320" t="s">
        <v>6982</v>
      </c>
      <c r="D3320" t="s">
        <v>1336</v>
      </c>
      <c r="F3320">
        <v>-346707197</v>
      </c>
      <c r="G3320">
        <v>-19673753</v>
      </c>
      <c r="H3320">
        <v>1151788</v>
      </c>
      <c r="I3320">
        <v>72217939</v>
      </c>
      <c r="J3320">
        <v>101242102</v>
      </c>
      <c r="K3320">
        <v>49086266</v>
      </c>
      <c r="L3320">
        <v>18233728</v>
      </c>
      <c r="M3320">
        <v>91268771</v>
      </c>
      <c r="N3320">
        <v>87854253</v>
      </c>
      <c r="O3320">
        <v>92220729</v>
      </c>
      <c r="P3320">
        <v>83</v>
      </c>
      <c r="Q3320" t="s">
        <v>6983</v>
      </c>
    </row>
    <row r="3321" spans="1:17" x14ac:dyDescent="0.3">
      <c r="A3321" t="s">
        <v>4664</v>
      </c>
      <c r="B3321" t="str">
        <f>"002639"</f>
        <v>002639</v>
      </c>
      <c r="C3321" t="s">
        <v>6984</v>
      </c>
      <c r="D3321" t="s">
        <v>988</v>
      </c>
      <c r="F3321">
        <v>-27910881</v>
      </c>
      <c r="G3321">
        <v>-42397823</v>
      </c>
      <c r="H3321">
        <v>55906883</v>
      </c>
      <c r="I3321">
        <v>13712310</v>
      </c>
      <c r="J3321">
        <v>10847347</v>
      </c>
      <c r="K3321">
        <v>15038347</v>
      </c>
      <c r="L3321">
        <v>9214946</v>
      </c>
      <c r="M3321">
        <v>1196167</v>
      </c>
      <c r="N3321">
        <v>38981368</v>
      </c>
      <c r="O3321">
        <v>48282134</v>
      </c>
      <c r="P3321">
        <v>228</v>
      </c>
      <c r="Q3321" t="s">
        <v>6985</v>
      </c>
    </row>
    <row r="3322" spans="1:17" x14ac:dyDescent="0.3">
      <c r="A3322" t="s">
        <v>4664</v>
      </c>
      <c r="B3322" t="str">
        <f>"002640"</f>
        <v>002640</v>
      </c>
      <c r="C3322" t="s">
        <v>6986</v>
      </c>
      <c r="D3322" t="s">
        <v>2014</v>
      </c>
      <c r="F3322">
        <v>496704343</v>
      </c>
      <c r="G3322">
        <v>371602520</v>
      </c>
      <c r="H3322">
        <v>703113942</v>
      </c>
      <c r="I3322">
        <v>828251210</v>
      </c>
      <c r="J3322">
        <v>495282033</v>
      </c>
      <c r="K3322">
        <v>272818064</v>
      </c>
      <c r="L3322">
        <v>123769986</v>
      </c>
      <c r="M3322">
        <v>15710949</v>
      </c>
      <c r="N3322">
        <v>32592457</v>
      </c>
      <c r="O3322">
        <v>43216811</v>
      </c>
      <c r="P3322">
        <v>263</v>
      </c>
      <c r="Q3322" t="s">
        <v>6987</v>
      </c>
    </row>
    <row r="3323" spans="1:17" x14ac:dyDescent="0.3">
      <c r="A3323" t="s">
        <v>4664</v>
      </c>
      <c r="B3323" t="str">
        <f>"002641"</f>
        <v>002641</v>
      </c>
      <c r="C3323" t="s">
        <v>6988</v>
      </c>
      <c r="D3323" t="s">
        <v>3320</v>
      </c>
      <c r="F3323">
        <v>360054187</v>
      </c>
      <c r="G3323">
        <v>538057326</v>
      </c>
      <c r="H3323">
        <v>327535841</v>
      </c>
      <c r="I3323">
        <v>162351885</v>
      </c>
      <c r="J3323">
        <v>129983420</v>
      </c>
      <c r="K3323">
        <v>216036416</v>
      </c>
      <c r="L3323">
        <v>176698258</v>
      </c>
      <c r="M3323">
        <v>158486626</v>
      </c>
      <c r="N3323">
        <v>200577388</v>
      </c>
      <c r="O3323">
        <v>181679454</v>
      </c>
      <c r="P3323">
        <v>360</v>
      </c>
      <c r="Q3323" t="s">
        <v>6989</v>
      </c>
    </row>
    <row r="3324" spans="1:17" x14ac:dyDescent="0.3">
      <c r="A3324" t="s">
        <v>4664</v>
      </c>
      <c r="B3324" t="str">
        <f>"002642"</f>
        <v>002642</v>
      </c>
      <c r="C3324" t="s">
        <v>6990</v>
      </c>
      <c r="D3324" t="s">
        <v>316</v>
      </c>
      <c r="F3324">
        <v>12835756</v>
      </c>
      <c r="G3324">
        <v>17313667</v>
      </c>
      <c r="H3324">
        <v>21238941</v>
      </c>
      <c r="I3324">
        <v>4231080</v>
      </c>
      <c r="J3324">
        <v>2691040</v>
      </c>
      <c r="K3324">
        <v>56698095</v>
      </c>
      <c r="L3324">
        <v>73929061</v>
      </c>
      <c r="M3324">
        <v>72379770</v>
      </c>
      <c r="N3324">
        <v>67333387</v>
      </c>
      <c r="O3324">
        <v>57749371</v>
      </c>
      <c r="P3324">
        <v>221</v>
      </c>
      <c r="Q3324" t="s">
        <v>6991</v>
      </c>
    </row>
    <row r="3325" spans="1:17" x14ac:dyDescent="0.3">
      <c r="A3325" t="s">
        <v>4664</v>
      </c>
      <c r="B3325" t="str">
        <f>"002643"</f>
        <v>002643</v>
      </c>
      <c r="C3325" t="s">
        <v>6992</v>
      </c>
      <c r="D3325" t="s">
        <v>2399</v>
      </c>
      <c r="F3325">
        <v>492519686</v>
      </c>
      <c r="G3325">
        <v>348473050</v>
      </c>
      <c r="H3325">
        <v>366368908</v>
      </c>
      <c r="I3325">
        <v>306227968</v>
      </c>
      <c r="J3325">
        <v>302165996</v>
      </c>
      <c r="K3325">
        <v>250530633</v>
      </c>
      <c r="L3325">
        <v>145788134</v>
      </c>
      <c r="M3325">
        <v>63159068</v>
      </c>
      <c r="N3325">
        <v>90332263</v>
      </c>
      <c r="O3325">
        <v>81738312</v>
      </c>
      <c r="P3325">
        <v>387</v>
      </c>
      <c r="Q3325" t="s">
        <v>6993</v>
      </c>
    </row>
    <row r="3326" spans="1:17" x14ac:dyDescent="0.3">
      <c r="A3326" t="s">
        <v>4664</v>
      </c>
      <c r="B3326" t="str">
        <f>"002644"</f>
        <v>002644</v>
      </c>
      <c r="C3326" t="s">
        <v>6994</v>
      </c>
      <c r="D3326" t="s">
        <v>188</v>
      </c>
      <c r="F3326">
        <v>70778548</v>
      </c>
      <c r="G3326">
        <v>108144203</v>
      </c>
      <c r="H3326">
        <v>72986599</v>
      </c>
      <c r="I3326">
        <v>57187385</v>
      </c>
      <c r="J3326">
        <v>51820930</v>
      </c>
      <c r="K3326">
        <v>46708268</v>
      </c>
      <c r="L3326">
        <v>32999003</v>
      </c>
      <c r="M3326">
        <v>27854465</v>
      </c>
      <c r="N3326">
        <v>23968767</v>
      </c>
      <c r="O3326">
        <v>20243497</v>
      </c>
      <c r="P3326">
        <v>163</v>
      </c>
      <c r="Q3326" t="s">
        <v>6995</v>
      </c>
    </row>
    <row r="3327" spans="1:17" x14ac:dyDescent="0.3">
      <c r="A3327" t="s">
        <v>4664</v>
      </c>
      <c r="B3327" t="str">
        <f>"002645"</f>
        <v>002645</v>
      </c>
      <c r="C3327" t="s">
        <v>6996</v>
      </c>
      <c r="D3327" t="s">
        <v>1070</v>
      </c>
      <c r="F3327">
        <v>390570923</v>
      </c>
      <c r="G3327">
        <v>166409210</v>
      </c>
      <c r="H3327">
        <v>149530691</v>
      </c>
      <c r="I3327">
        <v>122035935</v>
      </c>
      <c r="J3327">
        <v>87528422</v>
      </c>
      <c r="K3327">
        <v>48974795</v>
      </c>
      <c r="L3327">
        <v>-5491818</v>
      </c>
      <c r="M3327">
        <v>9478818</v>
      </c>
      <c r="N3327">
        <v>25940782</v>
      </c>
      <c r="O3327">
        <v>31532844</v>
      </c>
      <c r="P3327">
        <v>204</v>
      </c>
      <c r="Q3327" t="s">
        <v>6997</v>
      </c>
    </row>
    <row r="3328" spans="1:17" x14ac:dyDescent="0.3">
      <c r="A3328" t="s">
        <v>4664</v>
      </c>
      <c r="B3328" t="str">
        <f>"002646"</f>
        <v>002646</v>
      </c>
      <c r="C3328" t="s">
        <v>6998</v>
      </c>
      <c r="D3328" t="s">
        <v>458</v>
      </c>
      <c r="F3328">
        <v>85366066</v>
      </c>
      <c r="G3328">
        <v>-64312561</v>
      </c>
      <c r="H3328">
        <v>27531169</v>
      </c>
      <c r="I3328">
        <v>86809915</v>
      </c>
      <c r="J3328">
        <v>110168662</v>
      </c>
      <c r="K3328">
        <v>194220819</v>
      </c>
      <c r="L3328">
        <v>234244309</v>
      </c>
      <c r="M3328">
        <v>270414238</v>
      </c>
      <c r="N3328">
        <v>304744940</v>
      </c>
      <c r="O3328">
        <v>238188822</v>
      </c>
      <c r="P3328">
        <v>254</v>
      </c>
      <c r="Q3328" t="s">
        <v>6999</v>
      </c>
    </row>
    <row r="3329" spans="1:17" x14ac:dyDescent="0.3">
      <c r="A3329" t="s">
        <v>4664</v>
      </c>
      <c r="B3329" t="str">
        <f>"002647"</f>
        <v>002647</v>
      </c>
      <c r="C3329" t="s">
        <v>7000</v>
      </c>
      <c r="D3329" t="s">
        <v>6337</v>
      </c>
      <c r="F3329">
        <v>-5999469</v>
      </c>
      <c r="G3329">
        <v>-21923021</v>
      </c>
      <c r="H3329">
        <v>49262970</v>
      </c>
      <c r="I3329">
        <v>29735550</v>
      </c>
      <c r="J3329">
        <v>7216329</v>
      </c>
      <c r="K3329">
        <v>-19074528</v>
      </c>
      <c r="L3329">
        <v>2584650</v>
      </c>
      <c r="M3329">
        <v>-13307217</v>
      </c>
      <c r="N3329">
        <v>27563768</v>
      </c>
      <c r="O3329">
        <v>42666024</v>
      </c>
      <c r="P3329">
        <v>180</v>
      </c>
      <c r="Q3329" t="s">
        <v>7001</v>
      </c>
    </row>
    <row r="3330" spans="1:17" x14ac:dyDescent="0.3">
      <c r="A3330" t="s">
        <v>4664</v>
      </c>
      <c r="B3330" t="str">
        <f>"002648"</f>
        <v>002648</v>
      </c>
      <c r="C3330" t="s">
        <v>7002</v>
      </c>
      <c r="D3330" t="s">
        <v>386</v>
      </c>
      <c r="F3330">
        <v>4255513719</v>
      </c>
      <c r="G3330">
        <v>902010474</v>
      </c>
      <c r="H3330">
        <v>922058570</v>
      </c>
      <c r="I3330">
        <v>622824466</v>
      </c>
      <c r="J3330">
        <v>695522762</v>
      </c>
      <c r="K3330">
        <v>99386928</v>
      </c>
      <c r="L3330">
        <v>-225335908</v>
      </c>
      <c r="M3330">
        <v>226534783</v>
      </c>
      <c r="N3330">
        <v>315959762</v>
      </c>
      <c r="O3330">
        <v>288512745</v>
      </c>
      <c r="P3330">
        <v>526</v>
      </c>
      <c r="Q3330" t="s">
        <v>7003</v>
      </c>
    </row>
    <row r="3331" spans="1:17" x14ac:dyDescent="0.3">
      <c r="A3331" t="s">
        <v>4664</v>
      </c>
      <c r="B3331" t="str">
        <f>"002649"</f>
        <v>002649</v>
      </c>
      <c r="C3331" t="s">
        <v>7004</v>
      </c>
      <c r="D3331" t="s">
        <v>316</v>
      </c>
      <c r="F3331">
        <v>294811486</v>
      </c>
      <c r="G3331">
        <v>223798867</v>
      </c>
      <c r="H3331">
        <v>202612446</v>
      </c>
      <c r="I3331">
        <v>167464428</v>
      </c>
      <c r="J3331">
        <v>129343082</v>
      </c>
      <c r="K3331">
        <v>117100761</v>
      </c>
      <c r="L3331">
        <v>133267282</v>
      </c>
      <c r="M3331">
        <v>104249364</v>
      </c>
      <c r="N3331">
        <v>85701281</v>
      </c>
      <c r="O3331">
        <v>62847553</v>
      </c>
      <c r="P3331">
        <v>273</v>
      </c>
      <c r="Q3331" t="s">
        <v>7005</v>
      </c>
    </row>
    <row r="3332" spans="1:17" x14ac:dyDescent="0.3">
      <c r="A3332" t="s">
        <v>4664</v>
      </c>
      <c r="B3332" t="str">
        <f>"002650"</f>
        <v>002650</v>
      </c>
      <c r="C3332" t="s">
        <v>7006</v>
      </c>
      <c r="D3332" t="s">
        <v>433</v>
      </c>
      <c r="F3332">
        <v>1857200</v>
      </c>
      <c r="G3332">
        <v>139436712</v>
      </c>
      <c r="H3332">
        <v>104986943</v>
      </c>
      <c r="I3332">
        <v>103467345</v>
      </c>
      <c r="J3332">
        <v>128730841</v>
      </c>
      <c r="K3332">
        <v>127822066</v>
      </c>
      <c r="L3332">
        <v>116046331</v>
      </c>
      <c r="M3332">
        <v>113597161</v>
      </c>
      <c r="N3332">
        <v>109521739</v>
      </c>
      <c r="O3332">
        <v>107489582</v>
      </c>
      <c r="P3332">
        <v>207</v>
      </c>
      <c r="Q3332" t="s">
        <v>7007</v>
      </c>
    </row>
    <row r="3333" spans="1:17" x14ac:dyDescent="0.3">
      <c r="A3333" t="s">
        <v>4664</v>
      </c>
      <c r="B3333" t="str">
        <f>"002651"</f>
        <v>002651</v>
      </c>
      <c r="C3333" t="s">
        <v>7008</v>
      </c>
      <c r="D3333" t="s">
        <v>395</v>
      </c>
      <c r="F3333">
        <v>173427942</v>
      </c>
      <c r="G3333">
        <v>135732324</v>
      </c>
      <c r="H3333">
        <v>106547007</v>
      </c>
      <c r="I3333">
        <v>99519289</v>
      </c>
      <c r="J3333">
        <v>75155911</v>
      </c>
      <c r="K3333">
        <v>64667458</v>
      </c>
      <c r="L3333">
        <v>103302677</v>
      </c>
      <c r="M3333">
        <v>229076716</v>
      </c>
      <c r="N3333">
        <v>222175390</v>
      </c>
      <c r="O3333">
        <v>247092304</v>
      </c>
      <c r="P3333">
        <v>121</v>
      </c>
      <c r="Q3333" t="s">
        <v>7009</v>
      </c>
    </row>
    <row r="3334" spans="1:17" x14ac:dyDescent="0.3">
      <c r="A3334" t="s">
        <v>4664</v>
      </c>
      <c r="B3334" t="str">
        <f>"002652"</f>
        <v>002652</v>
      </c>
      <c r="C3334" t="s">
        <v>7010</v>
      </c>
      <c r="D3334" t="s">
        <v>722</v>
      </c>
      <c r="F3334">
        <v>6201580</v>
      </c>
      <c r="G3334">
        <v>-19365124</v>
      </c>
      <c r="H3334">
        <v>12419314</v>
      </c>
      <c r="I3334">
        <v>49019348</v>
      </c>
      <c r="J3334">
        <v>60267701</v>
      </c>
      <c r="K3334">
        <v>61696984</v>
      </c>
      <c r="L3334">
        <v>42285246</v>
      </c>
      <c r="M3334">
        <v>26798106</v>
      </c>
      <c r="N3334">
        <v>30943894</v>
      </c>
      <c r="O3334">
        <v>29332731</v>
      </c>
      <c r="P3334">
        <v>58</v>
      </c>
      <c r="Q3334" t="s">
        <v>7011</v>
      </c>
    </row>
    <row r="3335" spans="1:17" x14ac:dyDescent="0.3">
      <c r="A3335" t="s">
        <v>4664</v>
      </c>
      <c r="B3335" t="str">
        <f>"002653"</f>
        <v>002653</v>
      </c>
      <c r="C3335" t="s">
        <v>7012</v>
      </c>
      <c r="D3335" t="s">
        <v>143</v>
      </c>
      <c r="F3335">
        <v>275099123</v>
      </c>
      <c r="G3335">
        <v>402740565</v>
      </c>
      <c r="H3335">
        <v>383193767</v>
      </c>
      <c r="I3335">
        <v>303161094</v>
      </c>
      <c r="J3335">
        <v>213274429</v>
      </c>
      <c r="K3335">
        <v>311629510</v>
      </c>
      <c r="L3335">
        <v>277596543</v>
      </c>
      <c r="M3335">
        <v>356556125</v>
      </c>
      <c r="N3335">
        <v>355793939</v>
      </c>
      <c r="O3335">
        <v>296386672</v>
      </c>
      <c r="P3335">
        <v>549</v>
      </c>
      <c r="Q3335" t="s">
        <v>7013</v>
      </c>
    </row>
    <row r="3336" spans="1:17" x14ac:dyDescent="0.3">
      <c r="A3336" t="s">
        <v>4664</v>
      </c>
      <c r="B3336" t="str">
        <f>"002654"</f>
        <v>002654</v>
      </c>
      <c r="C3336" t="s">
        <v>7014</v>
      </c>
      <c r="D3336" t="s">
        <v>803</v>
      </c>
      <c r="F3336">
        <v>72651205</v>
      </c>
      <c r="G3336">
        <v>76981670</v>
      </c>
      <c r="H3336">
        <v>147770364</v>
      </c>
      <c r="I3336">
        <v>140347828</v>
      </c>
      <c r="J3336">
        <v>131525687</v>
      </c>
      <c r="K3336">
        <v>117351530</v>
      </c>
      <c r="L3336">
        <v>33142355</v>
      </c>
      <c r="M3336">
        <v>34113775</v>
      </c>
      <c r="N3336">
        <v>36706920</v>
      </c>
      <c r="O3336">
        <v>34253420</v>
      </c>
      <c r="P3336">
        <v>124</v>
      </c>
      <c r="Q3336" t="s">
        <v>7015</v>
      </c>
    </row>
    <row r="3337" spans="1:17" x14ac:dyDescent="0.3">
      <c r="A3337" t="s">
        <v>4664</v>
      </c>
      <c r="B3337" t="str">
        <f>"002655"</f>
        <v>002655</v>
      </c>
      <c r="C3337" t="s">
        <v>7016</v>
      </c>
      <c r="D3337" t="s">
        <v>313</v>
      </c>
      <c r="F3337">
        <v>58500772</v>
      </c>
      <c r="G3337">
        <v>23812190</v>
      </c>
      <c r="H3337">
        <v>16484847</v>
      </c>
      <c r="I3337">
        <v>4239246</v>
      </c>
      <c r="J3337">
        <v>6289197</v>
      </c>
      <c r="K3337">
        <v>14336260</v>
      </c>
      <c r="L3337">
        <v>15134999</v>
      </c>
      <c r="M3337">
        <v>14899634</v>
      </c>
      <c r="N3337">
        <v>18087843</v>
      </c>
      <c r="O3337">
        <v>29330502</v>
      </c>
      <c r="P3337">
        <v>230</v>
      </c>
      <c r="Q3337" t="s">
        <v>7017</v>
      </c>
    </row>
    <row r="3338" spans="1:17" x14ac:dyDescent="0.3">
      <c r="A3338" t="s">
        <v>4664</v>
      </c>
      <c r="B3338" t="str">
        <f>"002656"</f>
        <v>002656</v>
      </c>
      <c r="C3338" t="s">
        <v>7018</v>
      </c>
      <c r="D3338" t="s">
        <v>255</v>
      </c>
      <c r="F3338">
        <v>14616471</v>
      </c>
      <c r="G3338">
        <v>7110090</v>
      </c>
      <c r="H3338">
        <v>-25129338</v>
      </c>
      <c r="I3338">
        <v>58369083</v>
      </c>
      <c r="J3338">
        <v>119410261</v>
      </c>
      <c r="K3338">
        <v>-60701438</v>
      </c>
      <c r="L3338">
        <v>13470438</v>
      </c>
      <c r="M3338">
        <v>12366729</v>
      </c>
      <c r="N3338">
        <v>98238877</v>
      </c>
      <c r="O3338">
        <v>93325078</v>
      </c>
      <c r="P3338">
        <v>62</v>
      </c>
      <c r="Q3338" t="s">
        <v>7019</v>
      </c>
    </row>
    <row r="3339" spans="1:17" x14ac:dyDescent="0.3">
      <c r="A3339" t="s">
        <v>4664</v>
      </c>
      <c r="B3339" t="str">
        <f>"002657"</f>
        <v>002657</v>
      </c>
      <c r="C3339" t="s">
        <v>7020</v>
      </c>
      <c r="D3339" t="s">
        <v>316</v>
      </c>
      <c r="F3339">
        <v>-40399657</v>
      </c>
      <c r="G3339">
        <v>-34708086</v>
      </c>
      <c r="H3339">
        <v>100398539</v>
      </c>
      <c r="I3339">
        <v>67560796</v>
      </c>
      <c r="J3339">
        <v>121834280</v>
      </c>
      <c r="K3339">
        <v>120903817</v>
      </c>
      <c r="L3339">
        <v>107755764</v>
      </c>
      <c r="M3339">
        <v>40610332</v>
      </c>
      <c r="N3339">
        <v>29973117</v>
      </c>
      <c r="O3339">
        <v>35607163</v>
      </c>
      <c r="P3339">
        <v>154</v>
      </c>
      <c r="Q3339" t="s">
        <v>7021</v>
      </c>
    </row>
    <row r="3340" spans="1:17" x14ac:dyDescent="0.3">
      <c r="A3340" t="s">
        <v>4664</v>
      </c>
      <c r="B3340" t="str">
        <f>"002658"</f>
        <v>002658</v>
      </c>
      <c r="C3340" t="s">
        <v>7022</v>
      </c>
      <c r="D3340" t="s">
        <v>1070</v>
      </c>
      <c r="F3340">
        <v>159133228</v>
      </c>
      <c r="G3340">
        <v>61273489</v>
      </c>
      <c r="H3340">
        <v>97338813</v>
      </c>
      <c r="I3340">
        <v>139543426</v>
      </c>
      <c r="J3340">
        <v>117110312</v>
      </c>
      <c r="K3340">
        <v>93234403</v>
      </c>
      <c r="L3340">
        <v>172098297</v>
      </c>
      <c r="M3340">
        <v>122328571</v>
      </c>
      <c r="N3340">
        <v>70195211</v>
      </c>
      <c r="O3340">
        <v>54855874</v>
      </c>
      <c r="P3340">
        <v>231</v>
      </c>
      <c r="Q3340" t="s">
        <v>7023</v>
      </c>
    </row>
    <row r="3341" spans="1:17" x14ac:dyDescent="0.3">
      <c r="A3341" t="s">
        <v>4664</v>
      </c>
      <c r="B3341" t="str">
        <f>"002659"</f>
        <v>002659</v>
      </c>
      <c r="C3341" t="s">
        <v>7024</v>
      </c>
      <c r="D3341" t="s">
        <v>1777</v>
      </c>
      <c r="F3341">
        <v>-72706129</v>
      </c>
      <c r="G3341">
        <v>-96305218</v>
      </c>
      <c r="H3341">
        <v>-77591904</v>
      </c>
      <c r="I3341">
        <v>-71405058</v>
      </c>
      <c r="J3341">
        <v>-61932635</v>
      </c>
      <c r="K3341">
        <v>-45056690</v>
      </c>
      <c r="L3341">
        <v>-1967208</v>
      </c>
      <c r="M3341">
        <v>2897448</v>
      </c>
      <c r="N3341">
        <v>4118469</v>
      </c>
      <c r="O3341">
        <v>46075434</v>
      </c>
      <c r="P3341">
        <v>96</v>
      </c>
      <c r="Q3341" t="s">
        <v>7025</v>
      </c>
    </row>
    <row r="3342" spans="1:17" x14ac:dyDescent="0.3">
      <c r="A3342" t="s">
        <v>4664</v>
      </c>
      <c r="B3342" t="str">
        <f>"002660"</f>
        <v>002660</v>
      </c>
      <c r="C3342" t="s">
        <v>7026</v>
      </c>
      <c r="D3342" t="s">
        <v>313</v>
      </c>
      <c r="F3342">
        <v>38621082</v>
      </c>
      <c r="G3342">
        <v>51546521</v>
      </c>
      <c r="H3342">
        <v>50966704</v>
      </c>
      <c r="I3342">
        <v>7275002</v>
      </c>
      <c r="J3342">
        <v>18450475</v>
      </c>
      <c r="K3342">
        <v>13294048</v>
      </c>
      <c r="L3342">
        <v>4101907</v>
      </c>
      <c r="M3342">
        <v>-13845765</v>
      </c>
      <c r="N3342">
        <v>30685661</v>
      </c>
      <c r="O3342">
        <v>37819367</v>
      </c>
      <c r="P3342">
        <v>122</v>
      </c>
      <c r="Q3342" t="s">
        <v>7027</v>
      </c>
    </row>
    <row r="3343" spans="1:17" x14ac:dyDescent="0.3">
      <c r="A3343" t="s">
        <v>4664</v>
      </c>
      <c r="B3343" t="str">
        <f>"002661"</f>
        <v>002661</v>
      </c>
      <c r="C3343" t="s">
        <v>7028</v>
      </c>
      <c r="D3343" t="s">
        <v>445</v>
      </c>
      <c r="F3343">
        <v>75755643</v>
      </c>
      <c r="G3343">
        <v>288593176</v>
      </c>
      <c r="H3343">
        <v>132610523</v>
      </c>
      <c r="I3343">
        <v>163687992</v>
      </c>
      <c r="J3343">
        <v>98093394</v>
      </c>
      <c r="K3343">
        <v>94861103</v>
      </c>
      <c r="L3343">
        <v>76401416</v>
      </c>
      <c r="M3343">
        <v>64023618</v>
      </c>
      <c r="N3343">
        <v>63203031</v>
      </c>
      <c r="O3343">
        <v>62840010</v>
      </c>
      <c r="P3343">
        <v>511</v>
      </c>
      <c r="Q3343" t="s">
        <v>7029</v>
      </c>
    </row>
    <row r="3344" spans="1:17" x14ac:dyDescent="0.3">
      <c r="A3344" t="s">
        <v>4664</v>
      </c>
      <c r="B3344" t="str">
        <f>"002662"</f>
        <v>002662</v>
      </c>
      <c r="C3344" t="s">
        <v>7030</v>
      </c>
      <c r="D3344" t="s">
        <v>191</v>
      </c>
      <c r="F3344">
        <v>305371813</v>
      </c>
      <c r="G3344">
        <v>213838872</v>
      </c>
      <c r="H3344">
        <v>-189313486</v>
      </c>
      <c r="I3344">
        <v>777962600</v>
      </c>
      <c r="J3344">
        <v>232883449</v>
      </c>
      <c r="K3344">
        <v>263643664</v>
      </c>
      <c r="L3344">
        <v>332596332</v>
      </c>
      <c r="M3344">
        <v>271001564</v>
      </c>
      <c r="N3344">
        <v>235667218</v>
      </c>
      <c r="O3344">
        <v>264402736</v>
      </c>
      <c r="P3344">
        <v>140</v>
      </c>
      <c r="Q3344" t="s">
        <v>7031</v>
      </c>
    </row>
    <row r="3345" spans="1:17" x14ac:dyDescent="0.3">
      <c r="A3345" t="s">
        <v>4664</v>
      </c>
      <c r="B3345" t="str">
        <f>"002663"</f>
        <v>002663</v>
      </c>
      <c r="C3345" t="s">
        <v>7032</v>
      </c>
      <c r="D3345" t="s">
        <v>2408</v>
      </c>
      <c r="F3345">
        <v>-80815613</v>
      </c>
      <c r="G3345">
        <v>-10284895</v>
      </c>
      <c r="H3345">
        <v>103897550</v>
      </c>
      <c r="I3345">
        <v>138988843</v>
      </c>
      <c r="J3345">
        <v>130588507</v>
      </c>
      <c r="K3345">
        <v>107460870</v>
      </c>
      <c r="L3345">
        <v>186047351</v>
      </c>
      <c r="M3345">
        <v>255085918</v>
      </c>
      <c r="N3345">
        <v>194650132</v>
      </c>
      <c r="O3345">
        <v>152193166</v>
      </c>
      <c r="P3345">
        <v>95</v>
      </c>
      <c r="Q3345" t="s">
        <v>7033</v>
      </c>
    </row>
    <row r="3346" spans="1:17" x14ac:dyDescent="0.3">
      <c r="A3346" t="s">
        <v>4664</v>
      </c>
      <c r="B3346" t="str">
        <f>"002664"</f>
        <v>002664</v>
      </c>
      <c r="C3346" t="s">
        <v>7034</v>
      </c>
      <c r="D3346" t="s">
        <v>1415</v>
      </c>
      <c r="F3346">
        <v>173155354</v>
      </c>
      <c r="G3346">
        <v>163528715</v>
      </c>
      <c r="H3346">
        <v>218319077</v>
      </c>
      <c r="I3346">
        <v>198933840</v>
      </c>
      <c r="J3346">
        <v>192771332</v>
      </c>
      <c r="K3346">
        <v>177655416</v>
      </c>
      <c r="L3346">
        <v>149515845</v>
      </c>
      <c r="M3346">
        <v>136328821</v>
      </c>
      <c r="N3346">
        <v>103585452</v>
      </c>
      <c r="O3346">
        <v>76376235</v>
      </c>
      <c r="P3346">
        <v>232</v>
      </c>
      <c r="Q3346" t="s">
        <v>7035</v>
      </c>
    </row>
    <row r="3347" spans="1:17" x14ac:dyDescent="0.3">
      <c r="A3347" t="s">
        <v>4664</v>
      </c>
      <c r="B3347" t="str">
        <f>"002665"</f>
        <v>002665</v>
      </c>
      <c r="C3347" t="s">
        <v>7036</v>
      </c>
      <c r="D3347" t="s">
        <v>880</v>
      </c>
      <c r="F3347">
        <v>-100637188</v>
      </c>
      <c r="G3347">
        <v>-108583779</v>
      </c>
      <c r="H3347">
        <v>15604213</v>
      </c>
      <c r="I3347">
        <v>-16342063</v>
      </c>
      <c r="J3347">
        <v>111454212</v>
      </c>
      <c r="K3347">
        <v>105857186</v>
      </c>
      <c r="L3347">
        <v>83739040</v>
      </c>
      <c r="M3347">
        <v>106494810</v>
      </c>
      <c r="N3347">
        <v>112945276</v>
      </c>
      <c r="O3347">
        <v>93608495</v>
      </c>
      <c r="P3347">
        <v>208</v>
      </c>
      <c r="Q3347" t="s">
        <v>7037</v>
      </c>
    </row>
    <row r="3348" spans="1:17" x14ac:dyDescent="0.3">
      <c r="A3348" t="s">
        <v>4664</v>
      </c>
      <c r="B3348" t="str">
        <f>"002666"</f>
        <v>002666</v>
      </c>
      <c r="C3348" t="s">
        <v>7038</v>
      </c>
      <c r="D3348" t="s">
        <v>386</v>
      </c>
      <c r="F3348">
        <v>182191559</v>
      </c>
      <c r="G3348">
        <v>132784279</v>
      </c>
      <c r="H3348">
        <v>123735956</v>
      </c>
      <c r="I3348">
        <v>95074710</v>
      </c>
      <c r="J3348">
        <v>88978379</v>
      </c>
      <c r="K3348">
        <v>112654313</v>
      </c>
      <c r="L3348">
        <v>106208154</v>
      </c>
      <c r="M3348">
        <v>99415477</v>
      </c>
      <c r="N3348">
        <v>93249572</v>
      </c>
      <c r="O3348">
        <v>89367171</v>
      </c>
      <c r="P3348">
        <v>110</v>
      </c>
      <c r="Q3348" t="s">
        <v>7039</v>
      </c>
    </row>
    <row r="3349" spans="1:17" x14ac:dyDescent="0.3">
      <c r="A3349" t="s">
        <v>4664</v>
      </c>
      <c r="B3349" t="str">
        <f>"002667"</f>
        <v>002667</v>
      </c>
      <c r="C3349" t="s">
        <v>7040</v>
      </c>
      <c r="D3349" t="s">
        <v>395</v>
      </c>
      <c r="F3349">
        <v>-16497124</v>
      </c>
      <c r="G3349">
        <v>12061171</v>
      </c>
      <c r="H3349">
        <v>22266713</v>
      </c>
      <c r="I3349">
        <v>18785619</v>
      </c>
      <c r="J3349">
        <v>24494652</v>
      </c>
      <c r="K3349">
        <v>-10712136</v>
      </c>
      <c r="L3349">
        <v>19217137</v>
      </c>
      <c r="M3349">
        <v>34413278</v>
      </c>
      <c r="N3349">
        <v>41661642</v>
      </c>
      <c r="O3349">
        <v>50502726</v>
      </c>
      <c r="P3349">
        <v>73</v>
      </c>
      <c r="Q3349" t="s">
        <v>7041</v>
      </c>
    </row>
    <row r="3350" spans="1:17" x14ac:dyDescent="0.3">
      <c r="A3350" t="s">
        <v>4664</v>
      </c>
      <c r="B3350" t="str">
        <f>"002668"</f>
        <v>002668</v>
      </c>
      <c r="C3350" t="s">
        <v>7042</v>
      </c>
      <c r="D3350" t="s">
        <v>754</v>
      </c>
      <c r="F3350">
        <v>-102436904</v>
      </c>
      <c r="G3350">
        <v>189112994</v>
      </c>
      <c r="H3350">
        <v>298971803</v>
      </c>
      <c r="I3350">
        <v>271976861</v>
      </c>
      <c r="J3350">
        <v>300232672</v>
      </c>
      <c r="K3350">
        <v>271681350</v>
      </c>
      <c r="L3350">
        <v>201754283</v>
      </c>
      <c r="M3350">
        <v>170452516</v>
      </c>
      <c r="N3350">
        <v>157106572</v>
      </c>
      <c r="O3350">
        <v>128129620</v>
      </c>
      <c r="P3350">
        <v>204</v>
      </c>
      <c r="Q3350" t="s">
        <v>7043</v>
      </c>
    </row>
    <row r="3351" spans="1:17" x14ac:dyDescent="0.3">
      <c r="A3351" t="s">
        <v>4664</v>
      </c>
      <c r="B3351" t="str">
        <f>"002669"</f>
        <v>002669</v>
      </c>
      <c r="C3351" t="s">
        <v>7044</v>
      </c>
      <c r="D3351" t="s">
        <v>3143</v>
      </c>
      <c r="F3351">
        <v>2244369</v>
      </c>
      <c r="G3351">
        <v>185268457</v>
      </c>
      <c r="H3351">
        <v>90168992</v>
      </c>
      <c r="I3351">
        <v>60267872</v>
      </c>
      <c r="J3351">
        <v>48993008</v>
      </c>
      <c r="K3351">
        <v>67219155</v>
      </c>
      <c r="L3351">
        <v>88249419</v>
      </c>
      <c r="M3351">
        <v>45602091</v>
      </c>
      <c r="N3351">
        <v>26060323</v>
      </c>
      <c r="O3351">
        <v>22805910</v>
      </c>
      <c r="P3351">
        <v>138</v>
      </c>
      <c r="Q3351" t="s">
        <v>7045</v>
      </c>
    </row>
    <row r="3352" spans="1:17" x14ac:dyDescent="0.3">
      <c r="A3352" t="s">
        <v>4664</v>
      </c>
      <c r="B3352" t="str">
        <f>"002670"</f>
        <v>002670</v>
      </c>
      <c r="C3352" t="s">
        <v>7046</v>
      </c>
      <c r="D3352" t="s">
        <v>80</v>
      </c>
      <c r="F3352">
        <v>196540942</v>
      </c>
      <c r="G3352">
        <v>-79924100</v>
      </c>
      <c r="H3352">
        <v>92582688</v>
      </c>
      <c r="I3352">
        <v>-254205570</v>
      </c>
      <c r="J3352">
        <v>336761124</v>
      </c>
      <c r="K3352">
        <v>232439857</v>
      </c>
      <c r="L3352">
        <v>31274422</v>
      </c>
      <c r="M3352">
        <v>76855292</v>
      </c>
      <c r="N3352">
        <v>67534399</v>
      </c>
      <c r="O3352">
        <v>53285945</v>
      </c>
      <c r="P3352">
        <v>580</v>
      </c>
      <c r="Q3352" t="s">
        <v>7047</v>
      </c>
    </row>
    <row r="3353" spans="1:17" x14ac:dyDescent="0.3">
      <c r="A3353" t="s">
        <v>4664</v>
      </c>
      <c r="B3353" t="str">
        <f>"002671"</f>
        <v>002671</v>
      </c>
      <c r="C3353" t="s">
        <v>7048</v>
      </c>
      <c r="D3353" t="s">
        <v>3071</v>
      </c>
      <c r="F3353">
        <v>15325316</v>
      </c>
      <c r="G3353">
        <v>-55360852</v>
      </c>
      <c r="H3353">
        <v>467674</v>
      </c>
      <c r="I3353">
        <v>19169120</v>
      </c>
      <c r="J3353">
        <v>-24643592</v>
      </c>
      <c r="K3353">
        <v>28456128</v>
      </c>
      <c r="L3353">
        <v>27422329</v>
      </c>
      <c r="M3353">
        <v>118657957</v>
      </c>
      <c r="N3353">
        <v>92082841</v>
      </c>
      <c r="O3353">
        <v>68430566</v>
      </c>
      <c r="P3353">
        <v>68</v>
      </c>
      <c r="Q3353" t="s">
        <v>7049</v>
      </c>
    </row>
    <row r="3354" spans="1:17" x14ac:dyDescent="0.3">
      <c r="A3354" t="s">
        <v>4664</v>
      </c>
      <c r="B3354" t="str">
        <f>"002672"</f>
        <v>002672</v>
      </c>
      <c r="C3354" t="s">
        <v>7050</v>
      </c>
      <c r="D3354" t="s">
        <v>499</v>
      </c>
      <c r="F3354">
        <v>162398728</v>
      </c>
      <c r="G3354">
        <v>229409574</v>
      </c>
      <c r="H3354">
        <v>332055139</v>
      </c>
      <c r="I3354">
        <v>372595041</v>
      </c>
      <c r="J3354">
        <v>326229234</v>
      </c>
      <c r="K3354">
        <v>380430147</v>
      </c>
      <c r="L3354">
        <v>264462103</v>
      </c>
      <c r="M3354">
        <v>196682103</v>
      </c>
      <c r="N3354">
        <v>163765077</v>
      </c>
      <c r="O3354">
        <v>203833638</v>
      </c>
      <c r="P3354">
        <v>317</v>
      </c>
      <c r="Q3354" t="s">
        <v>7051</v>
      </c>
    </row>
    <row r="3355" spans="1:17" x14ac:dyDescent="0.3">
      <c r="A3355" t="s">
        <v>4664</v>
      </c>
      <c r="B3355" t="str">
        <f>"002673"</f>
        <v>002673</v>
      </c>
      <c r="C3355" t="s">
        <v>7052</v>
      </c>
      <c r="D3355" t="s">
        <v>80</v>
      </c>
      <c r="F3355">
        <v>990435770</v>
      </c>
      <c r="G3355">
        <v>926193505</v>
      </c>
      <c r="H3355">
        <v>522444289</v>
      </c>
      <c r="I3355">
        <v>343988270</v>
      </c>
      <c r="J3355">
        <v>710007246</v>
      </c>
      <c r="K3355">
        <v>935256660</v>
      </c>
      <c r="L3355">
        <v>1727893807</v>
      </c>
      <c r="M3355">
        <v>420830830</v>
      </c>
      <c r="N3355">
        <v>262462639</v>
      </c>
      <c r="O3355">
        <v>164371730</v>
      </c>
      <c r="P3355">
        <v>1135</v>
      </c>
      <c r="Q3355" t="s">
        <v>7053</v>
      </c>
    </row>
    <row r="3356" spans="1:17" x14ac:dyDescent="0.3">
      <c r="A3356" t="s">
        <v>4664</v>
      </c>
      <c r="B3356" t="str">
        <f>"002674"</f>
        <v>002674</v>
      </c>
      <c r="C3356" t="s">
        <v>7054</v>
      </c>
      <c r="D3356" t="s">
        <v>2929</v>
      </c>
      <c r="F3356">
        <v>177337839</v>
      </c>
      <c r="G3356">
        <v>45453767</v>
      </c>
      <c r="H3356">
        <v>94167619</v>
      </c>
      <c r="I3356">
        <v>55155694</v>
      </c>
      <c r="J3356">
        <v>34573938</v>
      </c>
      <c r="K3356">
        <v>32639982</v>
      </c>
      <c r="L3356">
        <v>358505</v>
      </c>
      <c r="M3356">
        <v>89615392</v>
      </c>
      <c r="N3356">
        <v>131660196</v>
      </c>
      <c r="O3356">
        <v>108228642</v>
      </c>
      <c r="P3356">
        <v>102</v>
      </c>
      <c r="Q3356" t="s">
        <v>7055</v>
      </c>
    </row>
    <row r="3357" spans="1:17" x14ac:dyDescent="0.3">
      <c r="A3357" t="s">
        <v>4664</v>
      </c>
      <c r="B3357" t="str">
        <f>"002675"</f>
        <v>002675</v>
      </c>
      <c r="C3357" t="s">
        <v>7056</v>
      </c>
      <c r="D3357" t="s">
        <v>143</v>
      </c>
      <c r="F3357">
        <v>261802381</v>
      </c>
      <c r="G3357">
        <v>338205640</v>
      </c>
      <c r="H3357">
        <v>278884372</v>
      </c>
      <c r="I3357">
        <v>193702966</v>
      </c>
      <c r="J3357">
        <v>138259077</v>
      </c>
      <c r="K3357">
        <v>97450595</v>
      </c>
      <c r="L3357">
        <v>68586823</v>
      </c>
      <c r="M3357">
        <v>78559017</v>
      </c>
      <c r="N3357">
        <v>80396496</v>
      </c>
      <c r="O3357">
        <v>88644087</v>
      </c>
      <c r="P3357">
        <v>365</v>
      </c>
      <c r="Q3357" t="s">
        <v>7057</v>
      </c>
    </row>
    <row r="3358" spans="1:17" x14ac:dyDescent="0.3">
      <c r="A3358" t="s">
        <v>4664</v>
      </c>
      <c r="B3358" t="str">
        <f>"002676"</f>
        <v>002676</v>
      </c>
      <c r="C3358" t="s">
        <v>7058</v>
      </c>
      <c r="D3358" t="s">
        <v>1253</v>
      </c>
      <c r="F3358">
        <v>48316636</v>
      </c>
      <c r="G3358">
        <v>24542848</v>
      </c>
      <c r="H3358">
        <v>8219278</v>
      </c>
      <c r="I3358">
        <v>-13878538</v>
      </c>
      <c r="J3358">
        <v>10189497</v>
      </c>
      <c r="K3358">
        <v>27800264</v>
      </c>
      <c r="L3358">
        <v>10178113</v>
      </c>
      <c r="M3358">
        <v>39392503</v>
      </c>
      <c r="N3358">
        <v>47190124</v>
      </c>
      <c r="O3358">
        <v>51429309</v>
      </c>
      <c r="P3358">
        <v>87</v>
      </c>
      <c r="Q3358" t="s">
        <v>7059</v>
      </c>
    </row>
    <row r="3359" spans="1:17" x14ac:dyDescent="0.3">
      <c r="A3359" t="s">
        <v>4664</v>
      </c>
      <c r="B3359" t="str">
        <f>"002677"</f>
        <v>002677</v>
      </c>
      <c r="C3359" t="s">
        <v>7060</v>
      </c>
      <c r="D3359" t="s">
        <v>3680</v>
      </c>
      <c r="F3359">
        <v>450898296</v>
      </c>
      <c r="G3359">
        <v>335246604</v>
      </c>
      <c r="H3359">
        <v>304503476</v>
      </c>
      <c r="I3359">
        <v>247320315</v>
      </c>
      <c r="J3359">
        <v>180696585</v>
      </c>
      <c r="K3359">
        <v>122901491</v>
      </c>
      <c r="L3359">
        <v>91672750</v>
      </c>
      <c r="M3359">
        <v>82392853</v>
      </c>
      <c r="N3359">
        <v>55008247</v>
      </c>
      <c r="O3359">
        <v>48697323</v>
      </c>
      <c r="P3359">
        <v>4535</v>
      </c>
      <c r="Q3359" t="s">
        <v>7061</v>
      </c>
    </row>
    <row r="3360" spans="1:17" x14ac:dyDescent="0.3">
      <c r="A3360" t="s">
        <v>4664</v>
      </c>
      <c r="B3360" t="str">
        <f>"002678"</f>
        <v>002678</v>
      </c>
      <c r="C3360" t="s">
        <v>7062</v>
      </c>
      <c r="D3360" t="s">
        <v>2904</v>
      </c>
      <c r="F3360">
        <v>159681429</v>
      </c>
      <c r="G3360">
        <v>94405219</v>
      </c>
      <c r="H3360">
        <v>151793110</v>
      </c>
      <c r="I3360">
        <v>142872911</v>
      </c>
      <c r="J3360">
        <v>128149232</v>
      </c>
      <c r="K3360">
        <v>115221857</v>
      </c>
      <c r="L3360">
        <v>122022525</v>
      </c>
      <c r="M3360">
        <v>121551742</v>
      </c>
      <c r="N3360">
        <v>156101000</v>
      </c>
      <c r="O3360">
        <v>144931731</v>
      </c>
      <c r="P3360">
        <v>113</v>
      </c>
      <c r="Q3360" t="s">
        <v>7063</v>
      </c>
    </row>
    <row r="3361" spans="1:17" x14ac:dyDescent="0.3">
      <c r="A3361" t="s">
        <v>4664</v>
      </c>
      <c r="B3361" t="str">
        <f>"002679"</f>
        <v>002679</v>
      </c>
      <c r="C3361" t="s">
        <v>7064</v>
      </c>
      <c r="D3361" t="s">
        <v>603</v>
      </c>
      <c r="F3361">
        <v>-32119198</v>
      </c>
      <c r="G3361">
        <v>4180960</v>
      </c>
      <c r="H3361">
        <v>8392521</v>
      </c>
      <c r="I3361">
        <v>12842363</v>
      </c>
      <c r="J3361">
        <v>-5996899</v>
      </c>
      <c r="K3361">
        <v>-6181922</v>
      </c>
      <c r="L3361">
        <v>17631896</v>
      </c>
      <c r="M3361">
        <v>15313158</v>
      </c>
      <c r="N3361">
        <v>25861637</v>
      </c>
      <c r="O3361">
        <v>29139780</v>
      </c>
      <c r="P3361">
        <v>95</v>
      </c>
      <c r="Q3361" t="s">
        <v>7065</v>
      </c>
    </row>
    <row r="3362" spans="1:17" x14ac:dyDescent="0.3">
      <c r="A3362" t="s">
        <v>4664</v>
      </c>
      <c r="B3362" t="str">
        <f>"002680"</f>
        <v>002680</v>
      </c>
      <c r="C3362" t="s">
        <v>7066</v>
      </c>
      <c r="J3362">
        <v>436409736</v>
      </c>
      <c r="K3362">
        <v>265511894</v>
      </c>
      <c r="L3362">
        <v>4898061</v>
      </c>
      <c r="M3362">
        <v>13837618</v>
      </c>
      <c r="N3362">
        <v>29398677</v>
      </c>
      <c r="O3362">
        <v>60041879</v>
      </c>
      <c r="P3362">
        <v>221</v>
      </c>
      <c r="Q3362" t="s">
        <v>7067</v>
      </c>
    </row>
    <row r="3363" spans="1:17" x14ac:dyDescent="0.3">
      <c r="A3363" t="s">
        <v>4664</v>
      </c>
      <c r="B3363" t="str">
        <f>"002681"</f>
        <v>002681</v>
      </c>
      <c r="C3363" t="s">
        <v>7068</v>
      </c>
      <c r="D3363" t="s">
        <v>313</v>
      </c>
      <c r="F3363">
        <v>-146814807</v>
      </c>
      <c r="G3363">
        <v>1060756367</v>
      </c>
      <c r="H3363">
        <v>134772536</v>
      </c>
      <c r="I3363">
        <v>261894657</v>
      </c>
      <c r="J3363">
        <v>278290574</v>
      </c>
      <c r="K3363">
        <v>240625455</v>
      </c>
      <c r="L3363">
        <v>197365785</v>
      </c>
      <c r="M3363">
        <v>108892564</v>
      </c>
      <c r="N3363">
        <v>100675110</v>
      </c>
      <c r="O3363">
        <v>62538471</v>
      </c>
      <c r="P3363">
        <v>216</v>
      </c>
      <c r="Q3363" t="s">
        <v>7069</v>
      </c>
    </row>
    <row r="3364" spans="1:17" x14ac:dyDescent="0.3">
      <c r="A3364" t="s">
        <v>4664</v>
      </c>
      <c r="B3364" t="str">
        <f>"002682"</f>
        <v>002682</v>
      </c>
      <c r="C3364" t="s">
        <v>7070</v>
      </c>
      <c r="D3364" t="s">
        <v>2492</v>
      </c>
      <c r="F3364">
        <v>37299832</v>
      </c>
      <c r="G3364">
        <v>-65895882</v>
      </c>
      <c r="H3364">
        <v>58089485</v>
      </c>
      <c r="I3364">
        <v>91334297</v>
      </c>
      <c r="J3364">
        <v>107047927</v>
      </c>
      <c r="K3364">
        <v>29331704</v>
      </c>
      <c r="L3364">
        <v>33619355</v>
      </c>
      <c r="M3364">
        <v>37971273</v>
      </c>
      <c r="N3364">
        <v>80448474</v>
      </c>
      <c r="O3364">
        <v>93535308</v>
      </c>
      <c r="P3364">
        <v>80</v>
      </c>
      <c r="Q3364" t="s">
        <v>7071</v>
      </c>
    </row>
    <row r="3365" spans="1:17" x14ac:dyDescent="0.3">
      <c r="A3365" t="s">
        <v>4664</v>
      </c>
      <c r="B3365" t="str">
        <f>"002683"</f>
        <v>002683</v>
      </c>
      <c r="C3365" t="s">
        <v>7072</v>
      </c>
      <c r="D3365" t="s">
        <v>2713</v>
      </c>
      <c r="F3365">
        <v>339407451</v>
      </c>
      <c r="G3365">
        <v>271716069</v>
      </c>
      <c r="H3365">
        <v>218176459</v>
      </c>
      <c r="I3365">
        <v>153357284</v>
      </c>
      <c r="J3365">
        <v>105792877</v>
      </c>
      <c r="K3365">
        <v>29742026</v>
      </c>
      <c r="L3365">
        <v>83905137</v>
      </c>
      <c r="M3365">
        <v>112196434</v>
      </c>
      <c r="N3365">
        <v>100765156</v>
      </c>
      <c r="O3365">
        <v>64896846</v>
      </c>
      <c r="P3365">
        <v>270</v>
      </c>
      <c r="Q3365" t="s">
        <v>7073</v>
      </c>
    </row>
    <row r="3366" spans="1:17" x14ac:dyDescent="0.3">
      <c r="A3366" t="s">
        <v>4664</v>
      </c>
      <c r="B3366" t="str">
        <f>"002684"</f>
        <v>002684</v>
      </c>
      <c r="C3366" t="s">
        <v>7074</v>
      </c>
      <c r="D3366" t="s">
        <v>2359</v>
      </c>
      <c r="F3366">
        <v>-925768301</v>
      </c>
      <c r="G3366">
        <v>-710675074</v>
      </c>
      <c r="H3366">
        <v>-724565842</v>
      </c>
      <c r="I3366">
        <v>-587456284</v>
      </c>
      <c r="J3366">
        <v>92630884</v>
      </c>
      <c r="K3366">
        <v>5232000</v>
      </c>
      <c r="L3366">
        <v>3166719</v>
      </c>
      <c r="M3366">
        <v>1164872</v>
      </c>
      <c r="N3366">
        <v>-24381939</v>
      </c>
      <c r="O3366">
        <v>30470425</v>
      </c>
      <c r="P3366">
        <v>91</v>
      </c>
      <c r="Q3366" t="s">
        <v>7075</v>
      </c>
    </row>
    <row r="3367" spans="1:17" x14ac:dyDescent="0.3">
      <c r="A3367" t="s">
        <v>4664</v>
      </c>
      <c r="B3367" t="str">
        <f>"002685"</f>
        <v>002685</v>
      </c>
      <c r="C3367" t="s">
        <v>7076</v>
      </c>
      <c r="D3367" t="s">
        <v>2312</v>
      </c>
      <c r="F3367">
        <v>-76716028</v>
      </c>
      <c r="G3367">
        <v>92383735</v>
      </c>
      <c r="H3367">
        <v>167535429</v>
      </c>
      <c r="I3367">
        <v>344903796</v>
      </c>
      <c r="J3367">
        <v>23512002</v>
      </c>
      <c r="K3367">
        <v>16041702</v>
      </c>
      <c r="L3367">
        <v>11527256</v>
      </c>
      <c r="M3367">
        <v>4696033</v>
      </c>
      <c r="N3367">
        <v>16558881</v>
      </c>
      <c r="O3367">
        <v>33066941</v>
      </c>
      <c r="P3367">
        <v>109</v>
      </c>
      <c r="Q3367" t="s">
        <v>7077</v>
      </c>
    </row>
    <row r="3368" spans="1:17" x14ac:dyDescent="0.3">
      <c r="A3368" t="s">
        <v>4664</v>
      </c>
      <c r="B3368" t="str">
        <f>"002686"</f>
        <v>002686</v>
      </c>
      <c r="C3368" t="s">
        <v>7078</v>
      </c>
      <c r="D3368" t="s">
        <v>988</v>
      </c>
      <c r="F3368">
        <v>42738118</v>
      </c>
      <c r="G3368">
        <v>26893468</v>
      </c>
      <c r="H3368">
        <v>23007535</v>
      </c>
      <c r="I3368">
        <v>76859358</v>
      </c>
      <c r="J3368">
        <v>105543763</v>
      </c>
      <c r="K3368">
        <v>93612820</v>
      </c>
      <c r="L3368">
        <v>74818817</v>
      </c>
      <c r="M3368">
        <v>66047060</v>
      </c>
      <c r="N3368">
        <v>69323829</v>
      </c>
      <c r="O3368">
        <v>54496207</v>
      </c>
      <c r="P3368">
        <v>78</v>
      </c>
      <c r="Q3368" t="s">
        <v>7079</v>
      </c>
    </row>
    <row r="3369" spans="1:17" x14ac:dyDescent="0.3">
      <c r="A3369" t="s">
        <v>4664</v>
      </c>
      <c r="B3369" t="str">
        <f>"002687"</f>
        <v>002687</v>
      </c>
      <c r="C3369" t="s">
        <v>7080</v>
      </c>
      <c r="D3369" t="s">
        <v>255</v>
      </c>
      <c r="F3369">
        <v>102416595</v>
      </c>
      <c r="G3369">
        <v>69673121</v>
      </c>
      <c r="H3369">
        <v>78475058</v>
      </c>
      <c r="I3369">
        <v>59016170</v>
      </c>
      <c r="J3369">
        <v>46570037</v>
      </c>
      <c r="K3369">
        <v>44298134</v>
      </c>
      <c r="L3369">
        <v>40599518</v>
      </c>
      <c r="M3369">
        <v>49855578</v>
      </c>
      <c r="N3369">
        <v>44112255</v>
      </c>
      <c r="O3369">
        <v>61545344</v>
      </c>
      <c r="P3369">
        <v>127</v>
      </c>
      <c r="Q3369" t="s">
        <v>7081</v>
      </c>
    </row>
    <row r="3370" spans="1:17" x14ac:dyDescent="0.3">
      <c r="A3370" t="s">
        <v>4664</v>
      </c>
      <c r="B3370" t="str">
        <f>"002688"</f>
        <v>002688</v>
      </c>
      <c r="C3370" t="s">
        <v>7082</v>
      </c>
      <c r="D3370" t="s">
        <v>453</v>
      </c>
      <c r="F3370">
        <v>110277687</v>
      </c>
      <c r="G3370">
        <v>101937050</v>
      </c>
      <c r="H3370">
        <v>143258289</v>
      </c>
      <c r="I3370">
        <v>128903513</v>
      </c>
      <c r="J3370">
        <v>99258351</v>
      </c>
      <c r="K3370">
        <v>123470145</v>
      </c>
      <c r="L3370">
        <v>68657975</v>
      </c>
      <c r="M3370">
        <v>62104994</v>
      </c>
      <c r="N3370">
        <v>65696195</v>
      </c>
      <c r="O3370">
        <v>60196569</v>
      </c>
      <c r="P3370">
        <v>167</v>
      </c>
      <c r="Q3370" t="s">
        <v>7083</v>
      </c>
    </row>
    <row r="3371" spans="1:17" x14ac:dyDescent="0.3">
      <c r="A3371" t="s">
        <v>4664</v>
      </c>
      <c r="B3371" t="str">
        <f>"002689"</f>
        <v>002689</v>
      </c>
      <c r="C3371" t="s">
        <v>7084</v>
      </c>
      <c r="D3371" t="s">
        <v>1689</v>
      </c>
      <c r="F3371">
        <v>-11058782</v>
      </c>
      <c r="G3371">
        <v>-13954888</v>
      </c>
      <c r="H3371">
        <v>-49499502</v>
      </c>
      <c r="I3371">
        <v>-12523497</v>
      </c>
      <c r="J3371">
        <v>36596125</v>
      </c>
      <c r="K3371">
        <v>35507211</v>
      </c>
      <c r="L3371">
        <v>61863176</v>
      </c>
      <c r="M3371">
        <v>58484263</v>
      </c>
      <c r="N3371">
        <v>52773083</v>
      </c>
      <c r="O3371">
        <v>41458072</v>
      </c>
      <c r="P3371">
        <v>87</v>
      </c>
      <c r="Q3371" t="s">
        <v>7085</v>
      </c>
    </row>
    <row r="3372" spans="1:17" x14ac:dyDescent="0.3">
      <c r="A3372" t="s">
        <v>4664</v>
      </c>
      <c r="B3372" t="str">
        <f>"002690"</f>
        <v>002690</v>
      </c>
      <c r="C3372" t="s">
        <v>7086</v>
      </c>
      <c r="D3372" t="s">
        <v>741</v>
      </c>
      <c r="F3372">
        <v>428840784</v>
      </c>
      <c r="G3372">
        <v>326857323</v>
      </c>
      <c r="H3372">
        <v>401349630</v>
      </c>
      <c r="I3372">
        <v>319890164</v>
      </c>
      <c r="J3372">
        <v>261465101</v>
      </c>
      <c r="K3372">
        <v>217689318</v>
      </c>
      <c r="L3372">
        <v>213198619</v>
      </c>
      <c r="M3372">
        <v>193486618</v>
      </c>
      <c r="N3372">
        <v>148718359</v>
      </c>
      <c r="O3372">
        <v>115545317</v>
      </c>
      <c r="P3372">
        <v>3632</v>
      </c>
      <c r="Q3372" t="s">
        <v>7087</v>
      </c>
    </row>
    <row r="3373" spans="1:17" x14ac:dyDescent="0.3">
      <c r="A3373" t="s">
        <v>4664</v>
      </c>
      <c r="B3373" t="str">
        <f>"002691"</f>
        <v>002691</v>
      </c>
      <c r="C3373" t="s">
        <v>7088</v>
      </c>
      <c r="D3373" t="s">
        <v>395</v>
      </c>
      <c r="F3373">
        <v>4865300</v>
      </c>
      <c r="G3373">
        <v>-12553176</v>
      </c>
      <c r="H3373">
        <v>13462287</v>
      </c>
      <c r="I3373">
        <v>11730907</v>
      </c>
      <c r="J3373">
        <v>7979995</v>
      </c>
      <c r="K3373">
        <v>9072361</v>
      </c>
      <c r="L3373">
        <v>21124255</v>
      </c>
      <c r="M3373">
        <v>25941280</v>
      </c>
      <c r="N3373">
        <v>27498981</v>
      </c>
      <c r="O3373">
        <v>59406716</v>
      </c>
      <c r="P3373">
        <v>54</v>
      </c>
      <c r="Q3373" t="s">
        <v>7089</v>
      </c>
    </row>
    <row r="3374" spans="1:17" x14ac:dyDescent="0.3">
      <c r="A3374" t="s">
        <v>4664</v>
      </c>
      <c r="B3374" t="str">
        <f>"002692"</f>
        <v>002692</v>
      </c>
      <c r="C3374" t="s">
        <v>7090</v>
      </c>
      <c r="D3374" t="s">
        <v>1164</v>
      </c>
      <c r="F3374">
        <v>14153310</v>
      </c>
      <c r="G3374">
        <v>10996516</v>
      </c>
      <c r="H3374">
        <v>-71938717</v>
      </c>
      <c r="I3374">
        <v>35643078</v>
      </c>
      <c r="J3374">
        <v>46663241</v>
      </c>
      <c r="K3374">
        <v>87039245</v>
      </c>
      <c r="L3374">
        <v>121242862</v>
      </c>
      <c r="M3374">
        <v>81380555</v>
      </c>
      <c r="N3374">
        <v>106710996</v>
      </c>
      <c r="O3374">
        <v>110834360</v>
      </c>
      <c r="P3374">
        <v>53</v>
      </c>
      <c r="Q3374" t="s">
        <v>7091</v>
      </c>
    </row>
    <row r="3375" spans="1:17" x14ac:dyDescent="0.3">
      <c r="A3375" t="s">
        <v>4664</v>
      </c>
      <c r="B3375" t="str">
        <f>"002693"</f>
        <v>002693</v>
      </c>
      <c r="C3375" t="s">
        <v>7092</v>
      </c>
      <c r="D3375" t="s">
        <v>1379</v>
      </c>
      <c r="F3375">
        <v>-4033651</v>
      </c>
      <c r="G3375">
        <v>-25675297</v>
      </c>
      <c r="H3375">
        <v>-21633827</v>
      </c>
      <c r="I3375">
        <v>-32451960</v>
      </c>
      <c r="J3375">
        <v>-9620657</v>
      </c>
      <c r="K3375">
        <v>-222966162</v>
      </c>
      <c r="L3375">
        <v>37280968</v>
      </c>
      <c r="M3375">
        <v>37917056</v>
      </c>
      <c r="N3375">
        <v>43877492</v>
      </c>
      <c r="O3375">
        <v>46373564</v>
      </c>
      <c r="P3375">
        <v>95</v>
      </c>
      <c r="Q3375" t="s">
        <v>7093</v>
      </c>
    </row>
    <row r="3376" spans="1:17" x14ac:dyDescent="0.3">
      <c r="A3376" t="s">
        <v>4664</v>
      </c>
      <c r="B3376" t="str">
        <f>"002694"</f>
        <v>002694</v>
      </c>
      <c r="C3376" t="s">
        <v>7094</v>
      </c>
      <c r="D3376" t="s">
        <v>3320</v>
      </c>
      <c r="F3376">
        <v>-68209710</v>
      </c>
      <c r="G3376">
        <v>-32939169</v>
      </c>
      <c r="H3376">
        <v>4263815</v>
      </c>
      <c r="I3376">
        <v>17437608</v>
      </c>
      <c r="J3376">
        <v>19666375</v>
      </c>
      <c r="K3376">
        <v>14759208</v>
      </c>
      <c r="L3376">
        <v>25799762</v>
      </c>
      <c r="M3376">
        <v>65164847</v>
      </c>
      <c r="N3376">
        <v>76589189</v>
      </c>
      <c r="O3376">
        <v>91351728</v>
      </c>
      <c r="P3376">
        <v>71</v>
      </c>
      <c r="Q3376" t="s">
        <v>7095</v>
      </c>
    </row>
    <row r="3377" spans="1:17" x14ac:dyDescent="0.3">
      <c r="A3377" t="s">
        <v>4664</v>
      </c>
      <c r="B3377" t="str">
        <f>"002695"</f>
        <v>002695</v>
      </c>
      <c r="C3377" t="s">
        <v>7096</v>
      </c>
      <c r="D3377" t="s">
        <v>2962</v>
      </c>
      <c r="F3377">
        <v>183538088</v>
      </c>
      <c r="G3377">
        <v>233257161</v>
      </c>
      <c r="H3377">
        <v>211548098</v>
      </c>
      <c r="I3377">
        <v>168793552</v>
      </c>
      <c r="J3377">
        <v>121990084</v>
      </c>
      <c r="K3377">
        <v>81770654</v>
      </c>
      <c r="L3377">
        <v>59779443</v>
      </c>
      <c r="M3377">
        <v>84891566</v>
      </c>
      <c r="N3377">
        <v>91994668</v>
      </c>
      <c r="O3377">
        <v>73949473</v>
      </c>
      <c r="P3377">
        <v>623</v>
      </c>
      <c r="Q3377" t="s">
        <v>7097</v>
      </c>
    </row>
    <row r="3378" spans="1:17" x14ac:dyDescent="0.3">
      <c r="A3378" t="s">
        <v>4664</v>
      </c>
      <c r="B3378" t="str">
        <f>"002696"</f>
        <v>002696</v>
      </c>
      <c r="C3378" t="s">
        <v>7098</v>
      </c>
      <c r="D3378" t="s">
        <v>587</v>
      </c>
      <c r="F3378">
        <v>28528281</v>
      </c>
      <c r="G3378">
        <v>36580895</v>
      </c>
      <c r="H3378">
        <v>64610580</v>
      </c>
      <c r="I3378">
        <v>129880362</v>
      </c>
      <c r="J3378">
        <v>50165586</v>
      </c>
      <c r="K3378">
        <v>31032319</v>
      </c>
      <c r="L3378">
        <v>29079590</v>
      </c>
      <c r="M3378">
        <v>36407874</v>
      </c>
      <c r="N3378">
        <v>34726174</v>
      </c>
      <c r="O3378">
        <v>59310003</v>
      </c>
      <c r="P3378">
        <v>93</v>
      </c>
      <c r="Q3378" t="s">
        <v>7099</v>
      </c>
    </row>
    <row r="3379" spans="1:17" x14ac:dyDescent="0.3">
      <c r="A3379" t="s">
        <v>4664</v>
      </c>
      <c r="B3379" t="str">
        <f>"002697"</f>
        <v>002697</v>
      </c>
      <c r="C3379" t="s">
        <v>7100</v>
      </c>
      <c r="D3379" t="s">
        <v>798</v>
      </c>
      <c r="F3379">
        <v>349231727</v>
      </c>
      <c r="G3379">
        <v>402957950</v>
      </c>
      <c r="H3379">
        <v>406135261</v>
      </c>
      <c r="I3379">
        <v>255929326</v>
      </c>
      <c r="J3379">
        <v>135697933</v>
      </c>
      <c r="K3379">
        <v>134856107</v>
      </c>
      <c r="L3379">
        <v>154816338</v>
      </c>
      <c r="M3379">
        <v>139929216</v>
      </c>
      <c r="N3379">
        <v>132811534</v>
      </c>
      <c r="O3379">
        <v>131456742</v>
      </c>
      <c r="P3379">
        <v>503</v>
      </c>
      <c r="Q3379" t="s">
        <v>7101</v>
      </c>
    </row>
    <row r="3380" spans="1:17" x14ac:dyDescent="0.3">
      <c r="A3380" t="s">
        <v>4664</v>
      </c>
      <c r="B3380" t="str">
        <f>"002698"</f>
        <v>002698</v>
      </c>
      <c r="C3380" t="s">
        <v>7102</v>
      </c>
      <c r="D3380" t="s">
        <v>2911</v>
      </c>
      <c r="F3380">
        <v>421833630</v>
      </c>
      <c r="G3380">
        <v>329995544</v>
      </c>
      <c r="H3380">
        <v>249780904</v>
      </c>
      <c r="I3380">
        <v>131085610</v>
      </c>
      <c r="J3380">
        <v>89814558</v>
      </c>
      <c r="K3380">
        <v>69923006</v>
      </c>
      <c r="L3380">
        <v>146687276</v>
      </c>
      <c r="M3380">
        <v>162727189</v>
      </c>
      <c r="N3380">
        <v>163937379</v>
      </c>
      <c r="O3380">
        <v>132482329</v>
      </c>
      <c r="P3380">
        <v>271</v>
      </c>
      <c r="Q3380" t="s">
        <v>7103</v>
      </c>
    </row>
    <row r="3381" spans="1:17" x14ac:dyDescent="0.3">
      <c r="A3381" t="s">
        <v>4664</v>
      </c>
      <c r="B3381" t="str">
        <f>"002699"</f>
        <v>002699</v>
      </c>
      <c r="C3381" t="s">
        <v>7104</v>
      </c>
      <c r="D3381" t="s">
        <v>113</v>
      </c>
      <c r="F3381">
        <v>52861669</v>
      </c>
      <c r="G3381">
        <v>55206674</v>
      </c>
      <c r="H3381">
        <v>90721044</v>
      </c>
      <c r="I3381">
        <v>113152625</v>
      </c>
      <c r="J3381">
        <v>301778177</v>
      </c>
      <c r="K3381">
        <v>150014499</v>
      </c>
      <c r="L3381">
        <v>90061536</v>
      </c>
      <c r="M3381">
        <v>62380279</v>
      </c>
      <c r="N3381">
        <v>42035806</v>
      </c>
      <c r="O3381">
        <v>52060220</v>
      </c>
      <c r="P3381">
        <v>157</v>
      </c>
      <c r="Q3381" t="s">
        <v>7105</v>
      </c>
    </row>
    <row r="3382" spans="1:17" x14ac:dyDescent="0.3">
      <c r="A3382" t="s">
        <v>4664</v>
      </c>
      <c r="B3382" t="str">
        <f>"002700"</f>
        <v>002700</v>
      </c>
      <c r="C3382" t="s">
        <v>7106</v>
      </c>
      <c r="D3382" t="s">
        <v>749</v>
      </c>
      <c r="F3382">
        <v>65845358</v>
      </c>
      <c r="G3382">
        <v>48911499</v>
      </c>
      <c r="H3382">
        <v>57563837</v>
      </c>
      <c r="I3382">
        <v>45983596</v>
      </c>
      <c r="J3382">
        <v>51097020</v>
      </c>
      <c r="K3382">
        <v>55153837</v>
      </c>
      <c r="L3382">
        <v>86779798</v>
      </c>
      <c r="M3382">
        <v>78261894</v>
      </c>
      <c r="N3382">
        <v>57277487</v>
      </c>
      <c r="O3382">
        <v>44285084</v>
      </c>
      <c r="P3382">
        <v>53</v>
      </c>
      <c r="Q3382" t="s">
        <v>7107</v>
      </c>
    </row>
    <row r="3383" spans="1:17" x14ac:dyDescent="0.3">
      <c r="A3383" t="s">
        <v>4664</v>
      </c>
      <c r="B3383" t="str">
        <f>"002701"</f>
        <v>002701</v>
      </c>
      <c r="C3383" t="s">
        <v>7108</v>
      </c>
      <c r="D3383" t="s">
        <v>2364</v>
      </c>
      <c r="F3383">
        <v>824726899</v>
      </c>
      <c r="G3383">
        <v>482633967</v>
      </c>
      <c r="H3383">
        <v>686980173</v>
      </c>
      <c r="I3383">
        <v>702121822</v>
      </c>
      <c r="J3383">
        <v>652062298</v>
      </c>
      <c r="K3383">
        <v>1022924108</v>
      </c>
      <c r="L3383">
        <v>880488793</v>
      </c>
      <c r="M3383">
        <v>668352836</v>
      </c>
      <c r="N3383">
        <v>499780907</v>
      </c>
      <c r="O3383">
        <v>326990301</v>
      </c>
      <c r="P3383">
        <v>1656</v>
      </c>
      <c r="Q3383" t="s">
        <v>7109</v>
      </c>
    </row>
    <row r="3384" spans="1:17" x14ac:dyDescent="0.3">
      <c r="A3384" t="s">
        <v>4664</v>
      </c>
      <c r="B3384" t="str">
        <f>"002702"</f>
        <v>002702</v>
      </c>
      <c r="C3384" t="s">
        <v>7110</v>
      </c>
      <c r="D3384" t="s">
        <v>2838</v>
      </c>
      <c r="F3384">
        <v>-30657845</v>
      </c>
      <c r="G3384">
        <v>65973502</v>
      </c>
      <c r="H3384">
        <v>12385227</v>
      </c>
      <c r="I3384">
        <v>26794915</v>
      </c>
      <c r="J3384">
        <v>-25176334</v>
      </c>
      <c r="K3384">
        <v>8144521</v>
      </c>
      <c r="L3384">
        <v>-22899469</v>
      </c>
      <c r="M3384">
        <v>6333385</v>
      </c>
      <c r="N3384">
        <v>17185140</v>
      </c>
      <c r="O3384">
        <v>38166808</v>
      </c>
      <c r="P3384">
        <v>186</v>
      </c>
      <c r="Q3384" t="s">
        <v>7111</v>
      </c>
    </row>
    <row r="3385" spans="1:17" x14ac:dyDescent="0.3">
      <c r="A3385" t="s">
        <v>4664</v>
      </c>
      <c r="B3385" t="str">
        <f>"002703"</f>
        <v>002703</v>
      </c>
      <c r="C3385" t="s">
        <v>7112</v>
      </c>
      <c r="D3385" t="s">
        <v>348</v>
      </c>
      <c r="F3385">
        <v>42398508</v>
      </c>
      <c r="G3385">
        <v>38676123</v>
      </c>
      <c r="H3385">
        <v>-34789544</v>
      </c>
      <c r="I3385">
        <v>-5395019</v>
      </c>
      <c r="J3385">
        <v>41079029</v>
      </c>
      <c r="K3385">
        <v>50836201</v>
      </c>
      <c r="L3385">
        <v>48416773</v>
      </c>
      <c r="M3385">
        <v>36868282</v>
      </c>
      <c r="N3385">
        <v>43550705</v>
      </c>
      <c r="O3385">
        <v>62701049</v>
      </c>
      <c r="P3385">
        <v>76</v>
      </c>
      <c r="Q3385" t="s">
        <v>7113</v>
      </c>
    </row>
    <row r="3386" spans="1:17" x14ac:dyDescent="0.3">
      <c r="A3386" t="s">
        <v>4664</v>
      </c>
      <c r="B3386" t="str">
        <f>"002705"</f>
        <v>002705</v>
      </c>
      <c r="C3386" t="s">
        <v>7114</v>
      </c>
      <c r="D3386" t="s">
        <v>5712</v>
      </c>
      <c r="F3386">
        <v>594857319</v>
      </c>
      <c r="G3386">
        <v>909984008</v>
      </c>
      <c r="H3386">
        <v>518862877</v>
      </c>
      <c r="I3386">
        <v>358128561</v>
      </c>
      <c r="J3386">
        <v>331586925</v>
      </c>
      <c r="K3386">
        <v>326965240</v>
      </c>
      <c r="L3386">
        <v>222061392</v>
      </c>
      <c r="M3386">
        <v>154196870</v>
      </c>
      <c r="N3386">
        <v>145324624</v>
      </c>
      <c r="P3386">
        <v>1093</v>
      </c>
      <c r="Q3386" t="s">
        <v>7115</v>
      </c>
    </row>
    <row r="3387" spans="1:17" x14ac:dyDescent="0.3">
      <c r="A3387" t="s">
        <v>4664</v>
      </c>
      <c r="B3387" t="str">
        <f>"002706"</f>
        <v>002706</v>
      </c>
      <c r="C3387" t="s">
        <v>7116</v>
      </c>
      <c r="D3387" t="s">
        <v>657</v>
      </c>
      <c r="F3387">
        <v>346370785</v>
      </c>
      <c r="G3387">
        <v>318295612</v>
      </c>
      <c r="H3387">
        <v>253029691</v>
      </c>
      <c r="I3387">
        <v>219752427</v>
      </c>
      <c r="J3387">
        <v>182972862</v>
      </c>
      <c r="K3387">
        <v>131461628</v>
      </c>
      <c r="L3387">
        <v>106509952</v>
      </c>
      <c r="M3387">
        <v>83099909</v>
      </c>
      <c r="N3387">
        <v>60689174</v>
      </c>
      <c r="O3387">
        <v>49257978</v>
      </c>
      <c r="P3387">
        <v>761</v>
      </c>
      <c r="Q3387" t="s">
        <v>7117</v>
      </c>
    </row>
    <row r="3388" spans="1:17" x14ac:dyDescent="0.3">
      <c r="A3388" t="s">
        <v>4664</v>
      </c>
      <c r="B3388" t="str">
        <f>"002707"</f>
        <v>002707</v>
      </c>
      <c r="C3388" t="s">
        <v>7118</v>
      </c>
      <c r="D3388" t="s">
        <v>1120</v>
      </c>
      <c r="F3388">
        <v>-205412255</v>
      </c>
      <c r="G3388">
        <v>-312619181</v>
      </c>
      <c r="H3388">
        <v>114677130</v>
      </c>
      <c r="I3388">
        <v>208826631</v>
      </c>
      <c r="J3388">
        <v>181544258</v>
      </c>
      <c r="K3388">
        <v>210590760</v>
      </c>
      <c r="L3388">
        <v>170703462</v>
      </c>
      <c r="M3388">
        <v>93340976</v>
      </c>
      <c r="N3388">
        <v>75578093</v>
      </c>
      <c r="P3388">
        <v>295</v>
      </c>
      <c r="Q3388" t="s">
        <v>7119</v>
      </c>
    </row>
    <row r="3389" spans="1:17" x14ac:dyDescent="0.3">
      <c r="A3389" t="s">
        <v>4664</v>
      </c>
      <c r="B3389" t="str">
        <f>"002708"</f>
        <v>002708</v>
      </c>
      <c r="C3389" t="s">
        <v>7120</v>
      </c>
      <c r="D3389" t="s">
        <v>348</v>
      </c>
      <c r="F3389">
        <v>27237864</v>
      </c>
      <c r="G3389">
        <v>38787052</v>
      </c>
      <c r="H3389">
        <v>4237736</v>
      </c>
      <c r="I3389">
        <v>22254502</v>
      </c>
      <c r="J3389">
        <v>18780854</v>
      </c>
      <c r="K3389">
        <v>49991466</v>
      </c>
      <c r="L3389">
        <v>38095123</v>
      </c>
      <c r="M3389">
        <v>45977621</v>
      </c>
      <c r="N3389">
        <v>33594391</v>
      </c>
      <c r="P3389">
        <v>91</v>
      </c>
      <c r="Q3389" t="s">
        <v>7121</v>
      </c>
    </row>
    <row r="3390" spans="1:17" x14ac:dyDescent="0.3">
      <c r="A3390" t="s">
        <v>4664</v>
      </c>
      <c r="B3390" t="str">
        <f>"002709"</f>
        <v>002709</v>
      </c>
      <c r="C3390" t="s">
        <v>7122</v>
      </c>
      <c r="D3390" t="s">
        <v>1786</v>
      </c>
      <c r="F3390">
        <v>1553688755</v>
      </c>
      <c r="G3390">
        <v>518373889</v>
      </c>
      <c r="H3390">
        <v>90019275</v>
      </c>
      <c r="I3390">
        <v>472538697</v>
      </c>
      <c r="J3390">
        <v>277837561</v>
      </c>
      <c r="K3390">
        <v>316662663</v>
      </c>
      <c r="L3390">
        <v>50182656</v>
      </c>
      <c r="M3390">
        <v>50508436</v>
      </c>
      <c r="N3390">
        <v>52636213</v>
      </c>
      <c r="O3390">
        <v>57156686</v>
      </c>
      <c r="P3390">
        <v>1069</v>
      </c>
      <c r="Q3390" t="s">
        <v>7123</v>
      </c>
    </row>
    <row r="3391" spans="1:17" x14ac:dyDescent="0.3">
      <c r="A3391" t="s">
        <v>4664</v>
      </c>
      <c r="B3391" t="str">
        <f>"002710"</f>
        <v>002710</v>
      </c>
      <c r="C3391" t="s">
        <v>7124</v>
      </c>
      <c r="D3391" t="s">
        <v>7125</v>
      </c>
      <c r="N3391">
        <v>34246044</v>
      </c>
      <c r="P3391">
        <v>8</v>
      </c>
      <c r="Q3391" t="s">
        <v>7126</v>
      </c>
    </row>
    <row r="3392" spans="1:17" x14ac:dyDescent="0.3">
      <c r="A3392" t="s">
        <v>4664</v>
      </c>
      <c r="B3392" t="str">
        <f>"002711"</f>
        <v>002711</v>
      </c>
      <c r="C3392" t="s">
        <v>7127</v>
      </c>
      <c r="G3392">
        <v>-31334517</v>
      </c>
      <c r="H3392">
        <v>-90068162</v>
      </c>
      <c r="I3392">
        <v>195570283</v>
      </c>
      <c r="J3392">
        <v>279976572</v>
      </c>
      <c r="K3392">
        <v>159718371</v>
      </c>
      <c r="L3392">
        <v>96454508</v>
      </c>
      <c r="M3392">
        <v>79544555</v>
      </c>
      <c r="N3392">
        <v>84563644</v>
      </c>
      <c r="O3392">
        <v>81746400</v>
      </c>
      <c r="P3392">
        <v>74</v>
      </c>
      <c r="Q3392" t="s">
        <v>7128</v>
      </c>
    </row>
    <row r="3393" spans="1:17" x14ac:dyDescent="0.3">
      <c r="A3393" t="s">
        <v>4664</v>
      </c>
      <c r="B3393" t="str">
        <f>"002712"</f>
        <v>002712</v>
      </c>
      <c r="C3393" t="s">
        <v>7129</v>
      </c>
      <c r="D3393" t="s">
        <v>207</v>
      </c>
      <c r="F3393">
        <v>50485280</v>
      </c>
      <c r="G3393">
        <v>49307879</v>
      </c>
      <c r="H3393">
        <v>191446493</v>
      </c>
      <c r="I3393">
        <v>199905551</v>
      </c>
      <c r="J3393">
        <v>189828723</v>
      </c>
      <c r="K3393">
        <v>100768717</v>
      </c>
      <c r="L3393">
        <v>59195618</v>
      </c>
      <c r="M3393">
        <v>39735531</v>
      </c>
      <c r="N3393">
        <v>46203751</v>
      </c>
      <c r="P3393">
        <v>107</v>
      </c>
      <c r="Q3393" t="s">
        <v>7130</v>
      </c>
    </row>
    <row r="3394" spans="1:17" x14ac:dyDescent="0.3">
      <c r="A3394" t="s">
        <v>4664</v>
      </c>
      <c r="B3394" t="str">
        <f>"002713"</f>
        <v>002713</v>
      </c>
      <c r="C3394" t="s">
        <v>7131</v>
      </c>
      <c r="D3394" t="s">
        <v>450</v>
      </c>
      <c r="F3394">
        <v>-190187891</v>
      </c>
      <c r="G3394">
        <v>-213593597</v>
      </c>
      <c r="H3394">
        <v>-133128584</v>
      </c>
      <c r="I3394">
        <v>84471103</v>
      </c>
      <c r="J3394">
        <v>42332078</v>
      </c>
      <c r="K3394">
        <v>14984132</v>
      </c>
      <c r="L3394">
        <v>-26042081</v>
      </c>
      <c r="M3394">
        <v>25308118</v>
      </c>
      <c r="N3394">
        <v>22100000</v>
      </c>
      <c r="O3394">
        <v>15949300</v>
      </c>
      <c r="P3394">
        <v>268</v>
      </c>
      <c r="Q3394" t="s">
        <v>7132</v>
      </c>
    </row>
    <row r="3395" spans="1:17" x14ac:dyDescent="0.3">
      <c r="A3395" t="s">
        <v>4664</v>
      </c>
      <c r="B3395" t="str">
        <f>"002714"</f>
        <v>002714</v>
      </c>
      <c r="C3395" t="s">
        <v>7133</v>
      </c>
      <c r="D3395" t="s">
        <v>1894</v>
      </c>
      <c r="F3395">
        <v>8704266224</v>
      </c>
      <c r="G3395">
        <v>20987828338</v>
      </c>
      <c r="H3395">
        <v>1386912669</v>
      </c>
      <c r="I3395">
        <v>350190782</v>
      </c>
      <c r="J3395">
        <v>1812211859</v>
      </c>
      <c r="K3395">
        <v>1761932747</v>
      </c>
      <c r="L3395">
        <v>278997065</v>
      </c>
      <c r="M3395">
        <v>2699383</v>
      </c>
      <c r="N3395">
        <v>147376091</v>
      </c>
      <c r="P3395">
        <v>4953</v>
      </c>
      <c r="Q3395" t="s">
        <v>7134</v>
      </c>
    </row>
    <row r="3396" spans="1:17" x14ac:dyDescent="0.3">
      <c r="A3396" t="s">
        <v>4664</v>
      </c>
      <c r="B3396" t="str">
        <f>"002715"</f>
        <v>002715</v>
      </c>
      <c r="C3396" t="s">
        <v>7135</v>
      </c>
      <c r="D3396" t="s">
        <v>348</v>
      </c>
      <c r="F3396">
        <v>1465734</v>
      </c>
      <c r="G3396">
        <v>4418538</v>
      </c>
      <c r="H3396">
        <v>3805239</v>
      </c>
      <c r="I3396">
        <v>8595269</v>
      </c>
      <c r="J3396">
        <v>6440096</v>
      </c>
      <c r="K3396">
        <v>-4276327</v>
      </c>
      <c r="L3396">
        <v>-19869058</v>
      </c>
      <c r="M3396">
        <v>15230034</v>
      </c>
      <c r="N3396">
        <v>24308972</v>
      </c>
      <c r="P3396">
        <v>61</v>
      </c>
      <c r="Q3396" t="s">
        <v>7136</v>
      </c>
    </row>
    <row r="3397" spans="1:17" x14ac:dyDescent="0.3">
      <c r="A3397" t="s">
        <v>4664</v>
      </c>
      <c r="B3397" t="str">
        <f>"002716"</f>
        <v>002716</v>
      </c>
      <c r="C3397" t="s">
        <v>7137</v>
      </c>
      <c r="D3397" t="s">
        <v>2072</v>
      </c>
      <c r="F3397">
        <v>5068440</v>
      </c>
      <c r="G3397">
        <v>-2144889666</v>
      </c>
      <c r="H3397">
        <v>-1584354518</v>
      </c>
      <c r="I3397">
        <v>209584945</v>
      </c>
      <c r="J3397">
        <v>186420675</v>
      </c>
      <c r="K3397">
        <v>132558636</v>
      </c>
      <c r="L3397">
        <v>105508737</v>
      </c>
      <c r="M3397">
        <v>96583812</v>
      </c>
      <c r="N3397">
        <v>108364228</v>
      </c>
      <c r="O3397">
        <v>127722908</v>
      </c>
      <c r="P3397">
        <v>129</v>
      </c>
      <c r="Q3397" t="s">
        <v>7138</v>
      </c>
    </row>
    <row r="3398" spans="1:17" x14ac:dyDescent="0.3">
      <c r="A3398" t="s">
        <v>4664</v>
      </c>
      <c r="B3398" t="str">
        <f>"002717"</f>
        <v>002717</v>
      </c>
      <c r="C3398" t="s">
        <v>7139</v>
      </c>
      <c r="D3398" t="s">
        <v>2408</v>
      </c>
      <c r="F3398">
        <v>41469564</v>
      </c>
      <c r="G3398">
        <v>76389754</v>
      </c>
      <c r="H3398">
        <v>304893158</v>
      </c>
      <c r="I3398">
        <v>572177307</v>
      </c>
      <c r="J3398">
        <v>304715739</v>
      </c>
      <c r="K3398">
        <v>172958035</v>
      </c>
      <c r="L3398">
        <v>117184190</v>
      </c>
      <c r="M3398">
        <v>87354333</v>
      </c>
      <c r="N3398">
        <v>73866004</v>
      </c>
      <c r="P3398">
        <v>394</v>
      </c>
      <c r="Q3398" t="s">
        <v>7140</v>
      </c>
    </row>
    <row r="3399" spans="1:17" x14ac:dyDescent="0.3">
      <c r="A3399" t="s">
        <v>4664</v>
      </c>
      <c r="B3399" t="str">
        <f>"002718"</f>
        <v>002718</v>
      </c>
      <c r="C3399" t="s">
        <v>7141</v>
      </c>
      <c r="D3399" t="s">
        <v>722</v>
      </c>
      <c r="F3399">
        <v>32406451</v>
      </c>
      <c r="G3399">
        <v>60750108</v>
      </c>
      <c r="H3399">
        <v>48965920</v>
      </c>
      <c r="I3399">
        <v>94860935</v>
      </c>
      <c r="J3399">
        <v>91105513</v>
      </c>
      <c r="K3399">
        <v>84399958</v>
      </c>
      <c r="L3399">
        <v>75747775</v>
      </c>
      <c r="M3399">
        <v>71552603</v>
      </c>
      <c r="N3399">
        <v>51505712</v>
      </c>
      <c r="P3399">
        <v>170</v>
      </c>
      <c r="Q3399" t="s">
        <v>7142</v>
      </c>
    </row>
    <row r="3400" spans="1:17" x14ac:dyDescent="0.3">
      <c r="A3400" t="s">
        <v>4664</v>
      </c>
      <c r="B3400" t="str">
        <f>"002719"</f>
        <v>002719</v>
      </c>
      <c r="C3400" t="s">
        <v>7143</v>
      </c>
      <c r="D3400" t="s">
        <v>900</v>
      </c>
      <c r="F3400">
        <v>17552127</v>
      </c>
      <c r="G3400">
        <v>13900352</v>
      </c>
      <c r="H3400">
        <v>18434469</v>
      </c>
      <c r="I3400">
        <v>25842373</v>
      </c>
      <c r="J3400">
        <v>23487090</v>
      </c>
      <c r="K3400">
        <v>46072753</v>
      </c>
      <c r="L3400">
        <v>57075734</v>
      </c>
      <c r="M3400">
        <v>37411837</v>
      </c>
      <c r="N3400">
        <v>46372667</v>
      </c>
      <c r="P3400">
        <v>97</v>
      </c>
      <c r="Q3400" t="s">
        <v>7144</v>
      </c>
    </row>
    <row r="3401" spans="1:17" x14ac:dyDescent="0.3">
      <c r="A3401" t="s">
        <v>4664</v>
      </c>
      <c r="B3401" t="str">
        <f>"002720"</f>
        <v>002720</v>
      </c>
      <c r="C3401" t="s">
        <v>7145</v>
      </c>
      <c r="D3401" t="s">
        <v>2929</v>
      </c>
      <c r="P3401">
        <v>11</v>
      </c>
      <c r="Q3401" t="s">
        <v>7146</v>
      </c>
    </row>
    <row r="3402" spans="1:17" x14ac:dyDescent="0.3">
      <c r="A3402" t="s">
        <v>4664</v>
      </c>
      <c r="B3402" t="str">
        <f>"002721"</f>
        <v>002721</v>
      </c>
      <c r="C3402" t="s">
        <v>7147</v>
      </c>
      <c r="D3402" t="s">
        <v>1238</v>
      </c>
      <c r="F3402">
        <v>-318098529</v>
      </c>
      <c r="G3402">
        <v>-445399064</v>
      </c>
      <c r="H3402">
        <v>68005414</v>
      </c>
      <c r="I3402">
        <v>10531030</v>
      </c>
      <c r="J3402">
        <v>82286334</v>
      </c>
      <c r="K3402">
        <v>81589574</v>
      </c>
      <c r="L3402">
        <v>91677851</v>
      </c>
      <c r="M3402">
        <v>34363498</v>
      </c>
      <c r="N3402">
        <v>66582240</v>
      </c>
      <c r="O3402">
        <v>35817107</v>
      </c>
      <c r="P3402">
        <v>89</v>
      </c>
      <c r="Q3402" t="s">
        <v>7148</v>
      </c>
    </row>
    <row r="3403" spans="1:17" x14ac:dyDescent="0.3">
      <c r="A3403" t="s">
        <v>4664</v>
      </c>
      <c r="B3403" t="str">
        <f>"002722"</f>
        <v>002722</v>
      </c>
      <c r="C3403" t="s">
        <v>7149</v>
      </c>
      <c r="D3403" t="s">
        <v>366</v>
      </c>
      <c r="F3403">
        <v>124564194</v>
      </c>
      <c r="G3403">
        <v>20297466</v>
      </c>
      <c r="H3403">
        <v>89380861</v>
      </c>
      <c r="I3403">
        <v>97405068</v>
      </c>
      <c r="J3403">
        <v>93989125</v>
      </c>
      <c r="K3403">
        <v>99988520</v>
      </c>
      <c r="L3403">
        <v>44358840</v>
      </c>
      <c r="M3403">
        <v>26641849</v>
      </c>
      <c r="N3403">
        <v>37271748</v>
      </c>
      <c r="O3403">
        <v>40593895</v>
      </c>
      <c r="P3403">
        <v>102</v>
      </c>
      <c r="Q3403" t="s">
        <v>7150</v>
      </c>
    </row>
    <row r="3404" spans="1:17" x14ac:dyDescent="0.3">
      <c r="A3404" t="s">
        <v>4664</v>
      </c>
      <c r="B3404" t="str">
        <f>"002723"</f>
        <v>002723</v>
      </c>
      <c r="C3404" t="s">
        <v>7151</v>
      </c>
      <c r="D3404" t="s">
        <v>598</v>
      </c>
      <c r="F3404">
        <v>7161116</v>
      </c>
      <c r="G3404">
        <v>19748393</v>
      </c>
      <c r="H3404">
        <v>37460934</v>
      </c>
      <c r="I3404">
        <v>-14359660</v>
      </c>
      <c r="J3404">
        <v>14894623</v>
      </c>
      <c r="K3404">
        <v>5392548</v>
      </c>
      <c r="L3404">
        <v>35816218</v>
      </c>
      <c r="M3404">
        <v>32812996</v>
      </c>
      <c r="N3404">
        <v>32797727</v>
      </c>
      <c r="O3404">
        <v>52319094</v>
      </c>
      <c r="P3404">
        <v>92</v>
      </c>
      <c r="Q3404" t="s">
        <v>7152</v>
      </c>
    </row>
    <row r="3405" spans="1:17" x14ac:dyDescent="0.3">
      <c r="A3405" t="s">
        <v>4664</v>
      </c>
      <c r="B3405" t="str">
        <f>"002724"</f>
        <v>002724</v>
      </c>
      <c r="C3405" t="s">
        <v>7153</v>
      </c>
      <c r="D3405" t="s">
        <v>651</v>
      </c>
      <c r="F3405">
        <v>218995729</v>
      </c>
      <c r="G3405">
        <v>146925300</v>
      </c>
      <c r="H3405">
        <v>103910261</v>
      </c>
      <c r="I3405">
        <v>79791225</v>
      </c>
      <c r="J3405">
        <v>66748381</v>
      </c>
      <c r="K3405">
        <v>19972513</v>
      </c>
      <c r="L3405">
        <v>-7426932</v>
      </c>
      <c r="M3405">
        <v>88677173</v>
      </c>
      <c r="N3405">
        <v>91825209</v>
      </c>
      <c r="P3405">
        <v>139</v>
      </c>
      <c r="Q3405" t="s">
        <v>7154</v>
      </c>
    </row>
    <row r="3406" spans="1:17" x14ac:dyDescent="0.3">
      <c r="A3406" t="s">
        <v>4664</v>
      </c>
      <c r="B3406" t="str">
        <f>"002725"</f>
        <v>002725</v>
      </c>
      <c r="C3406" t="s">
        <v>7155</v>
      </c>
      <c r="D3406" t="s">
        <v>422</v>
      </c>
      <c r="F3406">
        <v>1014282</v>
      </c>
      <c r="G3406">
        <v>9707177</v>
      </c>
      <c r="H3406">
        <v>38098310</v>
      </c>
      <c r="I3406">
        <v>26695078</v>
      </c>
      <c r="J3406">
        <v>20396520</v>
      </c>
      <c r="K3406">
        <v>37045876</v>
      </c>
      <c r="L3406">
        <v>46685684</v>
      </c>
      <c r="M3406">
        <v>78063149</v>
      </c>
      <c r="N3406">
        <v>78003993</v>
      </c>
      <c r="P3406">
        <v>135</v>
      </c>
      <c r="Q3406" t="s">
        <v>7156</v>
      </c>
    </row>
    <row r="3407" spans="1:17" x14ac:dyDescent="0.3">
      <c r="A3407" t="s">
        <v>4664</v>
      </c>
      <c r="B3407" t="str">
        <f>"002726"</f>
        <v>002726</v>
      </c>
      <c r="C3407" t="s">
        <v>7157</v>
      </c>
      <c r="D3407" t="s">
        <v>170</v>
      </c>
      <c r="F3407">
        <v>327784246</v>
      </c>
      <c r="G3407">
        <v>614067011</v>
      </c>
      <c r="H3407">
        <v>153662317</v>
      </c>
      <c r="I3407">
        <v>127273403</v>
      </c>
      <c r="J3407">
        <v>165083666</v>
      </c>
      <c r="K3407">
        <v>205800040</v>
      </c>
      <c r="L3407">
        <v>92834397</v>
      </c>
      <c r="M3407">
        <v>79381565</v>
      </c>
      <c r="N3407">
        <v>93976306</v>
      </c>
      <c r="P3407">
        <v>1021</v>
      </c>
      <c r="Q3407" t="s">
        <v>7158</v>
      </c>
    </row>
    <row r="3408" spans="1:17" x14ac:dyDescent="0.3">
      <c r="A3408" t="s">
        <v>4664</v>
      </c>
      <c r="B3408" t="str">
        <f>"002727"</f>
        <v>002727</v>
      </c>
      <c r="C3408" t="s">
        <v>7159</v>
      </c>
      <c r="D3408" t="s">
        <v>1684</v>
      </c>
      <c r="F3408">
        <v>763903689</v>
      </c>
      <c r="G3408">
        <v>604138516</v>
      </c>
      <c r="H3408">
        <v>484090263</v>
      </c>
      <c r="I3408">
        <v>418536221</v>
      </c>
      <c r="J3408">
        <v>315971349</v>
      </c>
      <c r="K3408">
        <v>283891208</v>
      </c>
      <c r="L3408">
        <v>251364715</v>
      </c>
      <c r="M3408">
        <v>225378829</v>
      </c>
      <c r="N3408">
        <v>174579545</v>
      </c>
      <c r="P3408">
        <v>1246</v>
      </c>
      <c r="Q3408" t="s">
        <v>7160</v>
      </c>
    </row>
    <row r="3409" spans="1:17" x14ac:dyDescent="0.3">
      <c r="A3409" t="s">
        <v>4664</v>
      </c>
      <c r="B3409" t="str">
        <f>"002728"</f>
        <v>002728</v>
      </c>
      <c r="C3409" t="s">
        <v>7161</v>
      </c>
      <c r="D3409" t="s">
        <v>188</v>
      </c>
      <c r="F3409">
        <v>102867802</v>
      </c>
      <c r="G3409">
        <v>28771180</v>
      </c>
      <c r="H3409">
        <v>134227747</v>
      </c>
      <c r="I3409">
        <v>121399250</v>
      </c>
      <c r="J3409">
        <v>81383055</v>
      </c>
      <c r="K3409">
        <v>66476811</v>
      </c>
      <c r="L3409">
        <v>62339001</v>
      </c>
      <c r="M3409">
        <v>64359361</v>
      </c>
      <c r="N3409">
        <v>63224764</v>
      </c>
      <c r="P3409">
        <v>286</v>
      </c>
      <c r="Q3409" t="s">
        <v>7162</v>
      </c>
    </row>
    <row r="3410" spans="1:17" x14ac:dyDescent="0.3">
      <c r="A3410" t="s">
        <v>4664</v>
      </c>
      <c r="B3410" t="str">
        <f>"002729"</f>
        <v>002729</v>
      </c>
      <c r="C3410" t="s">
        <v>7163</v>
      </c>
      <c r="D3410" t="s">
        <v>651</v>
      </c>
      <c r="F3410">
        <v>16584898</v>
      </c>
      <c r="G3410">
        <v>11987193</v>
      </c>
      <c r="H3410">
        <v>15130960</v>
      </c>
      <c r="I3410">
        <v>16928620</v>
      </c>
      <c r="J3410">
        <v>22362013</v>
      </c>
      <c r="K3410">
        <v>15056717</v>
      </c>
      <c r="L3410">
        <v>20233152</v>
      </c>
      <c r="M3410">
        <v>29482079</v>
      </c>
      <c r="N3410">
        <v>31689920</v>
      </c>
      <c r="P3410">
        <v>71</v>
      </c>
      <c r="Q3410" t="s">
        <v>7164</v>
      </c>
    </row>
    <row r="3411" spans="1:17" x14ac:dyDescent="0.3">
      <c r="A3411" t="s">
        <v>4664</v>
      </c>
      <c r="B3411" t="str">
        <f>"002730"</f>
        <v>002730</v>
      </c>
      <c r="C3411" t="s">
        <v>7165</v>
      </c>
      <c r="D3411" t="s">
        <v>395</v>
      </c>
      <c r="F3411">
        <v>51788241</v>
      </c>
      <c r="G3411">
        <v>45712034</v>
      </c>
      <c r="H3411">
        <v>59615646</v>
      </c>
      <c r="I3411">
        <v>49047942</v>
      </c>
      <c r="J3411">
        <v>38219003</v>
      </c>
      <c r="K3411">
        <v>27887748</v>
      </c>
      <c r="L3411">
        <v>40989707</v>
      </c>
      <c r="M3411">
        <v>43602995</v>
      </c>
      <c r="N3411">
        <v>43682297</v>
      </c>
      <c r="P3411">
        <v>82</v>
      </c>
      <c r="Q3411" t="s">
        <v>7166</v>
      </c>
    </row>
    <row r="3412" spans="1:17" x14ac:dyDescent="0.3">
      <c r="A3412" t="s">
        <v>4664</v>
      </c>
      <c r="B3412" t="str">
        <f>"002731"</f>
        <v>002731</v>
      </c>
      <c r="C3412" t="s">
        <v>7167</v>
      </c>
      <c r="D3412" t="s">
        <v>1238</v>
      </c>
      <c r="F3412">
        <v>46399815</v>
      </c>
      <c r="G3412">
        <v>35658718</v>
      </c>
      <c r="H3412">
        <v>22946107</v>
      </c>
      <c r="I3412">
        <v>30892930</v>
      </c>
      <c r="J3412">
        <v>46117379</v>
      </c>
      <c r="K3412">
        <v>25218130</v>
      </c>
      <c r="L3412">
        <v>52223751</v>
      </c>
      <c r="M3412">
        <v>94161991</v>
      </c>
      <c r="N3412">
        <v>43885802</v>
      </c>
      <c r="P3412">
        <v>81</v>
      </c>
      <c r="Q3412" t="s">
        <v>7168</v>
      </c>
    </row>
    <row r="3413" spans="1:17" x14ac:dyDescent="0.3">
      <c r="A3413" t="s">
        <v>4664</v>
      </c>
      <c r="B3413" t="str">
        <f>"002732"</f>
        <v>002732</v>
      </c>
      <c r="C3413" t="s">
        <v>7169</v>
      </c>
      <c r="D3413" t="s">
        <v>900</v>
      </c>
      <c r="F3413">
        <v>157897062</v>
      </c>
      <c r="G3413">
        <v>96135827</v>
      </c>
      <c r="H3413">
        <v>110608695</v>
      </c>
      <c r="I3413">
        <v>64703575</v>
      </c>
      <c r="J3413">
        <v>106011436</v>
      </c>
      <c r="K3413">
        <v>89672354</v>
      </c>
      <c r="L3413">
        <v>80606514</v>
      </c>
      <c r="M3413">
        <v>64719343</v>
      </c>
      <c r="N3413">
        <v>57042941</v>
      </c>
      <c r="P3413">
        <v>349</v>
      </c>
      <c r="Q3413" t="s">
        <v>7170</v>
      </c>
    </row>
    <row r="3414" spans="1:17" x14ac:dyDescent="0.3">
      <c r="A3414" t="s">
        <v>4664</v>
      </c>
      <c r="B3414" t="str">
        <f>"002733"</f>
        <v>002733</v>
      </c>
      <c r="C3414" t="s">
        <v>7171</v>
      </c>
      <c r="D3414" t="s">
        <v>555</v>
      </c>
      <c r="F3414">
        <v>-5693844</v>
      </c>
      <c r="G3414">
        <v>55439084</v>
      </c>
      <c r="H3414">
        <v>153983847</v>
      </c>
      <c r="I3414">
        <v>71852965</v>
      </c>
      <c r="J3414">
        <v>70218636</v>
      </c>
      <c r="K3414">
        <v>93103891</v>
      </c>
      <c r="L3414">
        <v>92038678</v>
      </c>
      <c r="M3414">
        <v>71776935</v>
      </c>
      <c r="N3414">
        <v>54008874</v>
      </c>
      <c r="P3414">
        <v>236</v>
      </c>
      <c r="Q3414" t="s">
        <v>7172</v>
      </c>
    </row>
    <row r="3415" spans="1:17" x14ac:dyDescent="0.3">
      <c r="A3415" t="s">
        <v>4664</v>
      </c>
      <c r="B3415" t="str">
        <f>"002734"</f>
        <v>002734</v>
      </c>
      <c r="C3415" t="s">
        <v>7173</v>
      </c>
      <c r="D3415" t="s">
        <v>853</v>
      </c>
      <c r="F3415">
        <v>269950449</v>
      </c>
      <c r="G3415">
        <v>373916724</v>
      </c>
      <c r="H3415">
        <v>286477879</v>
      </c>
      <c r="I3415">
        <v>150216500</v>
      </c>
      <c r="J3415">
        <v>111362682</v>
      </c>
      <c r="K3415">
        <v>69472231</v>
      </c>
      <c r="L3415">
        <v>35973416</v>
      </c>
      <c r="M3415">
        <v>36089306</v>
      </c>
      <c r="P3415">
        <v>261</v>
      </c>
      <c r="Q3415" t="s">
        <v>7174</v>
      </c>
    </row>
    <row r="3416" spans="1:17" x14ac:dyDescent="0.3">
      <c r="A3416" t="s">
        <v>4664</v>
      </c>
      <c r="B3416" t="str">
        <f>"002735"</f>
        <v>002735</v>
      </c>
      <c r="C3416" t="s">
        <v>7175</v>
      </c>
      <c r="D3416" t="s">
        <v>485</v>
      </c>
      <c r="F3416">
        <v>48394414</v>
      </c>
      <c r="G3416">
        <v>43523692</v>
      </c>
      <c r="H3416">
        <v>33918669</v>
      </c>
      <c r="I3416">
        <v>31409763</v>
      </c>
      <c r="J3416">
        <v>30943632</v>
      </c>
      <c r="K3416">
        <v>22193650</v>
      </c>
      <c r="L3416">
        <v>17166311</v>
      </c>
      <c r="M3416">
        <v>21265998</v>
      </c>
      <c r="P3416">
        <v>71</v>
      </c>
      <c r="Q3416" t="s">
        <v>7176</v>
      </c>
    </row>
    <row r="3417" spans="1:17" x14ac:dyDescent="0.3">
      <c r="A3417" t="s">
        <v>4664</v>
      </c>
      <c r="B3417" t="str">
        <f>"002736"</f>
        <v>002736</v>
      </c>
      <c r="C3417" t="s">
        <v>7177</v>
      </c>
      <c r="D3417" t="s">
        <v>80</v>
      </c>
      <c r="F3417">
        <v>7799773557</v>
      </c>
      <c r="G3417">
        <v>5474102563</v>
      </c>
      <c r="H3417">
        <v>3734666765</v>
      </c>
      <c r="I3417">
        <v>1931398883</v>
      </c>
      <c r="J3417">
        <v>3360041653</v>
      </c>
      <c r="K3417">
        <v>3704908519</v>
      </c>
      <c r="L3417">
        <v>11082582571</v>
      </c>
      <c r="M3417">
        <v>2752259169</v>
      </c>
      <c r="N3417">
        <v>1776094103.1900001</v>
      </c>
      <c r="O3417">
        <v>1504214017.78</v>
      </c>
      <c r="P3417">
        <v>2389</v>
      </c>
      <c r="Q3417" t="s">
        <v>7178</v>
      </c>
    </row>
    <row r="3418" spans="1:17" x14ac:dyDescent="0.3">
      <c r="A3418" t="s">
        <v>4664</v>
      </c>
      <c r="B3418" t="str">
        <f>"002737"</f>
        <v>002737</v>
      </c>
      <c r="C3418" t="s">
        <v>7179</v>
      </c>
      <c r="D3418" t="s">
        <v>188</v>
      </c>
      <c r="F3418">
        <v>400698884</v>
      </c>
      <c r="G3418">
        <v>316787000</v>
      </c>
      <c r="H3418">
        <v>373323093</v>
      </c>
      <c r="I3418">
        <v>345451526</v>
      </c>
      <c r="J3418">
        <v>245865924</v>
      </c>
      <c r="K3418">
        <v>122671324</v>
      </c>
      <c r="L3418">
        <v>199579321</v>
      </c>
      <c r="M3418">
        <v>194027300</v>
      </c>
      <c r="N3418">
        <v>189214500</v>
      </c>
      <c r="P3418">
        <v>1117</v>
      </c>
      <c r="Q3418" t="s">
        <v>7180</v>
      </c>
    </row>
    <row r="3419" spans="1:17" x14ac:dyDescent="0.3">
      <c r="A3419" t="s">
        <v>4664</v>
      </c>
      <c r="B3419" t="str">
        <f>"002738"</f>
        <v>002738</v>
      </c>
      <c r="C3419" t="s">
        <v>7181</v>
      </c>
      <c r="D3419" t="s">
        <v>636</v>
      </c>
      <c r="F3419">
        <v>302312076</v>
      </c>
      <c r="G3419">
        <v>100528741</v>
      </c>
      <c r="H3419">
        <v>126407701</v>
      </c>
      <c r="I3419">
        <v>62722569</v>
      </c>
      <c r="J3419">
        <v>30880273</v>
      </c>
      <c r="K3419">
        <v>29909610</v>
      </c>
      <c r="L3419">
        <v>26843876</v>
      </c>
      <c r="M3419">
        <v>32756681</v>
      </c>
      <c r="N3419">
        <v>29305968</v>
      </c>
      <c r="P3419">
        <v>192</v>
      </c>
      <c r="Q3419" t="s">
        <v>7182</v>
      </c>
    </row>
    <row r="3420" spans="1:17" x14ac:dyDescent="0.3">
      <c r="A3420" t="s">
        <v>4664</v>
      </c>
      <c r="B3420" t="str">
        <f>"002739"</f>
        <v>002739</v>
      </c>
      <c r="C3420" t="s">
        <v>7183</v>
      </c>
      <c r="D3420" t="s">
        <v>2558</v>
      </c>
      <c r="F3420">
        <v>290561607</v>
      </c>
      <c r="G3420">
        <v>-2015246223</v>
      </c>
      <c r="H3420">
        <v>829472367</v>
      </c>
      <c r="I3420">
        <v>1268119970</v>
      </c>
      <c r="J3420">
        <v>1264205219</v>
      </c>
      <c r="K3420">
        <v>1146229832</v>
      </c>
      <c r="L3420">
        <v>938241273</v>
      </c>
      <c r="M3420">
        <v>676069303</v>
      </c>
      <c r="P3420">
        <v>911</v>
      </c>
      <c r="Q3420" t="s">
        <v>7184</v>
      </c>
    </row>
    <row r="3421" spans="1:17" x14ac:dyDescent="0.3">
      <c r="A3421" t="s">
        <v>4664</v>
      </c>
      <c r="B3421" t="str">
        <f>"002740"</f>
        <v>002740</v>
      </c>
      <c r="C3421" t="s">
        <v>7185</v>
      </c>
      <c r="D3421" t="s">
        <v>1238</v>
      </c>
      <c r="F3421">
        <v>14007080</v>
      </c>
      <c r="G3421">
        <v>26929564</v>
      </c>
      <c r="H3421">
        <v>52405986</v>
      </c>
      <c r="I3421">
        <v>39498068</v>
      </c>
      <c r="J3421">
        <v>60882712</v>
      </c>
      <c r="K3421">
        <v>39554942</v>
      </c>
      <c r="L3421">
        <v>46600794</v>
      </c>
      <c r="M3421">
        <v>61745165</v>
      </c>
      <c r="P3421">
        <v>78</v>
      </c>
      <c r="Q3421" t="s">
        <v>7186</v>
      </c>
    </row>
    <row r="3422" spans="1:17" x14ac:dyDescent="0.3">
      <c r="A3422" t="s">
        <v>4664</v>
      </c>
      <c r="B3422" t="str">
        <f>"002741"</f>
        <v>002741</v>
      </c>
      <c r="C3422" t="s">
        <v>7187</v>
      </c>
      <c r="D3422" t="s">
        <v>2399</v>
      </c>
      <c r="F3422">
        <v>48981356</v>
      </c>
      <c r="G3422">
        <v>21353692</v>
      </c>
      <c r="H3422">
        <v>34152315</v>
      </c>
      <c r="I3422">
        <v>130784469</v>
      </c>
      <c r="J3422">
        <v>71207300</v>
      </c>
      <c r="K3422">
        <v>48397098</v>
      </c>
      <c r="L3422">
        <v>42956505</v>
      </c>
      <c r="M3422">
        <v>46301978</v>
      </c>
      <c r="P3422">
        <v>187</v>
      </c>
      <c r="Q3422" t="s">
        <v>7188</v>
      </c>
    </row>
    <row r="3423" spans="1:17" x14ac:dyDescent="0.3">
      <c r="A3423" t="s">
        <v>4664</v>
      </c>
      <c r="B3423" t="str">
        <f>"002742"</f>
        <v>002742</v>
      </c>
      <c r="C3423" t="s">
        <v>7189</v>
      </c>
      <c r="D3423" t="s">
        <v>3071</v>
      </c>
      <c r="F3423">
        <v>-42944516</v>
      </c>
      <c r="G3423">
        <v>47801179</v>
      </c>
      <c r="H3423">
        <v>80991434</v>
      </c>
      <c r="I3423">
        <v>78417267</v>
      </c>
      <c r="J3423">
        <v>134638157</v>
      </c>
      <c r="K3423">
        <v>76734034</v>
      </c>
      <c r="L3423">
        <v>80780813</v>
      </c>
      <c r="M3423">
        <v>67088303</v>
      </c>
      <c r="P3423">
        <v>67</v>
      </c>
      <c r="Q3423" t="s">
        <v>7190</v>
      </c>
    </row>
    <row r="3424" spans="1:17" x14ac:dyDescent="0.3">
      <c r="A3424" t="s">
        <v>4664</v>
      </c>
      <c r="B3424" t="str">
        <f>"002743"</f>
        <v>002743</v>
      </c>
      <c r="C3424" t="s">
        <v>7191</v>
      </c>
      <c r="D3424" t="s">
        <v>978</v>
      </c>
      <c r="F3424">
        <v>129452765</v>
      </c>
      <c r="G3424">
        <v>100517400</v>
      </c>
      <c r="H3424">
        <v>71308788</v>
      </c>
      <c r="I3424">
        <v>62954514</v>
      </c>
      <c r="J3424">
        <v>52533207</v>
      </c>
      <c r="K3424">
        <v>45547597</v>
      </c>
      <c r="L3424">
        <v>24003240</v>
      </c>
      <c r="M3424">
        <v>29760072</v>
      </c>
      <c r="P3424">
        <v>77</v>
      </c>
      <c r="Q3424" t="s">
        <v>7192</v>
      </c>
    </row>
    <row r="3425" spans="1:17" x14ac:dyDescent="0.3">
      <c r="A3425" t="s">
        <v>4664</v>
      </c>
      <c r="B3425" t="str">
        <f>"002745"</f>
        <v>002745</v>
      </c>
      <c r="C3425" t="s">
        <v>7193</v>
      </c>
      <c r="D3425" t="s">
        <v>803</v>
      </c>
      <c r="F3425">
        <v>936624318</v>
      </c>
      <c r="G3425">
        <v>689125951</v>
      </c>
      <c r="H3425">
        <v>689167246</v>
      </c>
      <c r="I3425">
        <v>601109301</v>
      </c>
      <c r="J3425">
        <v>439787003</v>
      </c>
      <c r="K3425">
        <v>314047088</v>
      </c>
      <c r="L3425">
        <v>248887534</v>
      </c>
      <c r="M3425">
        <v>333837498</v>
      </c>
      <c r="P3425">
        <v>324</v>
      </c>
      <c r="Q3425" t="s">
        <v>7194</v>
      </c>
    </row>
    <row r="3426" spans="1:17" x14ac:dyDescent="0.3">
      <c r="A3426" t="s">
        <v>4664</v>
      </c>
      <c r="B3426" t="str">
        <f>"002746"</f>
        <v>002746</v>
      </c>
      <c r="C3426" t="s">
        <v>7195</v>
      </c>
      <c r="D3426" t="s">
        <v>6173</v>
      </c>
      <c r="F3426">
        <v>124381600</v>
      </c>
      <c r="G3426">
        <v>328087998</v>
      </c>
      <c r="H3426">
        <v>646603840</v>
      </c>
      <c r="I3426">
        <v>219712883</v>
      </c>
      <c r="J3426">
        <v>65265059</v>
      </c>
      <c r="K3426">
        <v>178463762</v>
      </c>
      <c r="L3426">
        <v>14301623</v>
      </c>
      <c r="M3426">
        <v>43878774</v>
      </c>
      <c r="P3426">
        <v>457</v>
      </c>
      <c r="Q3426" t="s">
        <v>7196</v>
      </c>
    </row>
    <row r="3427" spans="1:17" x14ac:dyDescent="0.3">
      <c r="A3427" t="s">
        <v>4664</v>
      </c>
      <c r="B3427" t="str">
        <f>"002747"</f>
        <v>002747</v>
      </c>
      <c r="C3427" t="s">
        <v>7197</v>
      </c>
      <c r="D3427" t="s">
        <v>2911</v>
      </c>
      <c r="F3427">
        <v>87846164</v>
      </c>
      <c r="G3427">
        <v>85420633</v>
      </c>
      <c r="H3427">
        <v>57344572</v>
      </c>
      <c r="I3427">
        <v>70710546</v>
      </c>
      <c r="J3427">
        <v>58909785</v>
      </c>
      <c r="K3427">
        <v>40054681</v>
      </c>
      <c r="L3427">
        <v>20199709</v>
      </c>
      <c r="M3427">
        <v>25236768</v>
      </c>
      <c r="P3427">
        <v>474</v>
      </c>
      <c r="Q3427" t="s">
        <v>7198</v>
      </c>
    </row>
    <row r="3428" spans="1:17" x14ac:dyDescent="0.3">
      <c r="A3428" t="s">
        <v>4664</v>
      </c>
      <c r="B3428" t="str">
        <f>"002748"</f>
        <v>002748</v>
      </c>
      <c r="C3428" t="s">
        <v>7199</v>
      </c>
      <c r="D3428" t="s">
        <v>175</v>
      </c>
      <c r="F3428">
        <v>93498201</v>
      </c>
      <c r="G3428">
        <v>-23494799</v>
      </c>
      <c r="H3428">
        <v>-11964813</v>
      </c>
      <c r="I3428">
        <v>33548818</v>
      </c>
      <c r="J3428">
        <v>136702253</v>
      </c>
      <c r="K3428">
        <v>70769450</v>
      </c>
      <c r="L3428">
        <v>22624581</v>
      </c>
      <c r="M3428">
        <v>69356778</v>
      </c>
      <c r="P3428">
        <v>77</v>
      </c>
      <c r="Q3428" t="s">
        <v>7200</v>
      </c>
    </row>
    <row r="3429" spans="1:17" x14ac:dyDescent="0.3">
      <c r="A3429" t="s">
        <v>4664</v>
      </c>
      <c r="B3429" t="str">
        <f>"002749"</f>
        <v>002749</v>
      </c>
      <c r="C3429" t="s">
        <v>7201</v>
      </c>
      <c r="D3429" t="s">
        <v>853</v>
      </c>
      <c r="F3429">
        <v>188408431</v>
      </c>
      <c r="G3429">
        <v>197327819</v>
      </c>
      <c r="H3429">
        <v>180923338</v>
      </c>
      <c r="I3429">
        <v>176391948</v>
      </c>
      <c r="J3429">
        <v>159949947</v>
      </c>
      <c r="K3429">
        <v>126411536</v>
      </c>
      <c r="L3429">
        <v>118211888</v>
      </c>
      <c r="M3429">
        <v>118306377</v>
      </c>
      <c r="P3429">
        <v>9783</v>
      </c>
      <c r="Q3429" t="s">
        <v>7202</v>
      </c>
    </row>
    <row r="3430" spans="1:17" x14ac:dyDescent="0.3">
      <c r="A3430" t="s">
        <v>4664</v>
      </c>
      <c r="B3430" t="str">
        <f>"002750"</f>
        <v>002750</v>
      </c>
      <c r="C3430" t="s">
        <v>7203</v>
      </c>
      <c r="D3430" t="s">
        <v>188</v>
      </c>
      <c r="F3430">
        <v>6572687</v>
      </c>
      <c r="G3430">
        <v>2284710</v>
      </c>
      <c r="H3430">
        <v>1549207</v>
      </c>
      <c r="I3430">
        <v>14523776</v>
      </c>
      <c r="J3430">
        <v>30709375</v>
      </c>
      <c r="K3430">
        <v>73506577</v>
      </c>
      <c r="L3430">
        <v>44016296</v>
      </c>
      <c r="M3430">
        <v>43260387</v>
      </c>
      <c r="P3430">
        <v>142</v>
      </c>
      <c r="Q3430" t="s">
        <v>7204</v>
      </c>
    </row>
    <row r="3431" spans="1:17" x14ac:dyDescent="0.3">
      <c r="A3431" t="s">
        <v>4664</v>
      </c>
      <c r="B3431" t="str">
        <f>"002751"</f>
        <v>002751</v>
      </c>
      <c r="C3431" t="s">
        <v>7205</v>
      </c>
      <c r="D3431" t="s">
        <v>1671</v>
      </c>
      <c r="F3431">
        <v>20079573</v>
      </c>
      <c r="G3431">
        <v>25828546</v>
      </c>
      <c r="H3431">
        <v>36503754</v>
      </c>
      <c r="I3431">
        <v>57064484</v>
      </c>
      <c r="J3431">
        <v>30692663</v>
      </c>
      <c r="K3431">
        <v>13925789</v>
      </c>
      <c r="L3431">
        <v>34602838</v>
      </c>
      <c r="M3431">
        <v>28753156</v>
      </c>
      <c r="P3431">
        <v>145</v>
      </c>
      <c r="Q3431" t="s">
        <v>7206</v>
      </c>
    </row>
    <row r="3432" spans="1:17" x14ac:dyDescent="0.3">
      <c r="A3432" t="s">
        <v>4664</v>
      </c>
      <c r="B3432" t="str">
        <f>"002752"</f>
        <v>002752</v>
      </c>
      <c r="C3432" t="s">
        <v>7207</v>
      </c>
      <c r="D3432" t="s">
        <v>2364</v>
      </c>
      <c r="F3432">
        <v>123996652</v>
      </c>
      <c r="G3432">
        <v>-25895154</v>
      </c>
      <c r="H3432">
        <v>48484286</v>
      </c>
      <c r="I3432">
        <v>38771954</v>
      </c>
      <c r="J3432">
        <v>70264176</v>
      </c>
      <c r="K3432">
        <v>136019346</v>
      </c>
      <c r="L3432">
        <v>90841237</v>
      </c>
      <c r="M3432">
        <v>81288015</v>
      </c>
      <c r="P3432">
        <v>79</v>
      </c>
      <c r="Q3432" t="s">
        <v>7208</v>
      </c>
    </row>
    <row r="3433" spans="1:17" x14ac:dyDescent="0.3">
      <c r="A3433" t="s">
        <v>4664</v>
      </c>
      <c r="B3433" t="str">
        <f>"002753"</f>
        <v>002753</v>
      </c>
      <c r="C3433" t="s">
        <v>7209</v>
      </c>
      <c r="D3433" t="s">
        <v>3619</v>
      </c>
      <c r="F3433">
        <v>268006696</v>
      </c>
      <c r="G3433">
        <v>68711189</v>
      </c>
      <c r="H3433">
        <v>68066756</v>
      </c>
      <c r="I3433">
        <v>228775350</v>
      </c>
      <c r="J3433">
        <v>140215562</v>
      </c>
      <c r="K3433">
        <v>49441643</v>
      </c>
      <c r="L3433">
        <v>42485359</v>
      </c>
      <c r="M3433">
        <v>47727042</v>
      </c>
      <c r="P3433">
        <v>170</v>
      </c>
      <c r="Q3433" t="s">
        <v>7210</v>
      </c>
    </row>
    <row r="3434" spans="1:17" x14ac:dyDescent="0.3">
      <c r="A3434" t="s">
        <v>4664</v>
      </c>
      <c r="B3434" t="str">
        <f>"002755"</f>
        <v>002755</v>
      </c>
      <c r="C3434" t="s">
        <v>7211</v>
      </c>
      <c r="D3434" t="s">
        <v>143</v>
      </c>
      <c r="F3434">
        <v>392014689</v>
      </c>
      <c r="G3434">
        <v>479276145</v>
      </c>
      <c r="H3434">
        <v>586171969</v>
      </c>
      <c r="I3434">
        <v>9841190</v>
      </c>
      <c r="J3434">
        <v>7004350</v>
      </c>
      <c r="K3434">
        <v>787696</v>
      </c>
      <c r="L3434">
        <v>19290697</v>
      </c>
      <c r="M3434">
        <v>15205878</v>
      </c>
      <c r="P3434">
        <v>307</v>
      </c>
      <c r="Q3434" t="s">
        <v>7212</v>
      </c>
    </row>
    <row r="3435" spans="1:17" x14ac:dyDescent="0.3">
      <c r="A3435" t="s">
        <v>4664</v>
      </c>
      <c r="B3435" t="str">
        <f>"002756"</f>
        <v>002756</v>
      </c>
      <c r="C3435" t="s">
        <v>7213</v>
      </c>
      <c r="D3435" t="s">
        <v>281</v>
      </c>
      <c r="F3435">
        <v>550354318</v>
      </c>
      <c r="G3435">
        <v>254080431</v>
      </c>
      <c r="H3435">
        <v>361217906</v>
      </c>
      <c r="I3435">
        <v>330204604</v>
      </c>
      <c r="J3435">
        <v>260387094</v>
      </c>
      <c r="K3435">
        <v>205637291</v>
      </c>
      <c r="L3435">
        <v>189087013</v>
      </c>
      <c r="M3435">
        <v>219615283</v>
      </c>
      <c r="P3435">
        <v>307</v>
      </c>
      <c r="Q3435" t="s">
        <v>7214</v>
      </c>
    </row>
    <row r="3436" spans="1:17" x14ac:dyDescent="0.3">
      <c r="A3436" t="s">
        <v>4664</v>
      </c>
      <c r="B3436" t="str">
        <f>"002757"</f>
        <v>002757</v>
      </c>
      <c r="C3436" t="s">
        <v>7215</v>
      </c>
      <c r="D3436" t="s">
        <v>741</v>
      </c>
      <c r="F3436">
        <v>244803664</v>
      </c>
      <c r="G3436">
        <v>193079679</v>
      </c>
      <c r="H3436">
        <v>148313904</v>
      </c>
      <c r="I3436">
        <v>117141713</v>
      </c>
      <c r="J3436">
        <v>75363295</v>
      </c>
      <c r="K3436">
        <v>45241931</v>
      </c>
      <c r="L3436">
        <v>41366646</v>
      </c>
      <c r="M3436">
        <v>46488401</v>
      </c>
      <c r="P3436">
        <v>267</v>
      </c>
      <c r="Q3436" t="s">
        <v>7216</v>
      </c>
    </row>
    <row r="3437" spans="1:17" x14ac:dyDescent="0.3">
      <c r="A3437" t="s">
        <v>4664</v>
      </c>
      <c r="B3437" t="str">
        <f>"002758"</f>
        <v>002758</v>
      </c>
      <c r="C3437" t="s">
        <v>7217</v>
      </c>
      <c r="D3437" t="s">
        <v>125</v>
      </c>
      <c r="F3437">
        <v>389752454</v>
      </c>
      <c r="G3437">
        <v>23325996</v>
      </c>
      <c r="H3437">
        <v>26973196</v>
      </c>
      <c r="I3437">
        <v>27546398</v>
      </c>
      <c r="J3437">
        <v>34431006</v>
      </c>
      <c r="K3437">
        <v>29870153</v>
      </c>
      <c r="L3437">
        <v>31535879</v>
      </c>
      <c r="M3437">
        <v>28588126</v>
      </c>
      <c r="P3437">
        <v>180</v>
      </c>
      <c r="Q3437" t="s">
        <v>7218</v>
      </c>
    </row>
    <row r="3438" spans="1:17" x14ac:dyDescent="0.3">
      <c r="A3438" t="s">
        <v>4664</v>
      </c>
      <c r="B3438" t="str">
        <f>"002759"</f>
        <v>002759</v>
      </c>
      <c r="C3438" t="s">
        <v>7219</v>
      </c>
      <c r="D3438" t="s">
        <v>1786</v>
      </c>
      <c r="F3438">
        <v>446486230</v>
      </c>
      <c r="G3438">
        <v>-43752718</v>
      </c>
      <c r="H3438">
        <v>379083995</v>
      </c>
      <c r="I3438">
        <v>49039236</v>
      </c>
      <c r="J3438">
        <v>157013334</v>
      </c>
      <c r="K3438">
        <v>39718307</v>
      </c>
      <c r="L3438">
        <v>36630648</v>
      </c>
      <c r="M3438">
        <v>32614674</v>
      </c>
      <c r="P3438">
        <v>251</v>
      </c>
      <c r="Q3438" t="s">
        <v>7220</v>
      </c>
    </row>
    <row r="3439" spans="1:17" x14ac:dyDescent="0.3">
      <c r="A3439" t="s">
        <v>4664</v>
      </c>
      <c r="B3439" t="str">
        <f>"002760"</f>
        <v>002760</v>
      </c>
      <c r="C3439" t="s">
        <v>7221</v>
      </c>
      <c r="D3439" t="s">
        <v>404</v>
      </c>
      <c r="F3439">
        <v>67206248</v>
      </c>
      <c r="G3439">
        <v>39298499</v>
      </c>
      <c r="H3439">
        <v>40409670</v>
      </c>
      <c r="I3439">
        <v>18092737</v>
      </c>
      <c r="J3439">
        <v>-14562714</v>
      </c>
      <c r="K3439">
        <v>11160673</v>
      </c>
      <c r="L3439">
        <v>19773684</v>
      </c>
      <c r="M3439">
        <v>25863328</v>
      </c>
      <c r="P3439">
        <v>72</v>
      </c>
      <c r="Q3439" t="s">
        <v>7222</v>
      </c>
    </row>
    <row r="3440" spans="1:17" x14ac:dyDescent="0.3">
      <c r="A3440" t="s">
        <v>4664</v>
      </c>
      <c r="B3440" t="str">
        <f>"002761"</f>
        <v>002761</v>
      </c>
      <c r="C3440" t="s">
        <v>7223</v>
      </c>
      <c r="D3440" t="s">
        <v>398</v>
      </c>
      <c r="F3440">
        <v>914298822</v>
      </c>
      <c r="G3440">
        <v>780794351</v>
      </c>
      <c r="H3440">
        <v>-2533202</v>
      </c>
      <c r="I3440">
        <v>29775228</v>
      </c>
      <c r="J3440">
        <v>8363926</v>
      </c>
      <c r="K3440">
        <v>9764829</v>
      </c>
      <c r="L3440">
        <v>17594452</v>
      </c>
      <c r="M3440">
        <v>28758728</v>
      </c>
      <c r="P3440">
        <v>195</v>
      </c>
      <c r="Q3440" t="s">
        <v>7224</v>
      </c>
    </row>
    <row r="3441" spans="1:17" x14ac:dyDescent="0.3">
      <c r="A3441" t="s">
        <v>4664</v>
      </c>
      <c r="B3441" t="str">
        <f>"002762"</f>
        <v>002762</v>
      </c>
      <c r="C3441" t="s">
        <v>7225</v>
      </c>
      <c r="D3441" t="s">
        <v>255</v>
      </c>
      <c r="F3441">
        <v>6603846</v>
      </c>
      <c r="G3441">
        <v>23228529</v>
      </c>
      <c r="H3441">
        <v>47524525</v>
      </c>
      <c r="I3441">
        <v>60192989</v>
      </c>
      <c r="J3441">
        <v>55066684</v>
      </c>
      <c r="K3441">
        <v>49059397</v>
      </c>
      <c r="L3441">
        <v>49870588</v>
      </c>
      <c r="M3441">
        <v>65911289</v>
      </c>
      <c r="P3441">
        <v>128</v>
      </c>
      <c r="Q3441" t="s">
        <v>7226</v>
      </c>
    </row>
    <row r="3442" spans="1:17" x14ac:dyDescent="0.3">
      <c r="A3442" t="s">
        <v>4664</v>
      </c>
      <c r="B3442" t="str">
        <f>"002763"</f>
        <v>002763</v>
      </c>
      <c r="C3442" t="s">
        <v>7227</v>
      </c>
      <c r="D3442" t="s">
        <v>330</v>
      </c>
      <c r="F3442">
        <v>260249133</v>
      </c>
      <c r="G3442">
        <v>170888180</v>
      </c>
      <c r="H3442">
        <v>216432380</v>
      </c>
      <c r="I3442">
        <v>179978016</v>
      </c>
      <c r="J3442">
        <v>227052476</v>
      </c>
      <c r="K3442">
        <v>161389803</v>
      </c>
      <c r="L3442">
        <v>167970957</v>
      </c>
      <c r="M3442">
        <v>130001711</v>
      </c>
      <c r="P3442">
        <v>293</v>
      </c>
      <c r="Q3442" t="s">
        <v>7228</v>
      </c>
    </row>
    <row r="3443" spans="1:17" x14ac:dyDescent="0.3">
      <c r="A3443" t="s">
        <v>4664</v>
      </c>
      <c r="B3443" t="str">
        <f>"002765"</f>
        <v>002765</v>
      </c>
      <c r="C3443" t="s">
        <v>7229</v>
      </c>
      <c r="D3443" t="s">
        <v>1117</v>
      </c>
      <c r="F3443">
        <v>176998806</v>
      </c>
      <c r="G3443">
        <v>29620201</v>
      </c>
      <c r="H3443">
        <v>-68798520</v>
      </c>
      <c r="I3443">
        <v>27094855</v>
      </c>
      <c r="J3443">
        <v>75046855</v>
      </c>
      <c r="K3443">
        <v>80371331</v>
      </c>
      <c r="L3443">
        <v>45653331</v>
      </c>
      <c r="M3443">
        <v>50097708</v>
      </c>
      <c r="P3443">
        <v>118</v>
      </c>
      <c r="Q3443" t="s">
        <v>7230</v>
      </c>
    </row>
    <row r="3444" spans="1:17" x14ac:dyDescent="0.3">
      <c r="A3444" t="s">
        <v>4664</v>
      </c>
      <c r="B3444" t="str">
        <f>"002766"</f>
        <v>002766</v>
      </c>
      <c r="C3444" t="s">
        <v>7231</v>
      </c>
      <c r="D3444" t="s">
        <v>1415</v>
      </c>
      <c r="F3444">
        <v>-305196814</v>
      </c>
      <c r="G3444">
        <v>-144535476</v>
      </c>
      <c r="H3444">
        <v>-150349428</v>
      </c>
      <c r="I3444">
        <v>64900793</v>
      </c>
      <c r="J3444">
        <v>107919763</v>
      </c>
      <c r="K3444">
        <v>60690945</v>
      </c>
      <c r="L3444">
        <v>58497297</v>
      </c>
      <c r="M3444">
        <v>57468200</v>
      </c>
      <c r="P3444">
        <v>85</v>
      </c>
      <c r="Q3444" t="s">
        <v>7232</v>
      </c>
    </row>
    <row r="3445" spans="1:17" x14ac:dyDescent="0.3">
      <c r="A3445" t="s">
        <v>4664</v>
      </c>
      <c r="B3445" t="str">
        <f>"002767"</f>
        <v>002767</v>
      </c>
      <c r="C3445" t="s">
        <v>7233</v>
      </c>
      <c r="D3445" t="s">
        <v>2551</v>
      </c>
      <c r="F3445">
        <v>13715337</v>
      </c>
      <c r="G3445">
        <v>15960242</v>
      </c>
      <c r="H3445">
        <v>17330295</v>
      </c>
      <c r="I3445">
        <v>20136738</v>
      </c>
      <c r="J3445">
        <v>28908432</v>
      </c>
      <c r="K3445">
        <v>32606895</v>
      </c>
      <c r="L3445">
        <v>40078811</v>
      </c>
      <c r="M3445">
        <v>49488389</v>
      </c>
      <c r="P3445">
        <v>72</v>
      </c>
      <c r="Q3445" t="s">
        <v>7234</v>
      </c>
    </row>
    <row r="3446" spans="1:17" x14ac:dyDescent="0.3">
      <c r="A3446" t="s">
        <v>4664</v>
      </c>
      <c r="B3446" t="str">
        <f>"002768"</f>
        <v>002768</v>
      </c>
      <c r="C3446" t="s">
        <v>7235</v>
      </c>
      <c r="D3446" t="s">
        <v>341</v>
      </c>
      <c r="F3446">
        <v>493796157</v>
      </c>
      <c r="G3446">
        <v>664040509</v>
      </c>
      <c r="H3446">
        <v>250927960</v>
      </c>
      <c r="I3446">
        <v>201936729</v>
      </c>
      <c r="J3446">
        <v>134145920</v>
      </c>
      <c r="K3446">
        <v>80214469</v>
      </c>
      <c r="L3446">
        <v>48014106</v>
      </c>
      <c r="M3446">
        <v>42297736</v>
      </c>
      <c r="P3446">
        <v>595</v>
      </c>
      <c r="Q3446" t="s">
        <v>7236</v>
      </c>
    </row>
    <row r="3447" spans="1:17" x14ac:dyDescent="0.3">
      <c r="A3447" t="s">
        <v>4664</v>
      </c>
      <c r="B3447" t="str">
        <f>"002769"</f>
        <v>002769</v>
      </c>
      <c r="C3447" t="s">
        <v>7237</v>
      </c>
      <c r="D3447" t="s">
        <v>3098</v>
      </c>
      <c r="F3447">
        <v>29884836</v>
      </c>
      <c r="G3447">
        <v>41041257</v>
      </c>
      <c r="H3447">
        <v>61118207</v>
      </c>
      <c r="I3447">
        <v>99762990</v>
      </c>
      <c r="J3447">
        <v>149823626</v>
      </c>
      <c r="K3447">
        <v>156588003</v>
      </c>
      <c r="L3447">
        <v>128943758</v>
      </c>
      <c r="M3447">
        <v>73080284</v>
      </c>
      <c r="P3447">
        <v>96</v>
      </c>
      <c r="Q3447" t="s">
        <v>7238</v>
      </c>
    </row>
    <row r="3448" spans="1:17" x14ac:dyDescent="0.3">
      <c r="A3448" t="s">
        <v>4664</v>
      </c>
      <c r="B3448" t="str">
        <f>"002770"</f>
        <v>002770</v>
      </c>
      <c r="C3448" t="s">
        <v>7239</v>
      </c>
      <c r="D3448" t="s">
        <v>900</v>
      </c>
      <c r="F3448">
        <v>112900159</v>
      </c>
      <c r="G3448">
        <v>1031526</v>
      </c>
      <c r="H3448">
        <v>32755956</v>
      </c>
      <c r="I3448">
        <v>108119929</v>
      </c>
      <c r="J3448">
        <v>103263564</v>
      </c>
      <c r="K3448">
        <v>68924924</v>
      </c>
      <c r="L3448">
        <v>71355761</v>
      </c>
      <c r="M3448">
        <v>74829124</v>
      </c>
      <c r="P3448">
        <v>163</v>
      </c>
      <c r="Q3448" t="s">
        <v>7240</v>
      </c>
    </row>
    <row r="3449" spans="1:17" x14ac:dyDescent="0.3">
      <c r="A3449" t="s">
        <v>4664</v>
      </c>
      <c r="B3449" t="str">
        <f>"002771"</f>
        <v>002771</v>
      </c>
      <c r="C3449" t="s">
        <v>7241</v>
      </c>
      <c r="D3449" t="s">
        <v>316</v>
      </c>
      <c r="F3449">
        <v>-3987538</v>
      </c>
      <c r="G3449">
        <v>9827399</v>
      </c>
      <c r="H3449">
        <v>16041461</v>
      </c>
      <c r="I3449">
        <v>28471086</v>
      </c>
      <c r="J3449">
        <v>41227919</v>
      </c>
      <c r="K3449">
        <v>42378482</v>
      </c>
      <c r="L3449">
        <v>40240602</v>
      </c>
      <c r="M3449">
        <v>33198644</v>
      </c>
      <c r="P3449">
        <v>95</v>
      </c>
      <c r="Q3449" t="s">
        <v>7242</v>
      </c>
    </row>
    <row r="3450" spans="1:17" x14ac:dyDescent="0.3">
      <c r="A3450" t="s">
        <v>4664</v>
      </c>
      <c r="B3450" t="str">
        <f>"002772"</f>
        <v>002772</v>
      </c>
      <c r="C3450" t="s">
        <v>7243</v>
      </c>
      <c r="D3450" t="s">
        <v>7244</v>
      </c>
      <c r="F3450">
        <v>-49004477</v>
      </c>
      <c r="G3450">
        <v>120666437</v>
      </c>
      <c r="H3450">
        <v>39444189</v>
      </c>
      <c r="I3450">
        <v>105908530</v>
      </c>
      <c r="J3450">
        <v>104920179</v>
      </c>
      <c r="K3450">
        <v>119668068</v>
      </c>
      <c r="L3450">
        <v>67134093</v>
      </c>
      <c r="M3450">
        <v>55974032</v>
      </c>
      <c r="P3450">
        <v>202</v>
      </c>
      <c r="Q3450" t="s">
        <v>7245</v>
      </c>
    </row>
    <row r="3451" spans="1:17" x14ac:dyDescent="0.3">
      <c r="A3451" t="s">
        <v>4664</v>
      </c>
      <c r="B3451" t="str">
        <f>"002773"</f>
        <v>002773</v>
      </c>
      <c r="C3451" t="s">
        <v>7246</v>
      </c>
      <c r="D3451" t="s">
        <v>143</v>
      </c>
      <c r="F3451">
        <v>653141904</v>
      </c>
      <c r="G3451">
        <v>579044560</v>
      </c>
      <c r="H3451">
        <v>552269122</v>
      </c>
      <c r="I3451">
        <v>506456696</v>
      </c>
      <c r="J3451">
        <v>415665889</v>
      </c>
      <c r="K3451">
        <v>310553685</v>
      </c>
      <c r="L3451">
        <v>249093567</v>
      </c>
      <c r="M3451">
        <v>170398632</v>
      </c>
      <c r="P3451">
        <v>5281</v>
      </c>
      <c r="Q3451" t="s">
        <v>7247</v>
      </c>
    </row>
    <row r="3452" spans="1:17" x14ac:dyDescent="0.3">
      <c r="A3452" t="s">
        <v>4664</v>
      </c>
      <c r="B3452" t="str">
        <f>"002774"</f>
        <v>002774</v>
      </c>
      <c r="C3452" t="s">
        <v>7248</v>
      </c>
      <c r="D3452" t="s">
        <v>1689</v>
      </c>
      <c r="F3452">
        <v>265056359</v>
      </c>
      <c r="G3452">
        <v>4500355</v>
      </c>
      <c r="H3452">
        <v>1003593</v>
      </c>
      <c r="I3452">
        <v>28087013</v>
      </c>
      <c r="J3452">
        <v>46476934</v>
      </c>
      <c r="K3452">
        <v>61647403</v>
      </c>
      <c r="P3452">
        <v>77</v>
      </c>
      <c r="Q3452" t="s">
        <v>7249</v>
      </c>
    </row>
    <row r="3453" spans="1:17" x14ac:dyDescent="0.3">
      <c r="A3453" t="s">
        <v>4664</v>
      </c>
      <c r="B3453" t="str">
        <f>"002775"</f>
        <v>002775</v>
      </c>
      <c r="C3453" t="s">
        <v>7250</v>
      </c>
      <c r="D3453" t="s">
        <v>2408</v>
      </c>
      <c r="F3453">
        <v>31347629</v>
      </c>
      <c r="G3453">
        <v>138383965</v>
      </c>
      <c r="H3453">
        <v>196356936</v>
      </c>
      <c r="I3453">
        <v>192745697</v>
      </c>
      <c r="J3453">
        <v>173068217</v>
      </c>
      <c r="K3453">
        <v>98162156</v>
      </c>
      <c r="L3453">
        <v>68104703</v>
      </c>
      <c r="M3453">
        <v>53332481</v>
      </c>
      <c r="P3453">
        <v>218</v>
      </c>
      <c r="Q3453" t="s">
        <v>7251</v>
      </c>
    </row>
    <row r="3454" spans="1:17" x14ac:dyDescent="0.3">
      <c r="A3454" t="s">
        <v>4664</v>
      </c>
      <c r="B3454" t="str">
        <f>"002776"</f>
        <v>002776</v>
      </c>
      <c r="C3454" t="s">
        <v>7252</v>
      </c>
      <c r="D3454" t="s">
        <v>255</v>
      </c>
      <c r="F3454">
        <v>-43424697</v>
      </c>
      <c r="G3454">
        <v>139800923</v>
      </c>
      <c r="H3454">
        <v>108768720</v>
      </c>
      <c r="I3454">
        <v>119187436</v>
      </c>
      <c r="J3454">
        <v>104530639</v>
      </c>
      <c r="K3454">
        <v>79110620</v>
      </c>
      <c r="L3454">
        <v>88756583</v>
      </c>
      <c r="M3454">
        <v>83659067</v>
      </c>
      <c r="P3454">
        <v>125</v>
      </c>
      <c r="Q3454" t="s">
        <v>7253</v>
      </c>
    </row>
    <row r="3455" spans="1:17" x14ac:dyDescent="0.3">
      <c r="A3455" t="s">
        <v>4664</v>
      </c>
      <c r="B3455" t="str">
        <f>"002777"</f>
        <v>002777</v>
      </c>
      <c r="C3455" t="s">
        <v>7254</v>
      </c>
      <c r="D3455" t="s">
        <v>316</v>
      </c>
      <c r="F3455">
        <v>121027449</v>
      </c>
      <c r="G3455">
        <v>88596197</v>
      </c>
      <c r="H3455">
        <v>84234722</v>
      </c>
      <c r="I3455">
        <v>59450085</v>
      </c>
      <c r="J3455">
        <v>46164184</v>
      </c>
      <c r="K3455">
        <v>35535869</v>
      </c>
      <c r="L3455">
        <v>30996430</v>
      </c>
      <c r="M3455">
        <v>30005654</v>
      </c>
      <c r="P3455">
        <v>372</v>
      </c>
      <c r="Q3455" t="s">
        <v>7255</v>
      </c>
    </row>
    <row r="3456" spans="1:17" x14ac:dyDescent="0.3">
      <c r="A3456" t="s">
        <v>4664</v>
      </c>
      <c r="B3456" t="str">
        <f>"002778"</f>
        <v>002778</v>
      </c>
      <c r="C3456" t="s">
        <v>7256</v>
      </c>
      <c r="D3456" t="s">
        <v>1615</v>
      </c>
      <c r="F3456">
        <v>62852170</v>
      </c>
      <c r="G3456">
        <v>40491086</v>
      </c>
      <c r="H3456">
        <v>13222357</v>
      </c>
      <c r="I3456">
        <v>20144625</v>
      </c>
      <c r="J3456">
        <v>21751076</v>
      </c>
      <c r="K3456">
        <v>25169383</v>
      </c>
      <c r="L3456">
        <v>29995835</v>
      </c>
      <c r="M3456">
        <v>28416705</v>
      </c>
      <c r="P3456">
        <v>75</v>
      </c>
      <c r="Q3456" t="s">
        <v>7257</v>
      </c>
    </row>
    <row r="3457" spans="1:17" x14ac:dyDescent="0.3">
      <c r="A3457" t="s">
        <v>4664</v>
      </c>
      <c r="B3457" t="str">
        <f>"002779"</f>
        <v>002779</v>
      </c>
      <c r="C3457" t="s">
        <v>7258</v>
      </c>
      <c r="D3457" t="s">
        <v>741</v>
      </c>
      <c r="F3457">
        <v>13969875</v>
      </c>
      <c r="G3457">
        <v>-5433037</v>
      </c>
      <c r="H3457">
        <v>11384103</v>
      </c>
      <c r="I3457">
        <v>10846840</v>
      </c>
      <c r="J3457">
        <v>29764525</v>
      </c>
      <c r="K3457">
        <v>34260821</v>
      </c>
      <c r="L3457">
        <v>41117712</v>
      </c>
      <c r="M3457">
        <v>47470314</v>
      </c>
      <c r="P3457">
        <v>54</v>
      </c>
      <c r="Q3457" t="s">
        <v>7259</v>
      </c>
    </row>
    <row r="3458" spans="1:17" x14ac:dyDescent="0.3">
      <c r="A3458" t="s">
        <v>4664</v>
      </c>
      <c r="B3458" t="str">
        <f>"002780"</f>
        <v>002780</v>
      </c>
      <c r="C3458" t="s">
        <v>7260</v>
      </c>
      <c r="D3458" t="s">
        <v>2990</v>
      </c>
      <c r="F3458">
        <v>-16162795</v>
      </c>
      <c r="G3458">
        <v>-8888202</v>
      </c>
      <c r="H3458">
        <v>1108285</v>
      </c>
      <c r="I3458">
        <v>2055730</v>
      </c>
      <c r="J3458">
        <v>-7192230</v>
      </c>
      <c r="K3458">
        <v>9078874</v>
      </c>
      <c r="L3458">
        <v>10895800</v>
      </c>
      <c r="M3458">
        <v>14116100</v>
      </c>
      <c r="P3458">
        <v>85</v>
      </c>
      <c r="Q3458" t="s">
        <v>7261</v>
      </c>
    </row>
    <row r="3459" spans="1:17" x14ac:dyDescent="0.3">
      <c r="A3459" t="s">
        <v>4664</v>
      </c>
      <c r="B3459" t="str">
        <f>"002781"</f>
        <v>002781</v>
      </c>
      <c r="C3459" t="s">
        <v>7262</v>
      </c>
      <c r="D3459" t="s">
        <v>450</v>
      </c>
      <c r="F3459">
        <v>-139951068</v>
      </c>
      <c r="G3459">
        <v>-59754665</v>
      </c>
      <c r="H3459">
        <v>88086312</v>
      </c>
      <c r="I3459">
        <v>148623862</v>
      </c>
      <c r="J3459">
        <v>130472634</v>
      </c>
      <c r="K3459">
        <v>95414681</v>
      </c>
      <c r="L3459">
        <v>116385600</v>
      </c>
      <c r="M3459">
        <v>115416400</v>
      </c>
      <c r="P3459">
        <v>68</v>
      </c>
      <c r="Q3459" t="s">
        <v>7263</v>
      </c>
    </row>
    <row r="3460" spans="1:17" x14ac:dyDescent="0.3">
      <c r="A3460" t="s">
        <v>4664</v>
      </c>
      <c r="B3460" t="str">
        <f>"002782"</f>
        <v>002782</v>
      </c>
      <c r="C3460" t="s">
        <v>7264</v>
      </c>
      <c r="D3460" t="s">
        <v>313</v>
      </c>
      <c r="F3460">
        <v>68441036</v>
      </c>
      <c r="G3460">
        <v>195455016</v>
      </c>
      <c r="H3460">
        <v>78137295</v>
      </c>
      <c r="I3460">
        <v>76585115</v>
      </c>
      <c r="J3460">
        <v>40592771</v>
      </c>
      <c r="K3460">
        <v>63005719</v>
      </c>
      <c r="P3460">
        <v>167</v>
      </c>
      <c r="Q3460" t="s">
        <v>7265</v>
      </c>
    </row>
    <row r="3461" spans="1:17" x14ac:dyDescent="0.3">
      <c r="A3461" t="s">
        <v>4664</v>
      </c>
      <c r="B3461" t="str">
        <f>"002783"</f>
        <v>002783</v>
      </c>
      <c r="C3461" t="s">
        <v>7266</v>
      </c>
      <c r="D3461" t="s">
        <v>2713</v>
      </c>
      <c r="F3461">
        <v>32225560</v>
      </c>
      <c r="G3461">
        <v>62087284</v>
      </c>
      <c r="H3461">
        <v>91842310</v>
      </c>
      <c r="I3461">
        <v>100688755</v>
      </c>
      <c r="J3461">
        <v>96108342</v>
      </c>
      <c r="K3461">
        <v>84467325</v>
      </c>
      <c r="L3461">
        <v>68799600</v>
      </c>
      <c r="M3461">
        <v>80000700</v>
      </c>
      <c r="P3461">
        <v>112</v>
      </c>
      <c r="Q3461" t="s">
        <v>7267</v>
      </c>
    </row>
    <row r="3462" spans="1:17" x14ac:dyDescent="0.3">
      <c r="A3462" t="s">
        <v>4664</v>
      </c>
      <c r="B3462" t="str">
        <f>"002785"</f>
        <v>002785</v>
      </c>
      <c r="C3462" t="s">
        <v>7268</v>
      </c>
      <c r="D3462" t="s">
        <v>722</v>
      </c>
      <c r="F3462">
        <v>17097530</v>
      </c>
      <c r="G3462">
        <v>5635703</v>
      </c>
      <c r="H3462">
        <v>5927239</v>
      </c>
      <c r="I3462">
        <v>10329289</v>
      </c>
      <c r="J3462">
        <v>15702275</v>
      </c>
      <c r="K3462">
        <v>14928112</v>
      </c>
      <c r="L3462">
        <v>13095575</v>
      </c>
      <c r="M3462">
        <v>11044977</v>
      </c>
      <c r="P3462">
        <v>57</v>
      </c>
      <c r="Q3462" t="s">
        <v>7269</v>
      </c>
    </row>
    <row r="3463" spans="1:17" x14ac:dyDescent="0.3">
      <c r="A3463" t="s">
        <v>4664</v>
      </c>
      <c r="B3463" t="str">
        <f>"002786"</f>
        <v>002786</v>
      </c>
      <c r="C3463" t="s">
        <v>7270</v>
      </c>
      <c r="D3463" t="s">
        <v>741</v>
      </c>
      <c r="F3463">
        <v>-262259905</v>
      </c>
      <c r="G3463">
        <v>-25950545</v>
      </c>
      <c r="H3463">
        <v>-149283895</v>
      </c>
      <c r="I3463">
        <v>18625006</v>
      </c>
      <c r="J3463">
        <v>48243908</v>
      </c>
      <c r="K3463">
        <v>67501811</v>
      </c>
      <c r="L3463">
        <v>44646093</v>
      </c>
      <c r="M3463">
        <v>42247692</v>
      </c>
      <c r="P3463">
        <v>176</v>
      </c>
      <c r="Q3463" t="s">
        <v>7271</v>
      </c>
    </row>
    <row r="3464" spans="1:17" x14ac:dyDescent="0.3">
      <c r="A3464" t="s">
        <v>4664</v>
      </c>
      <c r="B3464" t="str">
        <f>"002787"</f>
        <v>002787</v>
      </c>
      <c r="C3464" t="s">
        <v>7272</v>
      </c>
      <c r="D3464" t="s">
        <v>2364</v>
      </c>
      <c r="F3464">
        <v>60041342</v>
      </c>
      <c r="G3464">
        <v>57825650</v>
      </c>
      <c r="H3464">
        <v>43261317</v>
      </c>
      <c r="I3464">
        <v>55141402</v>
      </c>
      <c r="J3464">
        <v>76725320</v>
      </c>
      <c r="K3464">
        <v>91391098</v>
      </c>
      <c r="L3464">
        <v>61338306</v>
      </c>
      <c r="M3464">
        <v>54411574</v>
      </c>
      <c r="P3464">
        <v>102</v>
      </c>
      <c r="Q3464" t="s">
        <v>7273</v>
      </c>
    </row>
    <row r="3465" spans="1:17" x14ac:dyDescent="0.3">
      <c r="A3465" t="s">
        <v>4664</v>
      </c>
      <c r="B3465" t="str">
        <f>"002788"</f>
        <v>002788</v>
      </c>
      <c r="C3465" t="s">
        <v>7274</v>
      </c>
      <c r="D3465" t="s">
        <v>125</v>
      </c>
      <c r="F3465">
        <v>228536795</v>
      </c>
      <c r="G3465">
        <v>212549479</v>
      </c>
      <c r="H3465">
        <v>196242944</v>
      </c>
      <c r="I3465">
        <v>136133487</v>
      </c>
      <c r="J3465">
        <v>95548978</v>
      </c>
      <c r="K3465">
        <v>78642049</v>
      </c>
      <c r="L3465">
        <v>76567794</v>
      </c>
      <c r="P3465">
        <v>162</v>
      </c>
      <c r="Q3465" t="s">
        <v>7275</v>
      </c>
    </row>
    <row r="3466" spans="1:17" x14ac:dyDescent="0.3">
      <c r="A3466" t="s">
        <v>4664</v>
      </c>
      <c r="B3466" t="str">
        <f>"002789"</f>
        <v>002789</v>
      </c>
      <c r="C3466" t="s">
        <v>7276</v>
      </c>
      <c r="D3466" t="s">
        <v>450</v>
      </c>
      <c r="F3466">
        <v>24561178</v>
      </c>
      <c r="G3466">
        <v>43534696</v>
      </c>
      <c r="H3466">
        <v>81794407</v>
      </c>
      <c r="I3466">
        <v>78561591</v>
      </c>
      <c r="J3466">
        <v>71791615</v>
      </c>
      <c r="K3466">
        <v>56743810</v>
      </c>
      <c r="L3466">
        <v>54227782</v>
      </c>
      <c r="P3466">
        <v>57</v>
      </c>
      <c r="Q3466" t="s">
        <v>7277</v>
      </c>
    </row>
    <row r="3467" spans="1:17" x14ac:dyDescent="0.3">
      <c r="A3467" t="s">
        <v>4664</v>
      </c>
      <c r="B3467" t="str">
        <f>"002790"</f>
        <v>002790</v>
      </c>
      <c r="C3467" t="s">
        <v>7278</v>
      </c>
      <c r="D3467" t="s">
        <v>2885</v>
      </c>
      <c r="F3467">
        <v>111499587</v>
      </c>
      <c r="G3467">
        <v>76076139</v>
      </c>
      <c r="H3467">
        <v>127009222</v>
      </c>
      <c r="I3467">
        <v>112814027</v>
      </c>
      <c r="J3467">
        <v>121430481</v>
      </c>
      <c r="K3467">
        <v>121862007</v>
      </c>
      <c r="L3467">
        <v>109200302</v>
      </c>
      <c r="P3467">
        <v>138</v>
      </c>
      <c r="Q3467" t="s">
        <v>7279</v>
      </c>
    </row>
    <row r="3468" spans="1:17" x14ac:dyDescent="0.3">
      <c r="A3468" t="s">
        <v>4664</v>
      </c>
      <c r="B3468" t="str">
        <f>"002791"</f>
        <v>002791</v>
      </c>
      <c r="C3468" t="s">
        <v>7280</v>
      </c>
      <c r="D3468" t="s">
        <v>722</v>
      </c>
      <c r="F3468">
        <v>704829983</v>
      </c>
      <c r="G3468">
        <v>501774201</v>
      </c>
      <c r="H3468">
        <v>269362376</v>
      </c>
      <c r="I3468">
        <v>117146971</v>
      </c>
      <c r="J3468">
        <v>185896947</v>
      </c>
      <c r="K3468">
        <v>184488219</v>
      </c>
      <c r="L3468">
        <v>142066583</v>
      </c>
      <c r="P3468">
        <v>552</v>
      </c>
      <c r="Q3468" t="s">
        <v>7281</v>
      </c>
    </row>
    <row r="3469" spans="1:17" x14ac:dyDescent="0.3">
      <c r="A3469" t="s">
        <v>4664</v>
      </c>
      <c r="B3469" t="str">
        <f>"002792"</f>
        <v>002792</v>
      </c>
      <c r="C3469" t="s">
        <v>7282</v>
      </c>
      <c r="D3469" t="s">
        <v>1019</v>
      </c>
      <c r="F3469">
        <v>80461586</v>
      </c>
      <c r="G3469">
        <v>61986512</v>
      </c>
      <c r="H3469">
        <v>91044334</v>
      </c>
      <c r="I3469">
        <v>60408787</v>
      </c>
      <c r="J3469">
        <v>122950184</v>
      </c>
      <c r="K3469">
        <v>156337778</v>
      </c>
      <c r="L3469">
        <v>180727448</v>
      </c>
      <c r="P3469">
        <v>343</v>
      </c>
      <c r="Q3469" t="s">
        <v>7283</v>
      </c>
    </row>
    <row r="3470" spans="1:17" x14ac:dyDescent="0.3">
      <c r="A3470" t="s">
        <v>4664</v>
      </c>
      <c r="B3470" t="str">
        <f>"002793"</f>
        <v>002793</v>
      </c>
      <c r="C3470" t="s">
        <v>7284</v>
      </c>
      <c r="D3470" t="s">
        <v>143</v>
      </c>
      <c r="F3470">
        <v>436319877</v>
      </c>
      <c r="G3470">
        <v>343615260</v>
      </c>
      <c r="H3470">
        <v>46797358</v>
      </c>
      <c r="I3470">
        <v>84412762</v>
      </c>
      <c r="J3470">
        <v>92985736</v>
      </c>
      <c r="K3470">
        <v>75107522</v>
      </c>
      <c r="L3470">
        <v>62452652</v>
      </c>
      <c r="P3470">
        <v>213</v>
      </c>
      <c r="Q3470" t="s">
        <v>7285</v>
      </c>
    </row>
    <row r="3471" spans="1:17" x14ac:dyDescent="0.3">
      <c r="A3471" t="s">
        <v>4664</v>
      </c>
      <c r="B3471" t="str">
        <f>"002795"</f>
        <v>002795</v>
      </c>
      <c r="C3471" t="s">
        <v>7286</v>
      </c>
      <c r="D3471" t="s">
        <v>274</v>
      </c>
      <c r="F3471">
        <v>27066919</v>
      </c>
      <c r="G3471">
        <v>35895374</v>
      </c>
      <c r="H3471">
        <v>56956886</v>
      </c>
      <c r="I3471">
        <v>60803625</v>
      </c>
      <c r="J3471">
        <v>43847506</v>
      </c>
      <c r="K3471">
        <v>49775260</v>
      </c>
      <c r="L3471">
        <v>45296550</v>
      </c>
      <c r="P3471">
        <v>73</v>
      </c>
      <c r="Q3471" t="s">
        <v>7287</v>
      </c>
    </row>
    <row r="3472" spans="1:17" x14ac:dyDescent="0.3">
      <c r="A3472" t="s">
        <v>4664</v>
      </c>
      <c r="B3472" t="str">
        <f>"002796"</f>
        <v>002796</v>
      </c>
      <c r="C3472" t="s">
        <v>7288</v>
      </c>
      <c r="D3472" t="s">
        <v>1689</v>
      </c>
      <c r="F3472">
        <v>-604920303</v>
      </c>
      <c r="G3472">
        <v>44716291</v>
      </c>
      <c r="H3472">
        <v>98193033</v>
      </c>
      <c r="I3472">
        <v>25667065</v>
      </c>
      <c r="J3472">
        <v>22888706</v>
      </c>
      <c r="K3472">
        <v>35344153</v>
      </c>
      <c r="L3472">
        <v>38177655</v>
      </c>
      <c r="P3472">
        <v>248</v>
      </c>
      <c r="Q3472" t="s">
        <v>7289</v>
      </c>
    </row>
    <row r="3473" spans="1:17" x14ac:dyDescent="0.3">
      <c r="A3473" t="s">
        <v>4664</v>
      </c>
      <c r="B3473" t="str">
        <f>"002797"</f>
        <v>002797</v>
      </c>
      <c r="C3473" t="s">
        <v>7290</v>
      </c>
      <c r="D3473" t="s">
        <v>80</v>
      </c>
      <c r="F3473">
        <v>625076328</v>
      </c>
      <c r="G3473">
        <v>559841764</v>
      </c>
      <c r="H3473">
        <v>346354394</v>
      </c>
      <c r="I3473">
        <v>125353404</v>
      </c>
      <c r="J3473">
        <v>298869966</v>
      </c>
      <c r="K3473">
        <v>424324195</v>
      </c>
      <c r="L3473">
        <v>753268161</v>
      </c>
      <c r="N3473">
        <v>161000000</v>
      </c>
      <c r="O3473">
        <v>154934504.52000001</v>
      </c>
      <c r="P3473">
        <v>838</v>
      </c>
      <c r="Q3473" t="s">
        <v>7291</v>
      </c>
    </row>
    <row r="3474" spans="1:17" x14ac:dyDescent="0.3">
      <c r="A3474" t="s">
        <v>4664</v>
      </c>
      <c r="B3474" t="str">
        <f>"002798"</f>
        <v>002798</v>
      </c>
      <c r="C3474" t="s">
        <v>7292</v>
      </c>
      <c r="D3474" t="s">
        <v>178</v>
      </c>
      <c r="F3474">
        <v>349431845</v>
      </c>
      <c r="G3474">
        <v>405259011</v>
      </c>
      <c r="H3474">
        <v>426153537</v>
      </c>
      <c r="I3474">
        <v>271141598</v>
      </c>
      <c r="J3474">
        <v>31719693</v>
      </c>
      <c r="K3474">
        <v>25674091</v>
      </c>
      <c r="L3474">
        <v>22540042</v>
      </c>
      <c r="P3474">
        <v>374</v>
      </c>
      <c r="Q3474" t="s">
        <v>7293</v>
      </c>
    </row>
    <row r="3475" spans="1:17" x14ac:dyDescent="0.3">
      <c r="A3475" t="s">
        <v>4664</v>
      </c>
      <c r="B3475" t="str">
        <f>"002799"</f>
        <v>002799</v>
      </c>
      <c r="C3475" t="s">
        <v>7294</v>
      </c>
      <c r="D3475" t="s">
        <v>2156</v>
      </c>
      <c r="F3475">
        <v>101549331</v>
      </c>
      <c r="G3475">
        <v>65570468</v>
      </c>
      <c r="H3475">
        <v>44665252</v>
      </c>
      <c r="I3475">
        <v>16104018</v>
      </c>
      <c r="J3475">
        <v>15456796</v>
      </c>
      <c r="K3475">
        <v>16598301</v>
      </c>
      <c r="L3475">
        <v>18614717</v>
      </c>
      <c r="P3475">
        <v>109</v>
      </c>
      <c r="Q3475" t="s">
        <v>7295</v>
      </c>
    </row>
    <row r="3476" spans="1:17" x14ac:dyDescent="0.3">
      <c r="A3476" t="s">
        <v>4664</v>
      </c>
      <c r="B3476" t="str">
        <f>"002800"</f>
        <v>002800</v>
      </c>
      <c r="C3476" t="s">
        <v>7296</v>
      </c>
      <c r="D3476" t="s">
        <v>2492</v>
      </c>
      <c r="F3476">
        <v>34335329</v>
      </c>
      <c r="G3476">
        <v>19842252</v>
      </c>
      <c r="H3476">
        <v>26650947</v>
      </c>
      <c r="I3476">
        <v>505206</v>
      </c>
      <c r="J3476">
        <v>36186811</v>
      </c>
      <c r="K3476">
        <v>24817954</v>
      </c>
      <c r="L3476">
        <v>22966079</v>
      </c>
      <c r="P3476">
        <v>86</v>
      </c>
      <c r="Q3476" t="s">
        <v>7297</v>
      </c>
    </row>
    <row r="3477" spans="1:17" x14ac:dyDescent="0.3">
      <c r="A3477" t="s">
        <v>4664</v>
      </c>
      <c r="B3477" t="str">
        <f>"002801"</f>
        <v>002801</v>
      </c>
      <c r="C3477" t="s">
        <v>7298</v>
      </c>
      <c r="D3477" t="s">
        <v>1171</v>
      </c>
      <c r="F3477">
        <v>169036579</v>
      </c>
      <c r="G3477">
        <v>140124902</v>
      </c>
      <c r="H3477">
        <v>124174521</v>
      </c>
      <c r="I3477">
        <v>81042627</v>
      </c>
      <c r="J3477">
        <v>79368610</v>
      </c>
      <c r="K3477">
        <v>70625918</v>
      </c>
      <c r="L3477">
        <v>60965169</v>
      </c>
      <c r="P3477">
        <v>201</v>
      </c>
      <c r="Q3477" t="s">
        <v>7299</v>
      </c>
    </row>
    <row r="3478" spans="1:17" x14ac:dyDescent="0.3">
      <c r="A3478" t="s">
        <v>4664</v>
      </c>
      <c r="B3478" t="str">
        <f>"002802"</f>
        <v>002802</v>
      </c>
      <c r="C3478" t="s">
        <v>7300</v>
      </c>
      <c r="D3478" t="s">
        <v>386</v>
      </c>
      <c r="F3478">
        <v>58211876</v>
      </c>
      <c r="G3478">
        <v>67876557</v>
      </c>
      <c r="H3478">
        <v>61711419</v>
      </c>
      <c r="I3478">
        <v>55595383</v>
      </c>
      <c r="J3478">
        <v>54481787</v>
      </c>
      <c r="K3478">
        <v>39395529</v>
      </c>
      <c r="L3478">
        <v>33633222</v>
      </c>
      <c r="P3478">
        <v>102</v>
      </c>
      <c r="Q3478" t="s">
        <v>7301</v>
      </c>
    </row>
    <row r="3479" spans="1:17" x14ac:dyDescent="0.3">
      <c r="A3479" t="s">
        <v>4664</v>
      </c>
      <c r="B3479" t="str">
        <f>"002803"</f>
        <v>002803</v>
      </c>
      <c r="C3479" t="s">
        <v>7302</v>
      </c>
      <c r="D3479" t="s">
        <v>2014</v>
      </c>
      <c r="F3479">
        <v>247803970</v>
      </c>
      <c r="G3479">
        <v>432888464</v>
      </c>
      <c r="H3479">
        <v>231552079</v>
      </c>
      <c r="I3479">
        <v>131350729</v>
      </c>
      <c r="J3479">
        <v>38387583</v>
      </c>
      <c r="K3479">
        <v>29740400</v>
      </c>
      <c r="L3479">
        <v>26065452</v>
      </c>
      <c r="P3479">
        <v>601</v>
      </c>
      <c r="Q3479" t="s">
        <v>7303</v>
      </c>
    </row>
    <row r="3480" spans="1:17" x14ac:dyDescent="0.3">
      <c r="A3480" t="s">
        <v>4664</v>
      </c>
      <c r="B3480" t="str">
        <f>"002805"</f>
        <v>002805</v>
      </c>
      <c r="C3480" t="s">
        <v>7304</v>
      </c>
      <c r="D3480" t="s">
        <v>1233</v>
      </c>
      <c r="F3480">
        <v>38693704</v>
      </c>
      <c r="G3480">
        <v>3937181</v>
      </c>
      <c r="H3480">
        <v>17615507</v>
      </c>
      <c r="I3480">
        <v>15975365</v>
      </c>
      <c r="J3480">
        <v>28195779</v>
      </c>
      <c r="K3480">
        <v>17707968</v>
      </c>
      <c r="L3480">
        <v>20606490</v>
      </c>
      <c r="P3480">
        <v>113</v>
      </c>
      <c r="Q3480" t="s">
        <v>7305</v>
      </c>
    </row>
    <row r="3481" spans="1:17" x14ac:dyDescent="0.3">
      <c r="A3481" t="s">
        <v>4664</v>
      </c>
      <c r="B3481" t="str">
        <f>"002806"</f>
        <v>002806</v>
      </c>
      <c r="C3481" t="s">
        <v>7306</v>
      </c>
      <c r="D3481" t="s">
        <v>504</v>
      </c>
      <c r="F3481">
        <v>18859531</v>
      </c>
      <c r="G3481">
        <v>-38655286</v>
      </c>
      <c r="H3481">
        <v>3370144</v>
      </c>
      <c r="I3481">
        <v>23131934</v>
      </c>
      <c r="J3481">
        <v>18036381</v>
      </c>
      <c r="K3481">
        <v>19236397</v>
      </c>
      <c r="L3481">
        <v>17727115</v>
      </c>
      <c r="P3481">
        <v>99</v>
      </c>
      <c r="Q3481" t="s">
        <v>7307</v>
      </c>
    </row>
    <row r="3482" spans="1:17" x14ac:dyDescent="0.3">
      <c r="A3482" t="s">
        <v>4664</v>
      </c>
      <c r="B3482" t="str">
        <f>"002807"</f>
        <v>002807</v>
      </c>
      <c r="C3482" t="s">
        <v>7308</v>
      </c>
      <c r="D3482" t="s">
        <v>1827</v>
      </c>
      <c r="F3482">
        <v>749180000</v>
      </c>
      <c r="G3482">
        <v>648377000</v>
      </c>
      <c r="H3482">
        <v>636748000</v>
      </c>
      <c r="I3482">
        <v>539883000</v>
      </c>
      <c r="J3482">
        <v>512299000</v>
      </c>
      <c r="K3482">
        <v>510234000</v>
      </c>
      <c r="L3482">
        <v>545779000</v>
      </c>
      <c r="P3482">
        <v>571</v>
      </c>
      <c r="Q3482" t="s">
        <v>7309</v>
      </c>
    </row>
    <row r="3483" spans="1:17" x14ac:dyDescent="0.3">
      <c r="A3483" t="s">
        <v>4664</v>
      </c>
      <c r="B3483" t="str">
        <f>"002808"</f>
        <v>002808</v>
      </c>
      <c r="C3483" t="s">
        <v>7310</v>
      </c>
      <c r="D3483" t="s">
        <v>164</v>
      </c>
      <c r="F3483">
        <v>10044364</v>
      </c>
      <c r="G3483">
        <v>16593333</v>
      </c>
      <c r="H3483">
        <v>15084530</v>
      </c>
      <c r="I3483">
        <v>23548497</v>
      </c>
      <c r="J3483">
        <v>19740590</v>
      </c>
      <c r="K3483">
        <v>23721855</v>
      </c>
      <c r="L3483">
        <v>28234803</v>
      </c>
      <c r="P3483">
        <v>73</v>
      </c>
      <c r="Q3483" t="s">
        <v>7311</v>
      </c>
    </row>
    <row r="3484" spans="1:17" x14ac:dyDescent="0.3">
      <c r="A3484" t="s">
        <v>4664</v>
      </c>
      <c r="B3484" t="str">
        <f>"002809"</f>
        <v>002809</v>
      </c>
      <c r="C3484" t="s">
        <v>7312</v>
      </c>
      <c r="D3484" t="s">
        <v>386</v>
      </c>
      <c r="F3484">
        <v>90928442</v>
      </c>
      <c r="G3484">
        <v>104392658</v>
      </c>
      <c r="H3484">
        <v>94640276</v>
      </c>
      <c r="I3484">
        <v>75172727</v>
      </c>
      <c r="J3484">
        <v>56321243</v>
      </c>
      <c r="K3484">
        <v>49454361</v>
      </c>
      <c r="L3484">
        <v>54554908</v>
      </c>
      <c r="P3484">
        <v>99</v>
      </c>
      <c r="Q3484" t="s">
        <v>7313</v>
      </c>
    </row>
    <row r="3485" spans="1:17" x14ac:dyDescent="0.3">
      <c r="A3485" t="s">
        <v>4664</v>
      </c>
      <c r="B3485" t="str">
        <f>"002810"</f>
        <v>002810</v>
      </c>
      <c r="C3485" t="s">
        <v>7314</v>
      </c>
      <c r="D3485" t="s">
        <v>386</v>
      </c>
      <c r="F3485">
        <v>276650526</v>
      </c>
      <c r="G3485">
        <v>199654120</v>
      </c>
      <c r="H3485">
        <v>123519334</v>
      </c>
      <c r="I3485">
        <v>56818648</v>
      </c>
      <c r="J3485">
        <v>37829970</v>
      </c>
      <c r="K3485">
        <v>37138618</v>
      </c>
      <c r="L3485">
        <v>32195383</v>
      </c>
      <c r="P3485">
        <v>419</v>
      </c>
      <c r="Q3485" t="s">
        <v>7315</v>
      </c>
    </row>
    <row r="3486" spans="1:17" x14ac:dyDescent="0.3">
      <c r="A3486" t="s">
        <v>4664</v>
      </c>
      <c r="B3486" t="str">
        <f>"002811"</f>
        <v>002811</v>
      </c>
      <c r="C3486" t="s">
        <v>7316</v>
      </c>
      <c r="D3486" t="s">
        <v>450</v>
      </c>
      <c r="F3486">
        <v>38980086</v>
      </c>
      <c r="G3486">
        <v>36224126</v>
      </c>
      <c r="H3486">
        <v>96728490</v>
      </c>
      <c r="I3486">
        <v>78750083</v>
      </c>
      <c r="J3486">
        <v>60424491</v>
      </c>
      <c r="K3486">
        <v>62158178</v>
      </c>
      <c r="L3486">
        <v>63849544</v>
      </c>
      <c r="P3486">
        <v>95</v>
      </c>
      <c r="Q3486" t="s">
        <v>7317</v>
      </c>
    </row>
    <row r="3487" spans="1:17" x14ac:dyDescent="0.3">
      <c r="A3487" t="s">
        <v>4664</v>
      </c>
      <c r="B3487" t="str">
        <f>"002812"</f>
        <v>002812</v>
      </c>
      <c r="C3487" t="s">
        <v>7318</v>
      </c>
      <c r="D3487" t="s">
        <v>1786</v>
      </c>
      <c r="F3487">
        <v>1755423409</v>
      </c>
      <c r="G3487">
        <v>643497112</v>
      </c>
      <c r="H3487">
        <v>631783476</v>
      </c>
      <c r="I3487">
        <v>322662823</v>
      </c>
      <c r="J3487">
        <v>102140328</v>
      </c>
      <c r="K3487">
        <v>110442365</v>
      </c>
      <c r="L3487">
        <v>96271176</v>
      </c>
      <c r="P3487">
        <v>1583</v>
      </c>
      <c r="Q3487" t="s">
        <v>7319</v>
      </c>
    </row>
    <row r="3488" spans="1:17" x14ac:dyDescent="0.3">
      <c r="A3488" t="s">
        <v>4664</v>
      </c>
      <c r="B3488" t="str">
        <f>"002813"</f>
        <v>002813</v>
      </c>
      <c r="C3488" t="s">
        <v>7320</v>
      </c>
      <c r="D3488" t="s">
        <v>1415</v>
      </c>
      <c r="F3488">
        <v>5525423</v>
      </c>
      <c r="G3488">
        <v>-37486437</v>
      </c>
      <c r="H3488">
        <v>-68772112</v>
      </c>
      <c r="I3488">
        <v>-27021217</v>
      </c>
      <c r="J3488">
        <v>12225179</v>
      </c>
      <c r="K3488">
        <v>38548540</v>
      </c>
      <c r="L3488">
        <v>16979335</v>
      </c>
      <c r="P3488">
        <v>113</v>
      </c>
      <c r="Q3488" t="s">
        <v>7321</v>
      </c>
    </row>
    <row r="3489" spans="1:17" x14ac:dyDescent="0.3">
      <c r="A3489" t="s">
        <v>4664</v>
      </c>
      <c r="B3489" t="str">
        <f>"002815"</f>
        <v>002815</v>
      </c>
      <c r="C3489" t="s">
        <v>7322</v>
      </c>
      <c r="D3489" t="s">
        <v>425</v>
      </c>
      <c r="F3489">
        <v>457976388</v>
      </c>
      <c r="G3489">
        <v>375163613</v>
      </c>
      <c r="H3489">
        <v>390384957</v>
      </c>
      <c r="I3489">
        <v>432960846</v>
      </c>
      <c r="J3489">
        <v>325087848</v>
      </c>
      <c r="K3489">
        <v>287414695</v>
      </c>
      <c r="L3489">
        <v>244459801</v>
      </c>
      <c r="P3489">
        <v>919</v>
      </c>
      <c r="Q3489" t="s">
        <v>7323</v>
      </c>
    </row>
    <row r="3490" spans="1:17" x14ac:dyDescent="0.3">
      <c r="A3490" t="s">
        <v>4664</v>
      </c>
      <c r="B3490" t="str">
        <f>"002816"</f>
        <v>002816</v>
      </c>
      <c r="C3490" t="s">
        <v>7324</v>
      </c>
      <c r="D3490" t="s">
        <v>741</v>
      </c>
      <c r="F3490">
        <v>28887942</v>
      </c>
      <c r="G3490">
        <v>-8885906</v>
      </c>
      <c r="H3490">
        <v>-21030297</v>
      </c>
      <c r="I3490">
        <v>6670167</v>
      </c>
      <c r="J3490">
        <v>10130233</v>
      </c>
      <c r="K3490">
        <v>19454517</v>
      </c>
      <c r="L3490">
        <v>22266211</v>
      </c>
      <c r="P3490">
        <v>46</v>
      </c>
      <c r="Q3490" t="s">
        <v>7325</v>
      </c>
    </row>
    <row r="3491" spans="1:17" x14ac:dyDescent="0.3">
      <c r="A3491" t="s">
        <v>4664</v>
      </c>
      <c r="B3491" t="str">
        <f>"002817"</f>
        <v>002817</v>
      </c>
      <c r="C3491" t="s">
        <v>7326</v>
      </c>
      <c r="D3491" t="s">
        <v>1077</v>
      </c>
      <c r="F3491">
        <v>42709180</v>
      </c>
      <c r="G3491">
        <v>33622480</v>
      </c>
      <c r="H3491">
        <v>31396505</v>
      </c>
      <c r="I3491">
        <v>28844578</v>
      </c>
      <c r="J3491">
        <v>37850394</v>
      </c>
      <c r="K3491">
        <v>43417113</v>
      </c>
      <c r="L3491">
        <v>54890458</v>
      </c>
      <c r="P3491">
        <v>126</v>
      </c>
      <c r="Q3491" t="s">
        <v>7327</v>
      </c>
    </row>
    <row r="3492" spans="1:17" x14ac:dyDescent="0.3">
      <c r="A3492" t="s">
        <v>4664</v>
      </c>
      <c r="B3492" t="str">
        <f>"002818"</f>
        <v>002818</v>
      </c>
      <c r="C3492" t="s">
        <v>7328</v>
      </c>
      <c r="D3492" t="s">
        <v>271</v>
      </c>
      <c r="F3492">
        <v>695162284</v>
      </c>
      <c r="G3492">
        <v>496732028</v>
      </c>
      <c r="H3492">
        <v>600402280</v>
      </c>
      <c r="I3492">
        <v>563701515</v>
      </c>
      <c r="J3492">
        <v>506266374</v>
      </c>
      <c r="K3492">
        <v>432026559</v>
      </c>
      <c r="L3492">
        <v>331045042</v>
      </c>
      <c r="P3492">
        <v>868</v>
      </c>
      <c r="Q3492" t="s">
        <v>7329</v>
      </c>
    </row>
    <row r="3493" spans="1:17" x14ac:dyDescent="0.3">
      <c r="A3493" t="s">
        <v>4664</v>
      </c>
      <c r="B3493" t="str">
        <f>"002819"</f>
        <v>002819</v>
      </c>
      <c r="C3493" t="s">
        <v>7330</v>
      </c>
      <c r="D3493" t="s">
        <v>2551</v>
      </c>
      <c r="F3493">
        <v>47929609</v>
      </c>
      <c r="G3493">
        <v>36427265</v>
      </c>
      <c r="H3493">
        <v>39489334</v>
      </c>
      <c r="I3493">
        <v>21351641</v>
      </c>
      <c r="J3493">
        <v>13042905</v>
      </c>
      <c r="K3493">
        <v>22950872</v>
      </c>
      <c r="L3493">
        <v>21960023</v>
      </c>
      <c r="P3493">
        <v>139</v>
      </c>
      <c r="Q3493" t="s">
        <v>7331</v>
      </c>
    </row>
    <row r="3494" spans="1:17" x14ac:dyDescent="0.3">
      <c r="A3494" t="s">
        <v>4664</v>
      </c>
      <c r="B3494" t="str">
        <f>"002820"</f>
        <v>002820</v>
      </c>
      <c r="C3494" t="s">
        <v>7332</v>
      </c>
      <c r="D3494" t="s">
        <v>2479</v>
      </c>
      <c r="F3494">
        <v>28786393</v>
      </c>
      <c r="G3494">
        <v>24653934</v>
      </c>
      <c r="H3494">
        <v>69467067</v>
      </c>
      <c r="I3494">
        <v>70955914</v>
      </c>
      <c r="J3494">
        <v>77859704</v>
      </c>
      <c r="K3494">
        <v>77407540</v>
      </c>
      <c r="L3494">
        <v>78972897</v>
      </c>
      <c r="P3494">
        <v>146</v>
      </c>
      <c r="Q3494" t="s">
        <v>7333</v>
      </c>
    </row>
    <row r="3495" spans="1:17" x14ac:dyDescent="0.3">
      <c r="A3495" t="s">
        <v>4664</v>
      </c>
      <c r="B3495" t="str">
        <f>"002821"</f>
        <v>002821</v>
      </c>
      <c r="C3495" t="s">
        <v>7334</v>
      </c>
      <c r="D3495" t="s">
        <v>1461</v>
      </c>
      <c r="F3495">
        <v>694852139</v>
      </c>
      <c r="G3495">
        <v>506224905</v>
      </c>
      <c r="H3495">
        <v>366515485</v>
      </c>
      <c r="I3495">
        <v>260898704</v>
      </c>
      <c r="J3495">
        <v>200765764</v>
      </c>
      <c r="K3495">
        <v>188627877</v>
      </c>
      <c r="L3495">
        <v>82339270</v>
      </c>
      <c r="P3495">
        <v>2411</v>
      </c>
      <c r="Q3495" t="s">
        <v>7335</v>
      </c>
    </row>
    <row r="3496" spans="1:17" x14ac:dyDescent="0.3">
      <c r="A3496" t="s">
        <v>4664</v>
      </c>
      <c r="B3496" t="str">
        <f>"002822"</f>
        <v>002822</v>
      </c>
      <c r="C3496" t="s">
        <v>7336</v>
      </c>
      <c r="D3496" t="s">
        <v>450</v>
      </c>
      <c r="F3496">
        <v>172255377</v>
      </c>
      <c r="G3496">
        <v>207785696</v>
      </c>
      <c r="H3496">
        <v>205317820</v>
      </c>
      <c r="I3496">
        <v>132861933</v>
      </c>
      <c r="J3496">
        <v>114686887</v>
      </c>
      <c r="K3496">
        <v>115610610</v>
      </c>
      <c r="L3496">
        <v>88144195</v>
      </c>
      <c r="P3496">
        <v>134</v>
      </c>
      <c r="Q3496" t="s">
        <v>7337</v>
      </c>
    </row>
    <row r="3497" spans="1:17" x14ac:dyDescent="0.3">
      <c r="A3497" t="s">
        <v>4664</v>
      </c>
      <c r="B3497" t="str">
        <f>"002823"</f>
        <v>002823</v>
      </c>
      <c r="C3497" t="s">
        <v>7338</v>
      </c>
      <c r="D3497" t="s">
        <v>1171</v>
      </c>
      <c r="F3497">
        <v>7111626</v>
      </c>
      <c r="G3497">
        <v>93289969</v>
      </c>
      <c r="H3497">
        <v>46990158</v>
      </c>
      <c r="I3497">
        <v>124397356</v>
      </c>
      <c r="J3497">
        <v>114561988</v>
      </c>
      <c r="K3497">
        <v>88801900</v>
      </c>
      <c r="L3497">
        <v>70376200</v>
      </c>
      <c r="P3497">
        <v>158</v>
      </c>
      <c r="Q3497" t="s">
        <v>7339</v>
      </c>
    </row>
    <row r="3498" spans="1:17" x14ac:dyDescent="0.3">
      <c r="A3498" t="s">
        <v>4664</v>
      </c>
      <c r="B3498" t="str">
        <f>"002824"</f>
        <v>002824</v>
      </c>
      <c r="C3498" t="s">
        <v>7340</v>
      </c>
      <c r="D3498" t="s">
        <v>504</v>
      </c>
      <c r="F3498">
        <v>126071433</v>
      </c>
      <c r="G3498">
        <v>27736201</v>
      </c>
      <c r="H3498">
        <v>9238968</v>
      </c>
      <c r="I3498">
        <v>25968010</v>
      </c>
      <c r="J3498">
        <v>48085515</v>
      </c>
      <c r="K3498">
        <v>53539575</v>
      </c>
      <c r="L3498">
        <v>34153954</v>
      </c>
      <c r="P3498">
        <v>167</v>
      </c>
      <c r="Q3498" t="s">
        <v>7341</v>
      </c>
    </row>
    <row r="3499" spans="1:17" x14ac:dyDescent="0.3">
      <c r="A3499" t="s">
        <v>4664</v>
      </c>
      <c r="B3499" t="str">
        <f>"002825"</f>
        <v>002825</v>
      </c>
      <c r="C3499" t="s">
        <v>7342</v>
      </c>
      <c r="D3499" t="s">
        <v>1192</v>
      </c>
      <c r="F3499">
        <v>70917671</v>
      </c>
      <c r="G3499">
        <v>84047875</v>
      </c>
      <c r="H3499">
        <v>40726300</v>
      </c>
      <c r="I3499">
        <v>49734995</v>
      </c>
      <c r="J3499">
        <v>25319175</v>
      </c>
      <c r="K3499">
        <v>48779740</v>
      </c>
      <c r="L3499">
        <v>45978494</v>
      </c>
      <c r="P3499">
        <v>100</v>
      </c>
      <c r="Q3499" t="s">
        <v>7343</v>
      </c>
    </row>
    <row r="3500" spans="1:17" x14ac:dyDescent="0.3">
      <c r="A3500" t="s">
        <v>4664</v>
      </c>
      <c r="B3500" t="str">
        <f>"002826"</f>
        <v>002826</v>
      </c>
      <c r="C3500" t="s">
        <v>7344</v>
      </c>
      <c r="D3500" t="s">
        <v>143</v>
      </c>
      <c r="F3500">
        <v>17132873</v>
      </c>
      <c r="G3500">
        <v>17092345</v>
      </c>
      <c r="H3500">
        <v>15611342</v>
      </c>
      <c r="I3500">
        <v>10950985</v>
      </c>
      <c r="J3500">
        <v>33518607</v>
      </c>
      <c r="K3500">
        <v>35584200</v>
      </c>
      <c r="L3500">
        <v>27109800</v>
      </c>
      <c r="P3500">
        <v>127</v>
      </c>
      <c r="Q3500" t="s">
        <v>7345</v>
      </c>
    </row>
    <row r="3501" spans="1:17" x14ac:dyDescent="0.3">
      <c r="A3501" t="s">
        <v>4664</v>
      </c>
      <c r="B3501" t="str">
        <f>"002827"</f>
        <v>002827</v>
      </c>
      <c r="C3501" t="s">
        <v>7346</v>
      </c>
      <c r="D3501" t="s">
        <v>2713</v>
      </c>
      <c r="F3501">
        <v>30015479</v>
      </c>
      <c r="G3501">
        <v>26055571</v>
      </c>
      <c r="H3501">
        <v>22833868</v>
      </c>
      <c r="I3501">
        <v>54674518</v>
      </c>
      <c r="J3501">
        <v>89693342</v>
      </c>
      <c r="K3501">
        <v>80715284</v>
      </c>
      <c r="L3501">
        <v>42440719</v>
      </c>
      <c r="P3501">
        <v>89</v>
      </c>
      <c r="Q3501" t="s">
        <v>7347</v>
      </c>
    </row>
    <row r="3502" spans="1:17" x14ac:dyDescent="0.3">
      <c r="A3502" t="s">
        <v>4664</v>
      </c>
      <c r="B3502" t="str">
        <f>"002828"</f>
        <v>002828</v>
      </c>
      <c r="C3502" t="s">
        <v>7348</v>
      </c>
      <c r="D3502" t="s">
        <v>1758</v>
      </c>
      <c r="F3502">
        <v>18733637</v>
      </c>
      <c r="G3502">
        <v>20150390</v>
      </c>
      <c r="H3502">
        <v>36159100</v>
      </c>
      <c r="I3502">
        <v>53886816</v>
      </c>
      <c r="J3502">
        <v>48423351</v>
      </c>
      <c r="K3502">
        <v>36462998</v>
      </c>
      <c r="L3502">
        <v>35910081</v>
      </c>
      <c r="P3502">
        <v>73</v>
      </c>
      <c r="Q3502" t="s">
        <v>7349</v>
      </c>
    </row>
    <row r="3503" spans="1:17" x14ac:dyDescent="0.3">
      <c r="A3503" t="s">
        <v>4664</v>
      </c>
      <c r="B3503" t="str">
        <f>"002829"</f>
        <v>002829</v>
      </c>
      <c r="C3503" t="s">
        <v>7350</v>
      </c>
      <c r="D3503" t="s">
        <v>284</v>
      </c>
      <c r="F3503">
        <v>83724005</v>
      </c>
      <c r="G3503">
        <v>81587077</v>
      </c>
      <c r="H3503">
        <v>5294425</v>
      </c>
      <c r="I3503">
        <v>19919142</v>
      </c>
      <c r="J3503">
        <v>37957006</v>
      </c>
      <c r="K3503">
        <v>42005644</v>
      </c>
      <c r="L3503">
        <v>29189301</v>
      </c>
      <c r="P3503">
        <v>132</v>
      </c>
      <c r="Q3503" t="s">
        <v>7351</v>
      </c>
    </row>
    <row r="3504" spans="1:17" x14ac:dyDescent="0.3">
      <c r="A3504" t="s">
        <v>4664</v>
      </c>
      <c r="B3504" t="str">
        <f>"002830"</f>
        <v>002830</v>
      </c>
      <c r="C3504" t="s">
        <v>7352</v>
      </c>
      <c r="D3504" t="s">
        <v>450</v>
      </c>
      <c r="F3504">
        <v>13980856</v>
      </c>
      <c r="G3504">
        <v>-3546358</v>
      </c>
      <c r="H3504">
        <v>1244193</v>
      </c>
      <c r="I3504">
        <v>15277171</v>
      </c>
      <c r="J3504">
        <v>19528609</v>
      </c>
      <c r="K3504">
        <v>17402564</v>
      </c>
      <c r="L3504">
        <v>17972547</v>
      </c>
      <c r="P3504">
        <v>77</v>
      </c>
      <c r="Q3504" t="s">
        <v>7353</v>
      </c>
    </row>
    <row r="3505" spans="1:17" x14ac:dyDescent="0.3">
      <c r="A3505" t="s">
        <v>4664</v>
      </c>
      <c r="B3505" t="str">
        <f>"002831"</f>
        <v>002831</v>
      </c>
      <c r="C3505" t="s">
        <v>7354</v>
      </c>
      <c r="D3505" t="s">
        <v>2156</v>
      </c>
      <c r="F3505">
        <v>667531290</v>
      </c>
      <c r="G3505">
        <v>656354699</v>
      </c>
      <c r="H3505">
        <v>608336491</v>
      </c>
      <c r="I3505">
        <v>542549972</v>
      </c>
      <c r="J3505">
        <v>611087491</v>
      </c>
      <c r="K3505">
        <v>551012449</v>
      </c>
      <c r="L3505">
        <v>447170079</v>
      </c>
      <c r="P3505">
        <v>663</v>
      </c>
      <c r="Q3505" t="s">
        <v>7355</v>
      </c>
    </row>
    <row r="3506" spans="1:17" x14ac:dyDescent="0.3">
      <c r="A3506" t="s">
        <v>4664</v>
      </c>
      <c r="B3506" t="str">
        <f>"002832"</f>
        <v>002832</v>
      </c>
      <c r="C3506" t="s">
        <v>7356</v>
      </c>
      <c r="D3506" t="s">
        <v>255</v>
      </c>
      <c r="F3506">
        <v>459047069</v>
      </c>
      <c r="G3506">
        <v>348651959</v>
      </c>
      <c r="H3506">
        <v>311275254</v>
      </c>
      <c r="I3506">
        <v>206016135</v>
      </c>
      <c r="J3506">
        <v>137284074</v>
      </c>
      <c r="K3506">
        <v>105215913</v>
      </c>
      <c r="P3506">
        <v>636</v>
      </c>
      <c r="Q3506" t="s">
        <v>7357</v>
      </c>
    </row>
    <row r="3507" spans="1:17" x14ac:dyDescent="0.3">
      <c r="A3507" t="s">
        <v>4664</v>
      </c>
      <c r="B3507" t="str">
        <f>"002833"</f>
        <v>002833</v>
      </c>
      <c r="C3507" t="s">
        <v>7358</v>
      </c>
      <c r="D3507" t="s">
        <v>741</v>
      </c>
      <c r="F3507">
        <v>429768855</v>
      </c>
      <c r="G3507">
        <v>246252496</v>
      </c>
      <c r="H3507">
        <v>252804957</v>
      </c>
      <c r="I3507">
        <v>248069799</v>
      </c>
      <c r="J3507">
        <v>193630326</v>
      </c>
      <c r="K3507">
        <v>120069905</v>
      </c>
      <c r="L3507">
        <v>68746916</v>
      </c>
      <c r="P3507">
        <v>2869</v>
      </c>
      <c r="Q3507" t="s">
        <v>7359</v>
      </c>
    </row>
    <row r="3508" spans="1:17" x14ac:dyDescent="0.3">
      <c r="A3508" t="s">
        <v>4664</v>
      </c>
      <c r="B3508" t="str">
        <f>"002835"</f>
        <v>002835</v>
      </c>
      <c r="C3508" t="s">
        <v>7360</v>
      </c>
      <c r="D3508" t="s">
        <v>2953</v>
      </c>
      <c r="F3508">
        <v>48743198</v>
      </c>
      <c r="G3508">
        <v>63649111</v>
      </c>
      <c r="H3508">
        <v>26063887</v>
      </c>
      <c r="I3508">
        <v>403336</v>
      </c>
      <c r="J3508">
        <v>24381282</v>
      </c>
      <c r="K3508">
        <v>43345100</v>
      </c>
      <c r="L3508">
        <v>41925800</v>
      </c>
      <c r="P3508">
        <v>94</v>
      </c>
      <c r="Q3508" t="s">
        <v>7361</v>
      </c>
    </row>
    <row r="3509" spans="1:17" x14ac:dyDescent="0.3">
      <c r="A3509" t="s">
        <v>4664</v>
      </c>
      <c r="B3509" t="str">
        <f>"002836"</f>
        <v>002836</v>
      </c>
      <c r="C3509" t="s">
        <v>7362</v>
      </c>
      <c r="D3509" t="s">
        <v>2156</v>
      </c>
      <c r="F3509">
        <v>8734212</v>
      </c>
      <c r="G3509">
        <v>14289925</v>
      </c>
      <c r="H3509">
        <v>26566768</v>
      </c>
      <c r="I3509">
        <v>25000294</v>
      </c>
      <c r="J3509">
        <v>28697121</v>
      </c>
      <c r="K3509">
        <v>30047869</v>
      </c>
      <c r="P3509">
        <v>63</v>
      </c>
      <c r="Q3509" t="s">
        <v>7363</v>
      </c>
    </row>
    <row r="3510" spans="1:17" x14ac:dyDescent="0.3">
      <c r="A3510" t="s">
        <v>4664</v>
      </c>
      <c r="B3510" t="str">
        <f>"002837"</f>
        <v>002837</v>
      </c>
      <c r="C3510" t="s">
        <v>7364</v>
      </c>
      <c r="D3510" t="s">
        <v>741</v>
      </c>
      <c r="F3510">
        <v>151418055</v>
      </c>
      <c r="G3510">
        <v>122321010</v>
      </c>
      <c r="H3510">
        <v>101763637</v>
      </c>
      <c r="I3510">
        <v>85161447</v>
      </c>
      <c r="J3510">
        <v>57052654</v>
      </c>
      <c r="K3510">
        <v>55083700</v>
      </c>
      <c r="L3510">
        <v>48567600</v>
      </c>
      <c r="P3510">
        <v>396</v>
      </c>
      <c r="Q3510" t="s">
        <v>7365</v>
      </c>
    </row>
    <row r="3511" spans="1:17" x14ac:dyDescent="0.3">
      <c r="A3511" t="s">
        <v>4664</v>
      </c>
      <c r="B3511" t="str">
        <f>"002838"</f>
        <v>002838</v>
      </c>
      <c r="C3511" t="s">
        <v>7366</v>
      </c>
      <c r="D3511" t="s">
        <v>341</v>
      </c>
      <c r="F3511">
        <v>149465852</v>
      </c>
      <c r="G3511">
        <v>779972256</v>
      </c>
      <c r="H3511">
        <v>126924831</v>
      </c>
      <c r="I3511">
        <v>87702200</v>
      </c>
      <c r="J3511">
        <v>66191376</v>
      </c>
      <c r="K3511">
        <v>61447587</v>
      </c>
      <c r="L3511">
        <v>41439949</v>
      </c>
      <c r="P3511">
        <v>614</v>
      </c>
      <c r="Q3511" t="s">
        <v>7367</v>
      </c>
    </row>
    <row r="3512" spans="1:17" x14ac:dyDescent="0.3">
      <c r="A3512" t="s">
        <v>4664</v>
      </c>
      <c r="B3512" t="str">
        <f>"002839"</f>
        <v>002839</v>
      </c>
      <c r="C3512" t="s">
        <v>7368</v>
      </c>
      <c r="D3512" t="s">
        <v>1827</v>
      </c>
      <c r="F3512">
        <v>974993608</v>
      </c>
      <c r="G3512">
        <v>767870500</v>
      </c>
      <c r="H3512">
        <v>732587947</v>
      </c>
      <c r="I3512">
        <v>642607214</v>
      </c>
      <c r="J3512">
        <v>557275773</v>
      </c>
      <c r="K3512">
        <v>515768600</v>
      </c>
      <c r="L3512">
        <v>537776700</v>
      </c>
      <c r="P3512">
        <v>474</v>
      </c>
      <c r="Q3512" t="s">
        <v>7369</v>
      </c>
    </row>
    <row r="3513" spans="1:17" x14ac:dyDescent="0.3">
      <c r="A3513" t="s">
        <v>4664</v>
      </c>
      <c r="B3513" t="str">
        <f>"002840"</f>
        <v>002840</v>
      </c>
      <c r="C3513" t="s">
        <v>7370</v>
      </c>
      <c r="D3513" t="s">
        <v>170</v>
      </c>
      <c r="F3513">
        <v>4495298</v>
      </c>
      <c r="G3513">
        <v>90836333</v>
      </c>
      <c r="H3513">
        <v>89663189</v>
      </c>
      <c r="I3513">
        <v>98828897</v>
      </c>
      <c r="J3513">
        <v>86715861</v>
      </c>
      <c r="K3513">
        <v>64183279</v>
      </c>
      <c r="L3513">
        <v>42642114</v>
      </c>
      <c r="P3513">
        <v>600</v>
      </c>
      <c r="Q3513" t="s">
        <v>7371</v>
      </c>
    </row>
    <row r="3514" spans="1:17" x14ac:dyDescent="0.3">
      <c r="A3514" t="s">
        <v>4664</v>
      </c>
      <c r="B3514" t="str">
        <f>"002841"</f>
        <v>002841</v>
      </c>
      <c r="C3514" t="s">
        <v>7372</v>
      </c>
      <c r="D3514" t="s">
        <v>1285</v>
      </c>
      <c r="F3514">
        <v>1221802442</v>
      </c>
      <c r="G3514">
        <v>1404365804</v>
      </c>
      <c r="H3514">
        <v>1413529887</v>
      </c>
      <c r="I3514">
        <v>849896068</v>
      </c>
      <c r="J3514">
        <v>596303343</v>
      </c>
      <c r="K3514">
        <v>594642275</v>
      </c>
      <c r="L3514">
        <v>329320650</v>
      </c>
      <c r="P3514">
        <v>3102</v>
      </c>
      <c r="Q3514" t="s">
        <v>7373</v>
      </c>
    </row>
    <row r="3515" spans="1:17" x14ac:dyDescent="0.3">
      <c r="A3515" t="s">
        <v>4664</v>
      </c>
      <c r="B3515" t="str">
        <f>"002842"</f>
        <v>002842</v>
      </c>
      <c r="C3515" t="s">
        <v>7374</v>
      </c>
      <c r="D3515" t="s">
        <v>1110</v>
      </c>
      <c r="F3515">
        <v>40173210</v>
      </c>
      <c r="G3515">
        <v>29236250</v>
      </c>
      <c r="H3515">
        <v>6303477</v>
      </c>
      <c r="I3515">
        <v>89339259</v>
      </c>
      <c r="J3515">
        <v>52704039</v>
      </c>
      <c r="K3515">
        <v>47221400</v>
      </c>
      <c r="L3515">
        <v>42054700</v>
      </c>
      <c r="P3515">
        <v>99</v>
      </c>
      <c r="Q3515" t="s">
        <v>7375</v>
      </c>
    </row>
    <row r="3516" spans="1:17" x14ac:dyDescent="0.3">
      <c r="A3516" t="s">
        <v>4664</v>
      </c>
      <c r="B3516" t="str">
        <f>"002843"</f>
        <v>002843</v>
      </c>
      <c r="C3516" t="s">
        <v>7376</v>
      </c>
      <c r="D3516" t="s">
        <v>274</v>
      </c>
      <c r="F3516">
        <v>46821237</v>
      </c>
      <c r="G3516">
        <v>35447026</v>
      </c>
      <c r="H3516">
        <v>51449747</v>
      </c>
      <c r="I3516">
        <v>49271871</v>
      </c>
      <c r="J3516">
        <v>40442259</v>
      </c>
      <c r="K3516">
        <v>28712363</v>
      </c>
      <c r="L3516">
        <v>32098492</v>
      </c>
      <c r="P3516">
        <v>74</v>
      </c>
      <c r="Q3516" t="s">
        <v>7377</v>
      </c>
    </row>
    <row r="3517" spans="1:17" x14ac:dyDescent="0.3">
      <c r="A3517" t="s">
        <v>4664</v>
      </c>
      <c r="B3517" t="str">
        <f>"002845"</f>
        <v>002845</v>
      </c>
      <c r="C3517" t="s">
        <v>7378</v>
      </c>
      <c r="D3517" t="s">
        <v>1117</v>
      </c>
      <c r="F3517">
        <v>326635882</v>
      </c>
      <c r="G3517">
        <v>170937185</v>
      </c>
      <c r="H3517">
        <v>73304120</v>
      </c>
      <c r="I3517">
        <v>87144119</v>
      </c>
      <c r="J3517">
        <v>105339696</v>
      </c>
      <c r="K3517">
        <v>40196226</v>
      </c>
      <c r="L3517">
        <v>54060605</v>
      </c>
      <c r="P3517">
        <v>222</v>
      </c>
      <c r="Q3517" t="s">
        <v>7379</v>
      </c>
    </row>
    <row r="3518" spans="1:17" x14ac:dyDescent="0.3">
      <c r="A3518" t="s">
        <v>4664</v>
      </c>
      <c r="B3518" t="str">
        <f>"002846"</f>
        <v>002846</v>
      </c>
      <c r="C3518" t="s">
        <v>7380</v>
      </c>
      <c r="D3518" t="s">
        <v>2364</v>
      </c>
      <c r="F3518">
        <v>53644591</v>
      </c>
      <c r="G3518">
        <v>67635381</v>
      </c>
      <c r="H3518">
        <v>64986046</v>
      </c>
      <c r="I3518">
        <v>24756075</v>
      </c>
      <c r="J3518">
        <v>35713438</v>
      </c>
      <c r="K3518">
        <v>38731435</v>
      </c>
      <c r="L3518">
        <v>31437220</v>
      </c>
      <c r="P3518">
        <v>109</v>
      </c>
      <c r="Q3518" t="s">
        <v>7381</v>
      </c>
    </row>
    <row r="3519" spans="1:17" x14ac:dyDescent="0.3">
      <c r="A3519" t="s">
        <v>4664</v>
      </c>
      <c r="B3519" t="str">
        <f>"002847"</f>
        <v>002847</v>
      </c>
      <c r="C3519" t="s">
        <v>7382</v>
      </c>
      <c r="D3519" t="s">
        <v>3167</v>
      </c>
      <c r="F3519">
        <v>77289751</v>
      </c>
      <c r="G3519">
        <v>188511725</v>
      </c>
      <c r="H3519">
        <v>89767562</v>
      </c>
      <c r="I3519">
        <v>55099623</v>
      </c>
      <c r="J3519">
        <v>53676331</v>
      </c>
      <c r="K3519">
        <v>62037658</v>
      </c>
      <c r="L3519">
        <v>46557083</v>
      </c>
      <c r="P3519">
        <v>742</v>
      </c>
      <c r="Q3519" t="s">
        <v>7383</v>
      </c>
    </row>
    <row r="3520" spans="1:17" x14ac:dyDescent="0.3">
      <c r="A3520" t="s">
        <v>4664</v>
      </c>
      <c r="B3520" t="str">
        <f>"002848"</f>
        <v>002848</v>
      </c>
      <c r="C3520" t="s">
        <v>7384</v>
      </c>
      <c r="D3520" t="s">
        <v>4404</v>
      </c>
      <c r="F3520">
        <v>-63801323</v>
      </c>
      <c r="G3520">
        <v>-146335860</v>
      </c>
      <c r="H3520">
        <v>-28250299</v>
      </c>
      <c r="I3520">
        <v>-29389731</v>
      </c>
      <c r="J3520">
        <v>2133879</v>
      </c>
      <c r="K3520">
        <v>33077977</v>
      </c>
      <c r="L3520">
        <v>37277324</v>
      </c>
      <c r="P3520">
        <v>189</v>
      </c>
      <c r="Q3520" t="s">
        <v>7385</v>
      </c>
    </row>
    <row r="3521" spans="1:17" x14ac:dyDescent="0.3">
      <c r="A3521" t="s">
        <v>4664</v>
      </c>
      <c r="B3521" t="str">
        <f>"002849"</f>
        <v>002849</v>
      </c>
      <c r="C3521" t="s">
        <v>7386</v>
      </c>
      <c r="D3521" t="s">
        <v>2551</v>
      </c>
      <c r="F3521">
        <v>52985991</v>
      </c>
      <c r="G3521">
        <v>60553492</v>
      </c>
      <c r="H3521">
        <v>55240484</v>
      </c>
      <c r="I3521">
        <v>48120076</v>
      </c>
      <c r="J3521">
        <v>34177162</v>
      </c>
      <c r="K3521">
        <v>33332410</v>
      </c>
      <c r="P3521">
        <v>176</v>
      </c>
      <c r="Q3521" t="s">
        <v>7387</v>
      </c>
    </row>
    <row r="3522" spans="1:17" x14ac:dyDescent="0.3">
      <c r="A3522" t="s">
        <v>4664</v>
      </c>
      <c r="B3522" t="str">
        <f>"002850"</f>
        <v>002850</v>
      </c>
      <c r="C3522" t="s">
        <v>7388</v>
      </c>
      <c r="D3522" t="s">
        <v>359</v>
      </c>
      <c r="F3522">
        <v>374551788</v>
      </c>
      <c r="G3522">
        <v>98378724</v>
      </c>
      <c r="H3522">
        <v>146570295</v>
      </c>
      <c r="I3522">
        <v>43785874</v>
      </c>
      <c r="J3522">
        <v>167857831</v>
      </c>
      <c r="K3522">
        <v>163810319</v>
      </c>
      <c r="P3522">
        <v>379</v>
      </c>
      <c r="Q3522" t="s">
        <v>7389</v>
      </c>
    </row>
    <row r="3523" spans="1:17" x14ac:dyDescent="0.3">
      <c r="A3523" t="s">
        <v>4664</v>
      </c>
      <c r="B3523" t="str">
        <f>"002851"</f>
        <v>002851</v>
      </c>
      <c r="C3523" t="s">
        <v>7390</v>
      </c>
      <c r="D3523" t="s">
        <v>880</v>
      </c>
      <c r="F3523">
        <v>320894320</v>
      </c>
      <c r="G3523">
        <v>279208107</v>
      </c>
      <c r="H3523">
        <v>275895338</v>
      </c>
      <c r="I3523">
        <v>122566868</v>
      </c>
      <c r="J3523">
        <v>84282542</v>
      </c>
      <c r="K3523">
        <v>78597683</v>
      </c>
      <c r="P3523">
        <v>565</v>
      </c>
      <c r="Q3523" t="s">
        <v>7391</v>
      </c>
    </row>
    <row r="3524" spans="1:17" x14ac:dyDescent="0.3">
      <c r="A3524" t="s">
        <v>4664</v>
      </c>
      <c r="B3524" t="str">
        <f>"002852"</f>
        <v>002852</v>
      </c>
      <c r="C3524" t="s">
        <v>7392</v>
      </c>
      <c r="D3524" t="s">
        <v>306</v>
      </c>
      <c r="F3524">
        <v>94043688</v>
      </c>
      <c r="G3524">
        <v>90197113</v>
      </c>
      <c r="H3524">
        <v>127069601</v>
      </c>
      <c r="I3524">
        <v>212743833</v>
      </c>
      <c r="J3524">
        <v>151864334</v>
      </c>
      <c r="K3524">
        <v>205418566</v>
      </c>
      <c r="P3524">
        <v>141</v>
      </c>
      <c r="Q3524" t="s">
        <v>7393</v>
      </c>
    </row>
    <row r="3525" spans="1:17" x14ac:dyDescent="0.3">
      <c r="A3525" t="s">
        <v>4664</v>
      </c>
      <c r="B3525" t="str">
        <f>"002853"</f>
        <v>002853</v>
      </c>
      <c r="C3525" t="s">
        <v>7394</v>
      </c>
      <c r="D3525" t="s">
        <v>2647</v>
      </c>
      <c r="F3525">
        <v>169378138</v>
      </c>
      <c r="G3525">
        <v>123039233</v>
      </c>
      <c r="H3525">
        <v>123583560</v>
      </c>
      <c r="I3525">
        <v>101930289</v>
      </c>
      <c r="J3525">
        <v>69857526</v>
      </c>
      <c r="K3525">
        <v>44857540</v>
      </c>
      <c r="P3525">
        <v>379</v>
      </c>
      <c r="Q3525" t="s">
        <v>7395</v>
      </c>
    </row>
    <row r="3526" spans="1:17" x14ac:dyDescent="0.3">
      <c r="A3526" t="s">
        <v>4664</v>
      </c>
      <c r="B3526" t="str">
        <f>"002855"</f>
        <v>002855</v>
      </c>
      <c r="C3526" t="s">
        <v>7396</v>
      </c>
      <c r="D3526" t="s">
        <v>313</v>
      </c>
      <c r="F3526">
        <v>7297012</v>
      </c>
      <c r="G3526">
        <v>54119399</v>
      </c>
      <c r="H3526">
        <v>36731031</v>
      </c>
      <c r="I3526">
        <v>31353803</v>
      </c>
      <c r="J3526">
        <v>34462785</v>
      </c>
      <c r="K3526">
        <v>47429660</v>
      </c>
      <c r="P3526">
        <v>138</v>
      </c>
      <c r="Q3526" t="s">
        <v>7397</v>
      </c>
    </row>
    <row r="3527" spans="1:17" x14ac:dyDescent="0.3">
      <c r="A3527" t="s">
        <v>4664</v>
      </c>
      <c r="B3527" t="str">
        <f>"002856"</f>
        <v>002856</v>
      </c>
      <c r="C3527" t="s">
        <v>7398</v>
      </c>
      <c r="D3527" t="s">
        <v>450</v>
      </c>
      <c r="F3527">
        <v>-36639297</v>
      </c>
      <c r="G3527">
        <v>10419774</v>
      </c>
      <c r="H3527">
        <v>20235428</v>
      </c>
      <c r="I3527">
        <v>28920349</v>
      </c>
      <c r="J3527">
        <v>35864551</v>
      </c>
      <c r="K3527">
        <v>37281775</v>
      </c>
      <c r="P3527">
        <v>51</v>
      </c>
      <c r="Q3527" t="s">
        <v>7399</v>
      </c>
    </row>
    <row r="3528" spans="1:17" x14ac:dyDescent="0.3">
      <c r="A3528" t="s">
        <v>4664</v>
      </c>
      <c r="B3528" t="str">
        <f>"002857"</f>
        <v>002857</v>
      </c>
      <c r="C3528" t="s">
        <v>7400</v>
      </c>
      <c r="D3528" t="s">
        <v>2171</v>
      </c>
      <c r="F3528">
        <v>72643</v>
      </c>
      <c r="G3528">
        <v>9795374</v>
      </c>
      <c r="H3528">
        <v>12638450</v>
      </c>
      <c r="I3528">
        <v>15769639</v>
      </c>
      <c r="J3528">
        <v>15949992</v>
      </c>
      <c r="K3528">
        <v>22631185</v>
      </c>
      <c r="P3528">
        <v>45</v>
      </c>
      <c r="Q3528" t="s">
        <v>7401</v>
      </c>
    </row>
    <row r="3529" spans="1:17" x14ac:dyDescent="0.3">
      <c r="A3529" t="s">
        <v>4664</v>
      </c>
      <c r="B3529" t="str">
        <f>"002858"</f>
        <v>002858</v>
      </c>
      <c r="C3529" t="s">
        <v>7402</v>
      </c>
      <c r="D3529" t="s">
        <v>327</v>
      </c>
      <c r="F3529">
        <v>9388064</v>
      </c>
      <c r="G3529">
        <v>-8046101</v>
      </c>
      <c r="H3529">
        <v>15705535</v>
      </c>
      <c r="I3529">
        <v>10541343</v>
      </c>
      <c r="J3529">
        <v>3788568</v>
      </c>
      <c r="K3529">
        <v>3604124</v>
      </c>
      <c r="P3529">
        <v>75</v>
      </c>
      <c r="Q3529" t="s">
        <v>7403</v>
      </c>
    </row>
    <row r="3530" spans="1:17" x14ac:dyDescent="0.3">
      <c r="A3530" t="s">
        <v>4664</v>
      </c>
      <c r="B3530" t="str">
        <f>"002859"</f>
        <v>002859</v>
      </c>
      <c r="C3530" t="s">
        <v>7404</v>
      </c>
      <c r="D3530" t="s">
        <v>651</v>
      </c>
      <c r="F3530">
        <v>329751467</v>
      </c>
      <c r="G3530">
        <v>211553610</v>
      </c>
      <c r="H3530">
        <v>95747763</v>
      </c>
      <c r="I3530">
        <v>204215340</v>
      </c>
      <c r="J3530">
        <v>131352267</v>
      </c>
      <c r="K3530">
        <v>90379562</v>
      </c>
      <c r="P3530">
        <v>2969</v>
      </c>
      <c r="Q3530" t="s">
        <v>7405</v>
      </c>
    </row>
    <row r="3531" spans="1:17" x14ac:dyDescent="0.3">
      <c r="A3531" t="s">
        <v>4664</v>
      </c>
      <c r="B3531" t="str">
        <f>"002860"</f>
        <v>002860</v>
      </c>
      <c r="C3531" t="s">
        <v>7406</v>
      </c>
      <c r="D3531" t="s">
        <v>1253</v>
      </c>
      <c r="F3531">
        <v>134302450</v>
      </c>
      <c r="G3531">
        <v>88856817</v>
      </c>
      <c r="H3531">
        <v>113674285</v>
      </c>
      <c r="I3531">
        <v>76132707</v>
      </c>
      <c r="J3531">
        <v>66320602</v>
      </c>
      <c r="K3531">
        <v>61385852</v>
      </c>
      <c r="P3531">
        <v>249</v>
      </c>
      <c r="Q3531" t="s">
        <v>7407</v>
      </c>
    </row>
    <row r="3532" spans="1:17" x14ac:dyDescent="0.3">
      <c r="A3532" t="s">
        <v>4664</v>
      </c>
      <c r="B3532" t="str">
        <f>"002861"</f>
        <v>002861</v>
      </c>
      <c r="C3532" t="s">
        <v>7408</v>
      </c>
      <c r="D3532" t="s">
        <v>313</v>
      </c>
      <c r="F3532">
        <v>-8074836</v>
      </c>
      <c r="G3532">
        <v>33703324</v>
      </c>
      <c r="H3532">
        <v>47481053</v>
      </c>
      <c r="I3532">
        <v>50520095</v>
      </c>
      <c r="J3532">
        <v>62501207</v>
      </c>
      <c r="K3532">
        <v>65855912</v>
      </c>
      <c r="P3532">
        <v>155</v>
      </c>
      <c r="Q3532" t="s">
        <v>7409</v>
      </c>
    </row>
    <row r="3533" spans="1:17" x14ac:dyDescent="0.3">
      <c r="A3533" t="s">
        <v>4664</v>
      </c>
      <c r="B3533" t="str">
        <f>"002862"</f>
        <v>002862</v>
      </c>
      <c r="C3533" t="s">
        <v>7410</v>
      </c>
      <c r="D3533" t="s">
        <v>2904</v>
      </c>
      <c r="F3533">
        <v>6209411</v>
      </c>
      <c r="G3533">
        <v>-19398092</v>
      </c>
      <c r="H3533">
        <v>20123808</v>
      </c>
      <c r="I3533">
        <v>26089870</v>
      </c>
      <c r="J3533">
        <v>33499070</v>
      </c>
      <c r="K3533">
        <v>28098120</v>
      </c>
      <c r="P3533">
        <v>66</v>
      </c>
      <c r="Q3533" t="s">
        <v>7411</v>
      </c>
    </row>
    <row r="3534" spans="1:17" x14ac:dyDescent="0.3">
      <c r="A3534" t="s">
        <v>4664</v>
      </c>
      <c r="B3534" t="str">
        <f>"002863"</f>
        <v>002863</v>
      </c>
      <c r="C3534" t="s">
        <v>7412</v>
      </c>
      <c r="D3534" t="s">
        <v>422</v>
      </c>
      <c r="F3534">
        <v>61188970</v>
      </c>
      <c r="G3534">
        <v>55583634</v>
      </c>
      <c r="H3534">
        <v>46805677</v>
      </c>
      <c r="I3534">
        <v>55859700</v>
      </c>
      <c r="J3534">
        <v>40103129</v>
      </c>
      <c r="K3534">
        <v>42306599</v>
      </c>
      <c r="P3534">
        <v>104</v>
      </c>
      <c r="Q3534" t="s">
        <v>7413</v>
      </c>
    </row>
    <row r="3535" spans="1:17" x14ac:dyDescent="0.3">
      <c r="A3535" t="s">
        <v>4664</v>
      </c>
      <c r="B3535" t="str">
        <f>"002864"</f>
        <v>002864</v>
      </c>
      <c r="C3535" t="s">
        <v>7414</v>
      </c>
      <c r="D3535" t="s">
        <v>188</v>
      </c>
      <c r="F3535">
        <v>73107492</v>
      </c>
      <c r="G3535">
        <v>66018063</v>
      </c>
      <c r="H3535">
        <v>58053778</v>
      </c>
      <c r="I3535">
        <v>46263287</v>
      </c>
      <c r="J3535">
        <v>33093186</v>
      </c>
      <c r="K3535">
        <v>23232810</v>
      </c>
      <c r="P3535">
        <v>184</v>
      </c>
      <c r="Q3535" t="s">
        <v>7415</v>
      </c>
    </row>
    <row r="3536" spans="1:17" x14ac:dyDescent="0.3">
      <c r="A3536" t="s">
        <v>4664</v>
      </c>
      <c r="B3536" t="str">
        <f>"002865"</f>
        <v>002865</v>
      </c>
      <c r="C3536" t="s">
        <v>7416</v>
      </c>
      <c r="D3536" t="s">
        <v>191</v>
      </c>
      <c r="F3536">
        <v>-80284249</v>
      </c>
      <c r="G3536">
        <v>7084840</v>
      </c>
      <c r="H3536">
        <v>-28410694</v>
      </c>
      <c r="I3536">
        <v>39013185</v>
      </c>
      <c r="J3536">
        <v>38520868</v>
      </c>
      <c r="K3536">
        <v>36005889</v>
      </c>
      <c r="P3536">
        <v>111</v>
      </c>
      <c r="Q3536" t="s">
        <v>7417</v>
      </c>
    </row>
    <row r="3537" spans="1:17" x14ac:dyDescent="0.3">
      <c r="A3537" t="s">
        <v>4664</v>
      </c>
      <c r="B3537" t="str">
        <f>"002866"</f>
        <v>002866</v>
      </c>
      <c r="C3537" t="s">
        <v>7418</v>
      </c>
      <c r="D3537" t="s">
        <v>313</v>
      </c>
      <c r="F3537">
        <v>129267299</v>
      </c>
      <c r="G3537">
        <v>117660005</v>
      </c>
      <c r="H3537">
        <v>72338862</v>
      </c>
      <c r="I3537">
        <v>91249756</v>
      </c>
      <c r="J3537">
        <v>60025977</v>
      </c>
      <c r="K3537">
        <v>62566604</v>
      </c>
      <c r="P3537">
        <v>161</v>
      </c>
      <c r="Q3537" t="s">
        <v>7419</v>
      </c>
    </row>
    <row r="3538" spans="1:17" x14ac:dyDescent="0.3">
      <c r="A3538" t="s">
        <v>4664</v>
      </c>
      <c r="B3538" t="str">
        <f>"002867"</f>
        <v>002867</v>
      </c>
      <c r="C3538" t="s">
        <v>7420</v>
      </c>
      <c r="D3538" t="s">
        <v>1238</v>
      </c>
      <c r="F3538">
        <v>1005750955</v>
      </c>
      <c r="G3538">
        <v>712299606</v>
      </c>
      <c r="H3538">
        <v>727376908</v>
      </c>
      <c r="I3538">
        <v>594723347</v>
      </c>
      <c r="J3538">
        <v>415926768</v>
      </c>
      <c r="K3538">
        <v>330524210</v>
      </c>
      <c r="P3538">
        <v>1634</v>
      </c>
      <c r="Q3538" t="s">
        <v>7421</v>
      </c>
    </row>
    <row r="3539" spans="1:17" x14ac:dyDescent="0.3">
      <c r="A3539" t="s">
        <v>4664</v>
      </c>
      <c r="B3539" t="str">
        <f>"002868"</f>
        <v>002868</v>
      </c>
      <c r="C3539" t="s">
        <v>7422</v>
      </c>
      <c r="D3539" t="s">
        <v>453</v>
      </c>
      <c r="F3539">
        <v>-5971491</v>
      </c>
      <c r="G3539">
        <v>43237252</v>
      </c>
      <c r="H3539">
        <v>35280915</v>
      </c>
      <c r="I3539">
        <v>59680820</v>
      </c>
      <c r="J3539">
        <v>71680621</v>
      </c>
      <c r="K3539">
        <v>79637106</v>
      </c>
      <c r="P3539">
        <v>88</v>
      </c>
      <c r="Q3539" t="s">
        <v>7423</v>
      </c>
    </row>
    <row r="3540" spans="1:17" x14ac:dyDescent="0.3">
      <c r="A3540" t="s">
        <v>4664</v>
      </c>
      <c r="B3540" t="str">
        <f>"002869"</f>
        <v>002869</v>
      </c>
      <c r="C3540" t="s">
        <v>7424</v>
      </c>
      <c r="D3540" t="s">
        <v>651</v>
      </c>
      <c r="F3540">
        <v>-82431740</v>
      </c>
      <c r="G3540">
        <v>510224199</v>
      </c>
      <c r="H3540">
        <v>387878479</v>
      </c>
      <c r="I3540">
        <v>-2462587</v>
      </c>
      <c r="J3540">
        <v>57229972</v>
      </c>
      <c r="K3540">
        <v>57659874</v>
      </c>
      <c r="P3540">
        <v>600</v>
      </c>
      <c r="Q3540" t="s">
        <v>7425</v>
      </c>
    </row>
    <row r="3541" spans="1:17" x14ac:dyDescent="0.3">
      <c r="A3541" t="s">
        <v>4664</v>
      </c>
      <c r="B3541" t="str">
        <f>"002870"</f>
        <v>002870</v>
      </c>
      <c r="C3541" t="s">
        <v>7426</v>
      </c>
      <c r="D3541" t="s">
        <v>2551</v>
      </c>
      <c r="F3541">
        <v>108321902</v>
      </c>
      <c r="G3541">
        <v>50007296</v>
      </c>
      <c r="H3541">
        <v>33479199</v>
      </c>
      <c r="I3541">
        <v>23857952</v>
      </c>
      <c r="J3541">
        <v>60936096</v>
      </c>
      <c r="K3541">
        <v>65799391</v>
      </c>
      <c r="P3541">
        <v>91</v>
      </c>
      <c r="Q3541" t="s">
        <v>7427</v>
      </c>
    </row>
    <row r="3542" spans="1:17" x14ac:dyDescent="0.3">
      <c r="A3542" t="s">
        <v>4664</v>
      </c>
      <c r="B3542" t="str">
        <f>"002871"</f>
        <v>002871</v>
      </c>
      <c r="C3542" t="s">
        <v>7428</v>
      </c>
      <c r="D3542" t="s">
        <v>274</v>
      </c>
      <c r="F3542">
        <v>43258157</v>
      </c>
      <c r="G3542">
        <v>46186604</v>
      </c>
      <c r="H3542">
        <v>42704120</v>
      </c>
      <c r="I3542">
        <v>52038145</v>
      </c>
      <c r="J3542">
        <v>43617353</v>
      </c>
      <c r="K3542">
        <v>39403405</v>
      </c>
      <c r="P3542">
        <v>66</v>
      </c>
      <c r="Q3542" t="s">
        <v>7429</v>
      </c>
    </row>
    <row r="3543" spans="1:17" x14ac:dyDescent="0.3">
      <c r="A3543" t="s">
        <v>4664</v>
      </c>
      <c r="B3543" t="str">
        <f>"002872"</f>
        <v>002872</v>
      </c>
      <c r="C3543" t="s">
        <v>7430</v>
      </c>
      <c r="D3543" t="s">
        <v>125</v>
      </c>
      <c r="F3543">
        <v>-67836504</v>
      </c>
      <c r="G3543">
        <v>-119302440</v>
      </c>
      <c r="H3543">
        <v>-63834169</v>
      </c>
      <c r="I3543">
        <v>144949417</v>
      </c>
      <c r="J3543">
        <v>159453043</v>
      </c>
      <c r="K3543">
        <v>142263518</v>
      </c>
      <c r="P3543">
        <v>69</v>
      </c>
      <c r="Q3543" t="s">
        <v>7431</v>
      </c>
    </row>
    <row r="3544" spans="1:17" x14ac:dyDescent="0.3">
      <c r="A3544" t="s">
        <v>4664</v>
      </c>
      <c r="B3544" t="str">
        <f>"002873"</f>
        <v>002873</v>
      </c>
      <c r="C3544" t="s">
        <v>7432</v>
      </c>
      <c r="D3544" t="s">
        <v>188</v>
      </c>
      <c r="F3544">
        <v>88933462</v>
      </c>
      <c r="G3544">
        <v>61056054</v>
      </c>
      <c r="H3544">
        <v>69586908</v>
      </c>
      <c r="I3544">
        <v>65009097</v>
      </c>
      <c r="J3544">
        <v>61751759</v>
      </c>
      <c r="K3544">
        <v>51406781</v>
      </c>
      <c r="P3544">
        <v>166</v>
      </c>
      <c r="Q3544" t="s">
        <v>7433</v>
      </c>
    </row>
    <row r="3545" spans="1:17" x14ac:dyDescent="0.3">
      <c r="A3545" t="s">
        <v>4664</v>
      </c>
      <c r="B3545" t="str">
        <f>"002875"</f>
        <v>002875</v>
      </c>
      <c r="C3545" t="s">
        <v>7434</v>
      </c>
      <c r="D3545" t="s">
        <v>255</v>
      </c>
      <c r="F3545">
        <v>10005289</v>
      </c>
      <c r="G3545">
        <v>-33986652</v>
      </c>
      <c r="H3545">
        <v>33099535</v>
      </c>
      <c r="I3545">
        <v>57356198</v>
      </c>
      <c r="J3545">
        <v>45654673</v>
      </c>
      <c r="K3545">
        <v>43237033</v>
      </c>
      <c r="P3545">
        <v>92</v>
      </c>
      <c r="Q3545" t="s">
        <v>7435</v>
      </c>
    </row>
    <row r="3546" spans="1:17" x14ac:dyDescent="0.3">
      <c r="A3546" t="s">
        <v>4664</v>
      </c>
      <c r="B3546" t="str">
        <f>"002876"</f>
        <v>002876</v>
      </c>
      <c r="C3546" t="s">
        <v>7436</v>
      </c>
      <c r="D3546" t="s">
        <v>1117</v>
      </c>
      <c r="F3546">
        <v>277948588</v>
      </c>
      <c r="G3546">
        <v>52284306</v>
      </c>
      <c r="H3546">
        <v>23619128</v>
      </c>
      <c r="I3546">
        <v>22709140</v>
      </c>
      <c r="J3546">
        <v>55804144</v>
      </c>
      <c r="K3546">
        <v>43672257</v>
      </c>
      <c r="P3546">
        <v>212</v>
      </c>
      <c r="Q3546" t="s">
        <v>7437</v>
      </c>
    </row>
    <row r="3547" spans="1:17" x14ac:dyDescent="0.3">
      <c r="A3547" t="s">
        <v>4664</v>
      </c>
      <c r="B3547" t="str">
        <f>"002877"</f>
        <v>002877</v>
      </c>
      <c r="C3547" t="s">
        <v>7438</v>
      </c>
      <c r="D3547" t="s">
        <v>274</v>
      </c>
      <c r="F3547">
        <v>40342410</v>
      </c>
      <c r="G3547">
        <v>37620266</v>
      </c>
      <c r="H3547">
        <v>57002214</v>
      </c>
      <c r="I3547">
        <v>37661588</v>
      </c>
      <c r="J3547">
        <v>34550590</v>
      </c>
      <c r="K3547">
        <v>33506545</v>
      </c>
      <c r="P3547">
        <v>100</v>
      </c>
      <c r="Q3547" t="s">
        <v>7439</v>
      </c>
    </row>
    <row r="3548" spans="1:17" x14ac:dyDescent="0.3">
      <c r="A3548" t="s">
        <v>4664</v>
      </c>
      <c r="B3548" t="str">
        <f>"002878"</f>
        <v>002878</v>
      </c>
      <c r="C3548" t="s">
        <v>7440</v>
      </c>
      <c r="D3548" t="s">
        <v>1671</v>
      </c>
      <c r="F3548">
        <v>81432388</v>
      </c>
      <c r="G3548">
        <v>117720962</v>
      </c>
      <c r="H3548">
        <v>82045567</v>
      </c>
      <c r="I3548">
        <v>67533237</v>
      </c>
      <c r="J3548">
        <v>51495782</v>
      </c>
      <c r="K3548">
        <v>40259526</v>
      </c>
      <c r="P3548">
        <v>345</v>
      </c>
      <c r="Q3548" t="s">
        <v>7441</v>
      </c>
    </row>
    <row r="3549" spans="1:17" x14ac:dyDescent="0.3">
      <c r="A3549" t="s">
        <v>4664</v>
      </c>
      <c r="B3549" t="str">
        <f>"002879"</f>
        <v>002879</v>
      </c>
      <c r="C3549" t="s">
        <v>7442</v>
      </c>
      <c r="D3549" t="s">
        <v>1164</v>
      </c>
      <c r="F3549">
        <v>113036101</v>
      </c>
      <c r="G3549">
        <v>106041279</v>
      </c>
      <c r="H3549">
        <v>103287444</v>
      </c>
      <c r="I3549">
        <v>94786853</v>
      </c>
      <c r="J3549">
        <v>92654180</v>
      </c>
      <c r="K3549">
        <v>86398409</v>
      </c>
      <c r="P3549">
        <v>266</v>
      </c>
      <c r="Q3549" t="s">
        <v>7443</v>
      </c>
    </row>
    <row r="3550" spans="1:17" x14ac:dyDescent="0.3">
      <c r="A3550" t="s">
        <v>4664</v>
      </c>
      <c r="B3550" t="str">
        <f>"002880"</f>
        <v>002880</v>
      </c>
      <c r="C3550" t="s">
        <v>7444</v>
      </c>
      <c r="D3550" t="s">
        <v>378</v>
      </c>
      <c r="F3550">
        <v>137672675</v>
      </c>
      <c r="G3550">
        <v>120971742</v>
      </c>
      <c r="H3550">
        <v>109404007</v>
      </c>
      <c r="I3550">
        <v>108071001</v>
      </c>
      <c r="J3550">
        <v>106957624</v>
      </c>
      <c r="K3550">
        <v>115778771</v>
      </c>
      <c r="P3550">
        <v>214</v>
      </c>
      <c r="Q3550" t="s">
        <v>7445</v>
      </c>
    </row>
    <row r="3551" spans="1:17" x14ac:dyDescent="0.3">
      <c r="A3551" t="s">
        <v>4664</v>
      </c>
      <c r="B3551" t="str">
        <f>"002881"</f>
        <v>002881</v>
      </c>
      <c r="C3551" t="s">
        <v>7446</v>
      </c>
      <c r="D3551" t="s">
        <v>313</v>
      </c>
      <c r="F3551">
        <v>79513565</v>
      </c>
      <c r="G3551">
        <v>12318890</v>
      </c>
      <c r="H3551">
        <v>15405832</v>
      </c>
      <c r="I3551">
        <v>28564387</v>
      </c>
      <c r="J3551">
        <v>25208637</v>
      </c>
      <c r="K3551">
        <v>21131293</v>
      </c>
      <c r="P3551">
        <v>240</v>
      </c>
      <c r="Q3551" t="s">
        <v>7447</v>
      </c>
    </row>
    <row r="3552" spans="1:17" x14ac:dyDescent="0.3">
      <c r="A3552" t="s">
        <v>4664</v>
      </c>
      <c r="B3552" t="str">
        <f>"002882"</f>
        <v>002882</v>
      </c>
      <c r="C3552" t="s">
        <v>7448</v>
      </c>
      <c r="D3552" t="s">
        <v>1164</v>
      </c>
      <c r="F3552">
        <v>171912475</v>
      </c>
      <c r="G3552">
        <v>142913971</v>
      </c>
      <c r="H3552">
        <v>226722306</v>
      </c>
      <c r="I3552">
        <v>189742651</v>
      </c>
      <c r="J3552">
        <v>136873488</v>
      </c>
      <c r="K3552">
        <v>88004680</v>
      </c>
      <c r="P3552">
        <v>118</v>
      </c>
      <c r="Q3552" t="s">
        <v>7449</v>
      </c>
    </row>
    <row r="3553" spans="1:17" x14ac:dyDescent="0.3">
      <c r="A3553" t="s">
        <v>4664</v>
      </c>
      <c r="B3553" t="str">
        <f>"002883"</f>
        <v>002883</v>
      </c>
      <c r="C3553" t="s">
        <v>7450</v>
      </c>
      <c r="D3553" t="s">
        <v>1272</v>
      </c>
      <c r="F3553">
        <v>41604542</v>
      </c>
      <c r="G3553">
        <v>43734276</v>
      </c>
      <c r="H3553">
        <v>45740149</v>
      </c>
      <c r="I3553">
        <v>39716148</v>
      </c>
      <c r="J3553">
        <v>34347413</v>
      </c>
      <c r="K3553">
        <v>24582927</v>
      </c>
      <c r="P3553">
        <v>102</v>
      </c>
      <c r="Q3553" t="s">
        <v>7451</v>
      </c>
    </row>
    <row r="3554" spans="1:17" x14ac:dyDescent="0.3">
      <c r="A3554" t="s">
        <v>4664</v>
      </c>
      <c r="B3554" t="str">
        <f>"002884"</f>
        <v>002884</v>
      </c>
      <c r="C3554" t="s">
        <v>7452</v>
      </c>
      <c r="D3554" t="s">
        <v>560</v>
      </c>
      <c r="F3554">
        <v>347702332</v>
      </c>
      <c r="G3554">
        <v>268738857</v>
      </c>
      <c r="H3554">
        <v>198637220</v>
      </c>
      <c r="I3554">
        <v>159170197</v>
      </c>
      <c r="J3554">
        <v>130998499</v>
      </c>
      <c r="K3554">
        <v>112982700</v>
      </c>
      <c r="P3554">
        <v>995</v>
      </c>
      <c r="Q3554" t="s">
        <v>7453</v>
      </c>
    </row>
    <row r="3555" spans="1:17" x14ac:dyDescent="0.3">
      <c r="A3555" t="s">
        <v>4664</v>
      </c>
      <c r="B3555" t="str">
        <f>"002885"</f>
        <v>002885</v>
      </c>
      <c r="C3555" t="s">
        <v>7454</v>
      </c>
      <c r="D3555" t="s">
        <v>313</v>
      </c>
      <c r="F3555">
        <v>20217551</v>
      </c>
      <c r="G3555">
        <v>47484426</v>
      </c>
      <c r="H3555">
        <v>48503145</v>
      </c>
      <c r="I3555">
        <v>64324272</v>
      </c>
      <c r="J3555">
        <v>53299600</v>
      </c>
      <c r="K3555">
        <v>54797836</v>
      </c>
      <c r="P3555">
        <v>199</v>
      </c>
      <c r="Q3555" t="s">
        <v>7455</v>
      </c>
    </row>
    <row r="3556" spans="1:17" x14ac:dyDescent="0.3">
      <c r="A3556" t="s">
        <v>4664</v>
      </c>
      <c r="B3556" t="str">
        <f>"002886"</f>
        <v>002886</v>
      </c>
      <c r="C3556" t="s">
        <v>7456</v>
      </c>
      <c r="D3556" t="s">
        <v>341</v>
      </c>
      <c r="F3556">
        <v>50278201</v>
      </c>
      <c r="G3556">
        <v>47242751</v>
      </c>
      <c r="H3556">
        <v>22504270</v>
      </c>
      <c r="I3556">
        <v>23310268</v>
      </c>
      <c r="J3556">
        <v>27191085</v>
      </c>
      <c r="K3556">
        <v>25473179</v>
      </c>
      <c r="P3556">
        <v>190</v>
      </c>
      <c r="Q3556" t="s">
        <v>7457</v>
      </c>
    </row>
    <row r="3557" spans="1:17" x14ac:dyDescent="0.3">
      <c r="A3557" t="s">
        <v>4664</v>
      </c>
      <c r="B3557" t="str">
        <f>"002887"</f>
        <v>002887</v>
      </c>
      <c r="C3557" t="s">
        <v>7458</v>
      </c>
      <c r="D3557" t="s">
        <v>3548</v>
      </c>
      <c r="F3557">
        <v>130594464</v>
      </c>
      <c r="G3557">
        <v>202933927</v>
      </c>
      <c r="H3557">
        <v>146026813</v>
      </c>
      <c r="I3557">
        <v>113300596</v>
      </c>
      <c r="J3557">
        <v>130764710</v>
      </c>
      <c r="K3557">
        <v>94297575</v>
      </c>
      <c r="P3557">
        <v>167</v>
      </c>
      <c r="Q3557" t="s">
        <v>7459</v>
      </c>
    </row>
    <row r="3558" spans="1:17" x14ac:dyDescent="0.3">
      <c r="A3558" t="s">
        <v>4664</v>
      </c>
      <c r="B3558" t="str">
        <f>"002888"</f>
        <v>002888</v>
      </c>
      <c r="C3558" t="s">
        <v>7460</v>
      </c>
      <c r="D3558" t="s">
        <v>3499</v>
      </c>
      <c r="F3558">
        <v>23215514</v>
      </c>
      <c r="G3558">
        <v>21504319</v>
      </c>
      <c r="H3558">
        <v>16294888</v>
      </c>
      <c r="I3558">
        <v>20536362</v>
      </c>
      <c r="J3558">
        <v>22116432</v>
      </c>
      <c r="K3558">
        <v>20631019</v>
      </c>
      <c r="P3558">
        <v>80</v>
      </c>
      <c r="Q3558" t="s">
        <v>7461</v>
      </c>
    </row>
    <row r="3559" spans="1:17" x14ac:dyDescent="0.3">
      <c r="A3559" t="s">
        <v>4664</v>
      </c>
      <c r="B3559" t="str">
        <f>"002889"</f>
        <v>002889</v>
      </c>
      <c r="C3559" t="s">
        <v>7462</v>
      </c>
      <c r="D3559" t="s">
        <v>3098</v>
      </c>
      <c r="F3559">
        <v>174946453</v>
      </c>
      <c r="G3559">
        <v>139520361</v>
      </c>
      <c r="H3559">
        <v>115072761</v>
      </c>
      <c r="I3559">
        <v>102455096</v>
      </c>
      <c r="J3559">
        <v>92397657</v>
      </c>
      <c r="K3559">
        <v>72813845</v>
      </c>
      <c r="P3559">
        <v>122</v>
      </c>
      <c r="Q3559" t="s">
        <v>7463</v>
      </c>
    </row>
    <row r="3560" spans="1:17" x14ac:dyDescent="0.3">
      <c r="A3560" t="s">
        <v>4664</v>
      </c>
      <c r="B3560" t="str">
        <f>"002890"</f>
        <v>002890</v>
      </c>
      <c r="C3560" t="s">
        <v>7464</v>
      </c>
      <c r="D3560" t="s">
        <v>1979</v>
      </c>
      <c r="F3560">
        <v>16004197</v>
      </c>
      <c r="G3560">
        <v>17363142</v>
      </c>
      <c r="H3560">
        <v>4628902</v>
      </c>
      <c r="I3560">
        <v>27090721</v>
      </c>
      <c r="J3560">
        <v>38630903</v>
      </c>
      <c r="K3560">
        <v>31829899</v>
      </c>
      <c r="P3560">
        <v>70</v>
      </c>
      <c r="Q3560" t="s">
        <v>7465</v>
      </c>
    </row>
    <row r="3561" spans="1:17" x14ac:dyDescent="0.3">
      <c r="A3561" t="s">
        <v>4664</v>
      </c>
      <c r="B3561" t="str">
        <f>"002891"</f>
        <v>002891</v>
      </c>
      <c r="C3561" t="s">
        <v>7466</v>
      </c>
      <c r="D3561" t="s">
        <v>7467</v>
      </c>
      <c r="F3561">
        <v>91710284</v>
      </c>
      <c r="G3561">
        <v>96243402</v>
      </c>
      <c r="H3561">
        <v>46211227</v>
      </c>
      <c r="I3561">
        <v>41994669</v>
      </c>
      <c r="J3561">
        <v>59374113</v>
      </c>
      <c r="K3561">
        <v>55016715</v>
      </c>
      <c r="P3561">
        <v>649</v>
      </c>
      <c r="Q3561" t="s">
        <v>7468</v>
      </c>
    </row>
    <row r="3562" spans="1:17" x14ac:dyDescent="0.3">
      <c r="A3562" t="s">
        <v>4664</v>
      </c>
      <c r="B3562" t="str">
        <f>"002892"</f>
        <v>002892</v>
      </c>
      <c r="C3562" t="s">
        <v>7469</v>
      </c>
      <c r="D3562" t="s">
        <v>1171</v>
      </c>
      <c r="F3562">
        <v>81848186</v>
      </c>
      <c r="G3562">
        <v>77077344</v>
      </c>
      <c r="H3562">
        <v>68451560</v>
      </c>
      <c r="I3562">
        <v>48557407</v>
      </c>
      <c r="J3562">
        <v>53331455</v>
      </c>
      <c r="K3562">
        <v>55703694</v>
      </c>
      <c r="P3562">
        <v>145</v>
      </c>
      <c r="Q3562" t="s">
        <v>7470</v>
      </c>
    </row>
    <row r="3563" spans="1:17" x14ac:dyDescent="0.3">
      <c r="A3563" t="s">
        <v>4664</v>
      </c>
      <c r="B3563" t="str">
        <f>"002893"</f>
        <v>002893</v>
      </c>
      <c r="C3563" t="s">
        <v>7471</v>
      </c>
      <c r="D3563" t="s">
        <v>351</v>
      </c>
      <c r="F3563">
        <v>18629645</v>
      </c>
      <c r="G3563">
        <v>26903403</v>
      </c>
      <c r="H3563">
        <v>31450807</v>
      </c>
      <c r="I3563">
        <v>18228767</v>
      </c>
      <c r="J3563">
        <v>34775380</v>
      </c>
      <c r="K3563">
        <v>26653294</v>
      </c>
      <c r="P3563">
        <v>92</v>
      </c>
      <c r="Q3563" t="s">
        <v>7472</v>
      </c>
    </row>
    <row r="3564" spans="1:17" x14ac:dyDescent="0.3">
      <c r="A3564" t="s">
        <v>4664</v>
      </c>
      <c r="B3564" t="str">
        <f>"002895"</f>
        <v>002895</v>
      </c>
      <c r="C3564" t="s">
        <v>7473</v>
      </c>
      <c r="D3564" t="s">
        <v>183</v>
      </c>
      <c r="F3564">
        <v>211867563</v>
      </c>
      <c r="G3564">
        <v>142618231</v>
      </c>
      <c r="H3564">
        <v>142518508</v>
      </c>
      <c r="I3564">
        <v>66403941</v>
      </c>
      <c r="J3564">
        <v>128296327</v>
      </c>
      <c r="K3564">
        <v>119158752</v>
      </c>
      <c r="P3564">
        <v>148</v>
      </c>
      <c r="Q3564" t="s">
        <v>7474</v>
      </c>
    </row>
    <row r="3565" spans="1:17" x14ac:dyDescent="0.3">
      <c r="A3565" t="s">
        <v>4664</v>
      </c>
      <c r="B3565" t="str">
        <f>"002896"</f>
        <v>002896</v>
      </c>
      <c r="C3565" t="s">
        <v>7475</v>
      </c>
      <c r="D3565" t="s">
        <v>274</v>
      </c>
      <c r="F3565">
        <v>69096603</v>
      </c>
      <c r="G3565">
        <v>60143391</v>
      </c>
      <c r="H3565">
        <v>34515860</v>
      </c>
      <c r="I3565">
        <v>59502229</v>
      </c>
      <c r="J3565">
        <v>45872921</v>
      </c>
      <c r="K3565">
        <v>27495327</v>
      </c>
      <c r="P3565">
        <v>137</v>
      </c>
      <c r="Q3565" t="s">
        <v>7476</v>
      </c>
    </row>
    <row r="3566" spans="1:17" x14ac:dyDescent="0.3">
      <c r="A3566" t="s">
        <v>4664</v>
      </c>
      <c r="B3566" t="str">
        <f>"002897"</f>
        <v>002897</v>
      </c>
      <c r="C3566" t="s">
        <v>7477</v>
      </c>
      <c r="D3566" t="s">
        <v>1019</v>
      </c>
      <c r="F3566">
        <v>107757645</v>
      </c>
      <c r="G3566">
        <v>169007344</v>
      </c>
      <c r="H3566">
        <v>48467749</v>
      </c>
      <c r="I3566">
        <v>63010742</v>
      </c>
      <c r="J3566">
        <v>73610951</v>
      </c>
      <c r="K3566">
        <v>69987187</v>
      </c>
      <c r="P3566">
        <v>234</v>
      </c>
      <c r="Q3566" t="s">
        <v>7478</v>
      </c>
    </row>
    <row r="3567" spans="1:17" x14ac:dyDescent="0.3">
      <c r="A3567" t="s">
        <v>4664</v>
      </c>
      <c r="B3567" t="str">
        <f>"002898"</f>
        <v>002898</v>
      </c>
      <c r="C3567" t="s">
        <v>7479</v>
      </c>
      <c r="D3567" t="s">
        <v>143</v>
      </c>
      <c r="F3567">
        <v>11800955</v>
      </c>
      <c r="G3567">
        <v>-21568786</v>
      </c>
      <c r="H3567">
        <v>18896088</v>
      </c>
      <c r="I3567">
        <v>47340668</v>
      </c>
      <c r="J3567">
        <v>46932425</v>
      </c>
      <c r="K3567">
        <v>45472899</v>
      </c>
      <c r="P3567">
        <v>90</v>
      </c>
      <c r="Q3567" t="s">
        <v>7480</v>
      </c>
    </row>
    <row r="3568" spans="1:17" x14ac:dyDescent="0.3">
      <c r="A3568" t="s">
        <v>4664</v>
      </c>
      <c r="B3568" t="str">
        <f>"002899"</f>
        <v>002899</v>
      </c>
      <c r="C3568" t="s">
        <v>7481</v>
      </c>
      <c r="D3568" t="s">
        <v>2904</v>
      </c>
      <c r="F3568">
        <v>28124068</v>
      </c>
      <c r="G3568">
        <v>27097475</v>
      </c>
      <c r="H3568">
        <v>41375686</v>
      </c>
      <c r="I3568">
        <v>45787994</v>
      </c>
      <c r="J3568">
        <v>60617532</v>
      </c>
      <c r="K3568">
        <v>60134511</v>
      </c>
      <c r="P3568">
        <v>65</v>
      </c>
      <c r="Q3568" t="s">
        <v>7482</v>
      </c>
    </row>
    <row r="3569" spans="1:17" x14ac:dyDescent="0.3">
      <c r="A3569" t="s">
        <v>4664</v>
      </c>
      <c r="B3569" t="str">
        <f>"002900"</f>
        <v>002900</v>
      </c>
      <c r="C3569" t="s">
        <v>7483</v>
      </c>
      <c r="D3569" t="s">
        <v>143</v>
      </c>
      <c r="F3569">
        <v>539750248</v>
      </c>
      <c r="G3569">
        <v>22160046</v>
      </c>
      <c r="H3569">
        <v>150760382</v>
      </c>
      <c r="I3569">
        <v>181739323</v>
      </c>
      <c r="J3569">
        <v>125998009</v>
      </c>
      <c r="K3569">
        <v>115336237</v>
      </c>
      <c r="P3569">
        <v>196</v>
      </c>
      <c r="Q3569" t="s">
        <v>7484</v>
      </c>
    </row>
    <row r="3570" spans="1:17" x14ac:dyDescent="0.3">
      <c r="A3570" t="s">
        <v>4664</v>
      </c>
      <c r="B3570" t="str">
        <f>"002901"</f>
        <v>002901</v>
      </c>
      <c r="C3570" t="s">
        <v>7485</v>
      </c>
      <c r="D3570" t="s">
        <v>1077</v>
      </c>
      <c r="F3570">
        <v>453480053</v>
      </c>
      <c r="G3570">
        <v>427595342</v>
      </c>
      <c r="H3570">
        <v>342603281</v>
      </c>
      <c r="I3570">
        <v>283334317</v>
      </c>
      <c r="J3570">
        <v>210448996</v>
      </c>
      <c r="K3570">
        <v>168692924</v>
      </c>
      <c r="P3570">
        <v>1702</v>
      </c>
      <c r="Q3570" t="s">
        <v>7486</v>
      </c>
    </row>
    <row r="3571" spans="1:17" x14ac:dyDescent="0.3">
      <c r="A3571" t="s">
        <v>4664</v>
      </c>
      <c r="B3571" t="str">
        <f>"002902"</f>
        <v>002902</v>
      </c>
      <c r="C3571" t="s">
        <v>7487</v>
      </c>
      <c r="D3571" t="s">
        <v>1019</v>
      </c>
      <c r="F3571">
        <v>9013447</v>
      </c>
      <c r="G3571">
        <v>-5168919</v>
      </c>
      <c r="H3571">
        <v>10325834</v>
      </c>
      <c r="I3571">
        <v>15009751</v>
      </c>
      <c r="J3571">
        <v>57841744</v>
      </c>
      <c r="K3571">
        <v>64860393</v>
      </c>
      <c r="P3571">
        <v>216</v>
      </c>
      <c r="Q3571" t="s">
        <v>7488</v>
      </c>
    </row>
    <row r="3572" spans="1:17" x14ac:dyDescent="0.3">
      <c r="A3572" t="s">
        <v>4664</v>
      </c>
      <c r="B3572" t="str">
        <f>"002903"</f>
        <v>002903</v>
      </c>
      <c r="C3572" t="s">
        <v>7489</v>
      </c>
      <c r="D3572" t="s">
        <v>2312</v>
      </c>
      <c r="F3572">
        <v>51020921</v>
      </c>
      <c r="G3572">
        <v>30091930</v>
      </c>
      <c r="H3572">
        <v>-8880931</v>
      </c>
      <c r="I3572">
        <v>42602104</v>
      </c>
      <c r="J3572">
        <v>67289676</v>
      </c>
      <c r="K3572">
        <v>48381204</v>
      </c>
      <c r="P3572">
        <v>143</v>
      </c>
      <c r="Q3572" t="s">
        <v>7490</v>
      </c>
    </row>
    <row r="3573" spans="1:17" x14ac:dyDescent="0.3">
      <c r="A3573" t="s">
        <v>4664</v>
      </c>
      <c r="B3573" t="str">
        <f>"002905"</f>
        <v>002905</v>
      </c>
      <c r="C3573" t="s">
        <v>7491</v>
      </c>
      <c r="D3573" t="s">
        <v>2558</v>
      </c>
      <c r="F3573">
        <v>-199709268</v>
      </c>
      <c r="G3573">
        <v>-406211650</v>
      </c>
      <c r="H3573">
        <v>104875741</v>
      </c>
      <c r="I3573">
        <v>138310332</v>
      </c>
      <c r="J3573">
        <v>143843660</v>
      </c>
      <c r="K3573">
        <v>134893496</v>
      </c>
      <c r="P3573">
        <v>133</v>
      </c>
      <c r="Q3573" t="s">
        <v>7492</v>
      </c>
    </row>
    <row r="3574" spans="1:17" x14ac:dyDescent="0.3">
      <c r="A3574" t="s">
        <v>4664</v>
      </c>
      <c r="B3574" t="str">
        <f>"002906"</f>
        <v>002906</v>
      </c>
      <c r="C3574" t="s">
        <v>7493</v>
      </c>
      <c r="D3574" t="s">
        <v>1415</v>
      </c>
      <c r="F3574">
        <v>208206367</v>
      </c>
      <c r="G3574">
        <v>89310421</v>
      </c>
      <c r="H3574">
        <v>67235217</v>
      </c>
      <c r="I3574">
        <v>37761792</v>
      </c>
      <c r="J3574">
        <v>196680366</v>
      </c>
      <c r="K3574">
        <v>176244149</v>
      </c>
      <c r="P3574">
        <v>228</v>
      </c>
      <c r="Q3574" t="s">
        <v>7494</v>
      </c>
    </row>
    <row r="3575" spans="1:17" x14ac:dyDescent="0.3">
      <c r="A3575" t="s">
        <v>4664</v>
      </c>
      <c r="B3575" t="str">
        <f>"002907"</f>
        <v>002907</v>
      </c>
      <c r="C3575" t="s">
        <v>7495</v>
      </c>
      <c r="D3575" t="s">
        <v>188</v>
      </c>
      <c r="F3575">
        <v>89436230</v>
      </c>
      <c r="G3575">
        <v>94781040</v>
      </c>
      <c r="H3575">
        <v>137763777</v>
      </c>
      <c r="I3575">
        <v>112015560</v>
      </c>
      <c r="J3575">
        <v>92754037</v>
      </c>
      <c r="K3575">
        <v>76820563</v>
      </c>
      <c r="P3575">
        <v>286</v>
      </c>
      <c r="Q3575" t="s">
        <v>7496</v>
      </c>
    </row>
    <row r="3576" spans="1:17" x14ac:dyDescent="0.3">
      <c r="A3576" t="s">
        <v>4664</v>
      </c>
      <c r="B3576" t="str">
        <f>"002908"</f>
        <v>002908</v>
      </c>
      <c r="C3576" t="s">
        <v>7497</v>
      </c>
      <c r="D3576" t="s">
        <v>786</v>
      </c>
      <c r="F3576">
        <v>37754493</v>
      </c>
      <c r="G3576">
        <v>35528229</v>
      </c>
      <c r="H3576">
        <v>38933140</v>
      </c>
      <c r="I3576">
        <v>33119207</v>
      </c>
      <c r="J3576">
        <v>37911311</v>
      </c>
      <c r="K3576">
        <v>23803934</v>
      </c>
      <c r="P3576">
        <v>126</v>
      </c>
      <c r="Q3576" t="s">
        <v>7498</v>
      </c>
    </row>
    <row r="3577" spans="1:17" x14ac:dyDescent="0.3">
      <c r="A3577" t="s">
        <v>4664</v>
      </c>
      <c r="B3577" t="str">
        <f>"002909"</f>
        <v>002909</v>
      </c>
      <c r="C3577" t="s">
        <v>7499</v>
      </c>
      <c r="D3577" t="s">
        <v>1205</v>
      </c>
      <c r="F3577">
        <v>25795253</v>
      </c>
      <c r="G3577">
        <v>94289891</v>
      </c>
      <c r="H3577">
        <v>56380681</v>
      </c>
      <c r="I3577">
        <v>10759514</v>
      </c>
      <c r="J3577">
        <v>37029260</v>
      </c>
      <c r="K3577">
        <v>31182376</v>
      </c>
      <c r="P3577">
        <v>87</v>
      </c>
      <c r="Q3577" t="s">
        <v>7500</v>
      </c>
    </row>
    <row r="3578" spans="1:17" x14ac:dyDescent="0.3">
      <c r="A3578" t="s">
        <v>4664</v>
      </c>
      <c r="B3578" t="str">
        <f>"002910"</f>
        <v>002910</v>
      </c>
      <c r="C3578" t="s">
        <v>7501</v>
      </c>
      <c r="D3578" t="s">
        <v>900</v>
      </c>
      <c r="F3578">
        <v>32284409</v>
      </c>
      <c r="G3578">
        <v>6222771</v>
      </c>
      <c r="H3578">
        <v>38147884</v>
      </c>
      <c r="I3578">
        <v>36979004</v>
      </c>
      <c r="J3578">
        <v>54250303</v>
      </c>
      <c r="K3578">
        <v>53622855</v>
      </c>
      <c r="P3578">
        <v>147</v>
      </c>
      <c r="Q3578" t="s">
        <v>7502</v>
      </c>
    </row>
    <row r="3579" spans="1:17" x14ac:dyDescent="0.3">
      <c r="A3579" t="s">
        <v>4664</v>
      </c>
      <c r="B3579" t="str">
        <f>"002911"</f>
        <v>002911</v>
      </c>
      <c r="C3579" t="s">
        <v>7503</v>
      </c>
      <c r="D3579" t="s">
        <v>749</v>
      </c>
      <c r="F3579">
        <v>393045369</v>
      </c>
      <c r="G3579">
        <v>392742214</v>
      </c>
      <c r="H3579">
        <v>356390394</v>
      </c>
      <c r="I3579">
        <v>334294046</v>
      </c>
      <c r="J3579">
        <v>277240634</v>
      </c>
      <c r="K3579">
        <v>274865068</v>
      </c>
      <c r="P3579">
        <v>183</v>
      </c>
      <c r="Q3579" t="s">
        <v>7504</v>
      </c>
    </row>
    <row r="3580" spans="1:17" x14ac:dyDescent="0.3">
      <c r="A3580" t="s">
        <v>4664</v>
      </c>
      <c r="B3580" t="str">
        <f>"002912"</f>
        <v>002912</v>
      </c>
      <c r="C3580" t="s">
        <v>7505</v>
      </c>
      <c r="D3580" t="s">
        <v>236</v>
      </c>
      <c r="F3580">
        <v>-69690214</v>
      </c>
      <c r="G3580">
        <v>143672425</v>
      </c>
      <c r="H3580">
        <v>176198100</v>
      </c>
      <c r="I3580">
        <v>156380495</v>
      </c>
      <c r="J3580">
        <v>95332900</v>
      </c>
      <c r="K3580">
        <v>16995900</v>
      </c>
      <c r="P3580">
        <v>586</v>
      </c>
      <c r="Q3580" t="s">
        <v>7506</v>
      </c>
    </row>
    <row r="3581" spans="1:17" x14ac:dyDescent="0.3">
      <c r="A3581" t="s">
        <v>4664</v>
      </c>
      <c r="B3581" t="str">
        <f>"002913"</f>
        <v>002913</v>
      </c>
      <c r="C3581" t="s">
        <v>7507</v>
      </c>
      <c r="D3581" t="s">
        <v>425</v>
      </c>
      <c r="F3581">
        <v>376270059</v>
      </c>
      <c r="G3581">
        <v>226189878</v>
      </c>
      <c r="H3581">
        <v>206212264</v>
      </c>
      <c r="I3581">
        <v>185093393</v>
      </c>
      <c r="J3581">
        <v>112466655</v>
      </c>
      <c r="K3581">
        <v>137292764</v>
      </c>
      <c r="P3581">
        <v>205</v>
      </c>
      <c r="Q3581" t="s">
        <v>7508</v>
      </c>
    </row>
    <row r="3582" spans="1:17" x14ac:dyDescent="0.3">
      <c r="A3582" t="s">
        <v>4664</v>
      </c>
      <c r="B3582" t="str">
        <f>"002915"</f>
        <v>002915</v>
      </c>
      <c r="C3582" t="s">
        <v>7509</v>
      </c>
      <c r="D3582" t="s">
        <v>375</v>
      </c>
      <c r="F3582">
        <v>137547694</v>
      </c>
      <c r="G3582">
        <v>72698840</v>
      </c>
      <c r="H3582">
        <v>39587344</v>
      </c>
      <c r="I3582">
        <v>25721837</v>
      </c>
      <c r="J3582">
        <v>34903883</v>
      </c>
      <c r="K3582">
        <v>13732066</v>
      </c>
      <c r="P3582">
        <v>90</v>
      </c>
      <c r="Q3582" t="s">
        <v>7510</v>
      </c>
    </row>
    <row r="3583" spans="1:17" x14ac:dyDescent="0.3">
      <c r="A3583" t="s">
        <v>4664</v>
      </c>
      <c r="B3583" t="str">
        <f>"002916"</f>
        <v>002916</v>
      </c>
      <c r="C3583" t="s">
        <v>7511</v>
      </c>
      <c r="D3583" t="s">
        <v>425</v>
      </c>
      <c r="F3583">
        <v>1026561590</v>
      </c>
      <c r="G3583">
        <v>1098093386</v>
      </c>
      <c r="H3583">
        <v>867371865</v>
      </c>
      <c r="I3583">
        <v>472928818</v>
      </c>
      <c r="J3583">
        <v>338808570</v>
      </c>
      <c r="K3583">
        <v>206611646</v>
      </c>
      <c r="P3583">
        <v>2552</v>
      </c>
      <c r="Q3583" t="s">
        <v>7512</v>
      </c>
    </row>
    <row r="3584" spans="1:17" x14ac:dyDescent="0.3">
      <c r="A3584" t="s">
        <v>4664</v>
      </c>
      <c r="B3584" t="str">
        <f>"002917"</f>
        <v>002917</v>
      </c>
      <c r="C3584" t="s">
        <v>7513</v>
      </c>
      <c r="D3584" t="s">
        <v>2713</v>
      </c>
      <c r="F3584">
        <v>45801415</v>
      </c>
      <c r="G3584">
        <v>60935578</v>
      </c>
      <c r="H3584">
        <v>51066133</v>
      </c>
      <c r="I3584">
        <v>50037302</v>
      </c>
      <c r="J3584">
        <v>49612509</v>
      </c>
      <c r="K3584">
        <v>45683596</v>
      </c>
      <c r="P3584">
        <v>67</v>
      </c>
      <c r="Q3584" t="s">
        <v>7514</v>
      </c>
    </row>
    <row r="3585" spans="1:17" x14ac:dyDescent="0.3">
      <c r="A3585" t="s">
        <v>4664</v>
      </c>
      <c r="B3585" t="str">
        <f>"002918"</f>
        <v>002918</v>
      </c>
      <c r="C3585" t="s">
        <v>7515</v>
      </c>
      <c r="D3585" t="s">
        <v>178</v>
      </c>
      <c r="F3585">
        <v>416665640</v>
      </c>
      <c r="G3585">
        <v>378545704</v>
      </c>
      <c r="H3585">
        <v>303617288</v>
      </c>
      <c r="I3585">
        <v>267630153</v>
      </c>
      <c r="J3585">
        <v>235996842</v>
      </c>
      <c r="K3585">
        <v>136891228</v>
      </c>
      <c r="P3585">
        <v>529</v>
      </c>
      <c r="Q3585" t="s">
        <v>7516</v>
      </c>
    </row>
    <row r="3586" spans="1:17" x14ac:dyDescent="0.3">
      <c r="A3586" t="s">
        <v>4664</v>
      </c>
      <c r="B3586" t="str">
        <f>"002919"</f>
        <v>002919</v>
      </c>
      <c r="C3586" t="s">
        <v>7517</v>
      </c>
      <c r="D3586" t="s">
        <v>569</v>
      </c>
      <c r="F3586">
        <v>121021882</v>
      </c>
      <c r="G3586">
        <v>46897099</v>
      </c>
      <c r="H3586">
        <v>20754212</v>
      </c>
      <c r="I3586">
        <v>25489678</v>
      </c>
      <c r="J3586">
        <v>35893100</v>
      </c>
      <c r="K3586">
        <v>35031800</v>
      </c>
      <c r="P3586">
        <v>146</v>
      </c>
      <c r="Q3586" t="s">
        <v>7518</v>
      </c>
    </row>
    <row r="3587" spans="1:17" x14ac:dyDescent="0.3">
      <c r="A3587" t="s">
        <v>4664</v>
      </c>
      <c r="B3587" t="str">
        <f>"002920"</f>
        <v>002920</v>
      </c>
      <c r="C3587" t="s">
        <v>7519</v>
      </c>
      <c r="D3587" t="s">
        <v>945</v>
      </c>
      <c r="F3587">
        <v>491352663</v>
      </c>
      <c r="G3587">
        <v>318325075</v>
      </c>
      <c r="H3587">
        <v>142736583</v>
      </c>
      <c r="I3587">
        <v>338182254</v>
      </c>
      <c r="J3587">
        <v>468713356</v>
      </c>
      <c r="K3587">
        <v>463694635</v>
      </c>
      <c r="P3587">
        <v>688</v>
      </c>
      <c r="Q3587" t="s">
        <v>7520</v>
      </c>
    </row>
    <row r="3588" spans="1:17" x14ac:dyDescent="0.3">
      <c r="A3588" t="s">
        <v>4664</v>
      </c>
      <c r="B3588" t="str">
        <f>"002921"</f>
        <v>002921</v>
      </c>
      <c r="C3588" t="s">
        <v>7521</v>
      </c>
      <c r="D3588" t="s">
        <v>985</v>
      </c>
      <c r="F3588">
        <v>62205262</v>
      </c>
      <c r="G3588">
        <v>55047455</v>
      </c>
      <c r="H3588">
        <v>33764001</v>
      </c>
      <c r="I3588">
        <v>39448771</v>
      </c>
      <c r="J3588">
        <v>36843271</v>
      </c>
      <c r="K3588">
        <v>38101114</v>
      </c>
      <c r="P3588">
        <v>95</v>
      </c>
      <c r="Q3588" t="s">
        <v>7522</v>
      </c>
    </row>
    <row r="3589" spans="1:17" x14ac:dyDescent="0.3">
      <c r="A3589" t="s">
        <v>4664</v>
      </c>
      <c r="B3589" t="str">
        <f>"002922"</f>
        <v>002922</v>
      </c>
      <c r="C3589" t="s">
        <v>7523</v>
      </c>
      <c r="D3589" t="s">
        <v>651</v>
      </c>
      <c r="F3589">
        <v>182381774</v>
      </c>
      <c r="G3589">
        <v>31705763</v>
      </c>
      <c r="H3589">
        <v>34709347</v>
      </c>
      <c r="I3589">
        <v>33837710</v>
      </c>
      <c r="J3589">
        <v>56220800</v>
      </c>
      <c r="K3589">
        <v>48764500</v>
      </c>
      <c r="P3589">
        <v>170</v>
      </c>
      <c r="Q3589" t="s">
        <v>7524</v>
      </c>
    </row>
    <row r="3590" spans="1:17" x14ac:dyDescent="0.3">
      <c r="A3590" t="s">
        <v>4664</v>
      </c>
      <c r="B3590" t="str">
        <f>"002923"</f>
        <v>002923</v>
      </c>
      <c r="C3590" t="s">
        <v>7525</v>
      </c>
      <c r="D3590" t="s">
        <v>143</v>
      </c>
      <c r="F3590">
        <v>88593482</v>
      </c>
      <c r="G3590">
        <v>110846717</v>
      </c>
      <c r="H3590">
        <v>98583568</v>
      </c>
      <c r="I3590">
        <v>80858048</v>
      </c>
      <c r="J3590">
        <v>68589139</v>
      </c>
      <c r="K3590">
        <v>68620312</v>
      </c>
      <c r="P3590">
        <v>165</v>
      </c>
      <c r="Q3590" t="s">
        <v>7526</v>
      </c>
    </row>
    <row r="3591" spans="1:17" x14ac:dyDescent="0.3">
      <c r="A3591" t="s">
        <v>4664</v>
      </c>
      <c r="B3591" t="str">
        <f>"002925"</f>
        <v>002925</v>
      </c>
      <c r="C3591" t="s">
        <v>7527</v>
      </c>
      <c r="D3591" t="s">
        <v>313</v>
      </c>
      <c r="F3591">
        <v>887702005</v>
      </c>
      <c r="G3591">
        <v>687840741</v>
      </c>
      <c r="H3591">
        <v>649929988</v>
      </c>
      <c r="I3591">
        <v>605631513</v>
      </c>
      <c r="J3591">
        <v>745734071</v>
      </c>
      <c r="K3591">
        <v>290212142</v>
      </c>
      <c r="P3591">
        <v>1061</v>
      </c>
      <c r="Q3591" t="s">
        <v>7528</v>
      </c>
    </row>
    <row r="3592" spans="1:17" x14ac:dyDescent="0.3">
      <c r="A3592" t="s">
        <v>4664</v>
      </c>
      <c r="B3592" t="str">
        <f>"002926"</f>
        <v>002926</v>
      </c>
      <c r="C3592" t="s">
        <v>7529</v>
      </c>
      <c r="D3592" t="s">
        <v>80</v>
      </c>
      <c r="F3592">
        <v>1426568102</v>
      </c>
      <c r="G3592">
        <v>1518847629</v>
      </c>
      <c r="H3592">
        <v>1119446290</v>
      </c>
      <c r="I3592">
        <v>802055532</v>
      </c>
      <c r="J3592">
        <v>846692600</v>
      </c>
      <c r="K3592">
        <v>1325242000</v>
      </c>
      <c r="P3592">
        <v>921</v>
      </c>
      <c r="Q3592" t="s">
        <v>7530</v>
      </c>
    </row>
    <row r="3593" spans="1:17" x14ac:dyDescent="0.3">
      <c r="A3593" t="s">
        <v>4664</v>
      </c>
      <c r="B3593" t="str">
        <f>"002927"</f>
        <v>002927</v>
      </c>
      <c r="C3593" t="s">
        <v>7531</v>
      </c>
      <c r="D3593" t="s">
        <v>657</v>
      </c>
      <c r="F3593">
        <v>77555047</v>
      </c>
      <c r="G3593">
        <v>64496010</v>
      </c>
      <c r="H3593">
        <v>51516561</v>
      </c>
      <c r="I3593">
        <v>46790949</v>
      </c>
      <c r="J3593">
        <v>42398800</v>
      </c>
      <c r="K3593">
        <v>43646300</v>
      </c>
      <c r="P3593">
        <v>117</v>
      </c>
      <c r="Q3593" t="s">
        <v>7532</v>
      </c>
    </row>
    <row r="3594" spans="1:17" x14ac:dyDescent="0.3">
      <c r="A3594" t="s">
        <v>4664</v>
      </c>
      <c r="B3594" t="str">
        <f>"002928"</f>
        <v>002928</v>
      </c>
      <c r="C3594" t="s">
        <v>7533</v>
      </c>
      <c r="D3594" t="s">
        <v>77</v>
      </c>
      <c r="F3594">
        <v>-130690317</v>
      </c>
      <c r="G3594">
        <v>171380386</v>
      </c>
      <c r="H3594">
        <v>366061987</v>
      </c>
      <c r="I3594">
        <v>197820112</v>
      </c>
      <c r="J3594">
        <v>322082886</v>
      </c>
      <c r="P3594">
        <v>333</v>
      </c>
      <c r="Q3594" t="s">
        <v>7534</v>
      </c>
    </row>
    <row r="3595" spans="1:17" x14ac:dyDescent="0.3">
      <c r="A3595" t="s">
        <v>4664</v>
      </c>
      <c r="B3595" t="str">
        <f>"002929"</f>
        <v>002929</v>
      </c>
      <c r="C3595" t="s">
        <v>7535</v>
      </c>
      <c r="D3595" t="s">
        <v>654</v>
      </c>
      <c r="F3595">
        <v>256293130</v>
      </c>
      <c r="G3595">
        <v>145110985</v>
      </c>
      <c r="H3595">
        <v>145652596</v>
      </c>
      <c r="I3595">
        <v>139772242</v>
      </c>
      <c r="J3595">
        <v>146071175</v>
      </c>
      <c r="P3595">
        <v>270</v>
      </c>
      <c r="Q3595" t="s">
        <v>7536</v>
      </c>
    </row>
    <row r="3596" spans="1:17" x14ac:dyDescent="0.3">
      <c r="A3596" t="s">
        <v>4664</v>
      </c>
      <c r="B3596" t="str">
        <f>"002930"</f>
        <v>002930</v>
      </c>
      <c r="C3596" t="s">
        <v>7537</v>
      </c>
      <c r="D3596" t="s">
        <v>1592</v>
      </c>
      <c r="F3596">
        <v>211077237</v>
      </c>
      <c r="G3596">
        <v>161443487</v>
      </c>
      <c r="H3596">
        <v>117718098</v>
      </c>
      <c r="I3596">
        <v>77221270</v>
      </c>
      <c r="J3596">
        <v>71651689</v>
      </c>
      <c r="P3596">
        <v>160</v>
      </c>
      <c r="Q3596" t="s">
        <v>7538</v>
      </c>
    </row>
    <row r="3597" spans="1:17" x14ac:dyDescent="0.3">
      <c r="A3597" t="s">
        <v>4664</v>
      </c>
      <c r="B3597" t="str">
        <f>"002931"</f>
        <v>002931</v>
      </c>
      <c r="C3597" t="s">
        <v>7539</v>
      </c>
      <c r="D3597" t="s">
        <v>274</v>
      </c>
      <c r="F3597">
        <v>68931344</v>
      </c>
      <c r="G3597">
        <v>53427995</v>
      </c>
      <c r="H3597">
        <v>45506225</v>
      </c>
      <c r="I3597">
        <v>33266094</v>
      </c>
      <c r="J3597">
        <v>33933020</v>
      </c>
      <c r="P3597">
        <v>107</v>
      </c>
      <c r="Q3597" t="s">
        <v>7540</v>
      </c>
    </row>
    <row r="3598" spans="1:17" x14ac:dyDescent="0.3">
      <c r="A3598" t="s">
        <v>4664</v>
      </c>
      <c r="B3598" t="str">
        <f>"002932"</f>
        <v>002932</v>
      </c>
      <c r="C3598" t="s">
        <v>7541</v>
      </c>
      <c r="D3598" t="s">
        <v>1305</v>
      </c>
      <c r="F3598">
        <v>1005439391</v>
      </c>
      <c r="G3598">
        <v>356229535</v>
      </c>
      <c r="H3598">
        <v>44779016</v>
      </c>
      <c r="I3598">
        <v>48004829</v>
      </c>
      <c r="J3598">
        <v>46588529</v>
      </c>
      <c r="P3598">
        <v>423</v>
      </c>
      <c r="Q3598" t="s">
        <v>7542</v>
      </c>
    </row>
    <row r="3599" spans="1:17" x14ac:dyDescent="0.3">
      <c r="A3599" t="s">
        <v>4664</v>
      </c>
      <c r="B3599" t="str">
        <f>"002933"</f>
        <v>002933</v>
      </c>
      <c r="C3599" t="s">
        <v>7543</v>
      </c>
      <c r="D3599" t="s">
        <v>98</v>
      </c>
      <c r="F3599">
        <v>4818419</v>
      </c>
      <c r="G3599">
        <v>59695580</v>
      </c>
      <c r="H3599">
        <v>89739935</v>
      </c>
      <c r="I3599">
        <v>89454473</v>
      </c>
      <c r="J3599">
        <v>85591921</v>
      </c>
      <c r="P3599">
        <v>314</v>
      </c>
      <c r="Q3599" t="s">
        <v>7544</v>
      </c>
    </row>
    <row r="3600" spans="1:17" x14ac:dyDescent="0.3">
      <c r="A3600" t="s">
        <v>4664</v>
      </c>
      <c r="B3600" t="str">
        <f>"002935"</f>
        <v>002935</v>
      </c>
      <c r="C3600" t="s">
        <v>7545</v>
      </c>
      <c r="D3600" t="s">
        <v>1136</v>
      </c>
      <c r="F3600">
        <v>46567521</v>
      </c>
      <c r="G3600">
        <v>32530429</v>
      </c>
      <c r="H3600">
        <v>34474914</v>
      </c>
      <c r="I3600">
        <v>32164539</v>
      </c>
      <c r="J3600">
        <v>28879816</v>
      </c>
      <c r="P3600">
        <v>203</v>
      </c>
      <c r="Q3600" t="s">
        <v>7546</v>
      </c>
    </row>
    <row r="3601" spans="1:17" x14ac:dyDescent="0.3">
      <c r="A3601" t="s">
        <v>4664</v>
      </c>
      <c r="B3601" t="str">
        <f>"002936"</f>
        <v>002936</v>
      </c>
      <c r="C3601" t="s">
        <v>7547</v>
      </c>
      <c r="D3601" t="s">
        <v>1838</v>
      </c>
      <c r="F3601">
        <v>3331814000</v>
      </c>
      <c r="G3601">
        <v>3292674000</v>
      </c>
      <c r="H3601">
        <v>3589942000</v>
      </c>
      <c r="I3601">
        <v>3435791000</v>
      </c>
      <c r="J3601">
        <v>3351810000</v>
      </c>
      <c r="L3601">
        <v>2788600000</v>
      </c>
      <c r="P3601">
        <v>469</v>
      </c>
      <c r="Q3601" t="s">
        <v>7548</v>
      </c>
    </row>
    <row r="3602" spans="1:17" x14ac:dyDescent="0.3">
      <c r="A3602" t="s">
        <v>4664</v>
      </c>
      <c r="B3602" t="str">
        <f>"002937"</f>
        <v>002937</v>
      </c>
      <c r="C3602" t="s">
        <v>7549</v>
      </c>
      <c r="D3602" t="s">
        <v>313</v>
      </c>
      <c r="F3602">
        <v>88923742</v>
      </c>
      <c r="G3602">
        <v>93068123</v>
      </c>
      <c r="H3602">
        <v>104987114</v>
      </c>
      <c r="I3602">
        <v>79731953</v>
      </c>
      <c r="J3602">
        <v>66100010</v>
      </c>
      <c r="P3602">
        <v>209</v>
      </c>
      <c r="Q3602" t="s">
        <v>7550</v>
      </c>
    </row>
    <row r="3603" spans="1:17" x14ac:dyDescent="0.3">
      <c r="A3603" t="s">
        <v>4664</v>
      </c>
      <c r="B3603" t="str">
        <f>"002938"</f>
        <v>002938</v>
      </c>
      <c r="C3603" t="s">
        <v>7551</v>
      </c>
      <c r="D3603" t="s">
        <v>425</v>
      </c>
      <c r="F3603">
        <v>1677930920</v>
      </c>
      <c r="G3603">
        <v>1378968200</v>
      </c>
      <c r="H3603">
        <v>1702283563</v>
      </c>
      <c r="I3603">
        <v>1562118830</v>
      </c>
      <c r="J3603">
        <v>844126742</v>
      </c>
      <c r="P3603">
        <v>961</v>
      </c>
      <c r="Q3603" t="s">
        <v>7552</v>
      </c>
    </row>
    <row r="3604" spans="1:17" x14ac:dyDescent="0.3">
      <c r="A3604" t="s">
        <v>4664</v>
      </c>
      <c r="B3604" t="str">
        <f>"002939"</f>
        <v>002939</v>
      </c>
      <c r="C3604" t="s">
        <v>7553</v>
      </c>
      <c r="D3604" t="s">
        <v>80</v>
      </c>
      <c r="F3604">
        <v>1354545246</v>
      </c>
      <c r="G3604">
        <v>1155165496</v>
      </c>
      <c r="H3604">
        <v>744052692</v>
      </c>
      <c r="I3604">
        <v>479350749</v>
      </c>
      <c r="J3604">
        <v>672740886</v>
      </c>
      <c r="N3604">
        <v>321458509</v>
      </c>
      <c r="P3604">
        <v>832</v>
      </c>
      <c r="Q3604" t="s">
        <v>7554</v>
      </c>
    </row>
    <row r="3605" spans="1:17" x14ac:dyDescent="0.3">
      <c r="A3605" t="s">
        <v>4664</v>
      </c>
      <c r="B3605" t="str">
        <f>"002940"</f>
        <v>002940</v>
      </c>
      <c r="C3605" t="s">
        <v>7555</v>
      </c>
      <c r="D3605" t="s">
        <v>143</v>
      </c>
      <c r="F3605">
        <v>75194012</v>
      </c>
      <c r="G3605">
        <v>124227720</v>
      </c>
      <c r="H3605">
        <v>90404236</v>
      </c>
      <c r="I3605">
        <v>99201534</v>
      </c>
      <c r="J3605">
        <v>78254079</v>
      </c>
      <c r="P3605">
        <v>148</v>
      </c>
      <c r="Q3605" t="s">
        <v>7556</v>
      </c>
    </row>
    <row r="3606" spans="1:17" x14ac:dyDescent="0.3">
      <c r="A3606" t="s">
        <v>4664</v>
      </c>
      <c r="B3606" t="str">
        <f>"002941"</f>
        <v>002941</v>
      </c>
      <c r="C3606" t="s">
        <v>7557</v>
      </c>
      <c r="D3606" t="s">
        <v>101</v>
      </c>
      <c r="F3606">
        <v>173330054</v>
      </c>
      <c r="G3606">
        <v>82650897</v>
      </c>
      <c r="H3606">
        <v>57967860</v>
      </c>
      <c r="I3606">
        <v>339325062</v>
      </c>
      <c r="J3606">
        <v>208951800</v>
      </c>
      <c r="P3606">
        <v>145</v>
      </c>
      <c r="Q3606" t="s">
        <v>7558</v>
      </c>
    </row>
    <row r="3607" spans="1:17" x14ac:dyDescent="0.3">
      <c r="A3607" t="s">
        <v>4664</v>
      </c>
      <c r="B3607" t="str">
        <f>"002942"</f>
        <v>002942</v>
      </c>
      <c r="C3607" t="s">
        <v>7559</v>
      </c>
      <c r="D3607" t="s">
        <v>853</v>
      </c>
      <c r="F3607">
        <v>118025665</v>
      </c>
      <c r="G3607">
        <v>165714083</v>
      </c>
      <c r="H3607">
        <v>140104054</v>
      </c>
      <c r="I3607">
        <v>109149095</v>
      </c>
      <c r="J3607">
        <v>58924638</v>
      </c>
      <c r="P3607">
        <v>414</v>
      </c>
      <c r="Q3607" t="s">
        <v>7560</v>
      </c>
    </row>
    <row r="3608" spans="1:17" x14ac:dyDescent="0.3">
      <c r="A3608" t="s">
        <v>4664</v>
      </c>
      <c r="B3608" t="str">
        <f>"002943"</f>
        <v>002943</v>
      </c>
      <c r="C3608" t="s">
        <v>7561</v>
      </c>
      <c r="D3608" t="s">
        <v>2312</v>
      </c>
      <c r="F3608">
        <v>1898043</v>
      </c>
      <c r="G3608">
        <v>-1564564</v>
      </c>
      <c r="H3608">
        <v>25759559</v>
      </c>
      <c r="I3608">
        <v>82740600</v>
      </c>
      <c r="J3608">
        <v>41505600</v>
      </c>
      <c r="P3608">
        <v>74</v>
      </c>
      <c r="Q3608" t="s">
        <v>7562</v>
      </c>
    </row>
    <row r="3609" spans="1:17" x14ac:dyDescent="0.3">
      <c r="A3609" t="s">
        <v>4664</v>
      </c>
      <c r="B3609" t="str">
        <f>"002945"</f>
        <v>002945</v>
      </c>
      <c r="C3609" t="s">
        <v>7563</v>
      </c>
      <c r="D3609" t="s">
        <v>80</v>
      </c>
      <c r="F3609">
        <v>480905349</v>
      </c>
      <c r="G3609">
        <v>660540252</v>
      </c>
      <c r="H3609">
        <v>305686235</v>
      </c>
      <c r="I3609">
        <v>257101800</v>
      </c>
      <c r="J3609">
        <v>290550100</v>
      </c>
      <c r="P3609">
        <v>913</v>
      </c>
      <c r="Q3609" t="s">
        <v>7564</v>
      </c>
    </row>
    <row r="3610" spans="1:17" x14ac:dyDescent="0.3">
      <c r="A3610" t="s">
        <v>4664</v>
      </c>
      <c r="B3610" t="str">
        <f>"002946"</f>
        <v>002946</v>
      </c>
      <c r="C3610" t="s">
        <v>7565</v>
      </c>
      <c r="D3610" t="s">
        <v>900</v>
      </c>
      <c r="F3610">
        <v>256029550</v>
      </c>
      <c r="G3610">
        <v>185231527</v>
      </c>
      <c r="H3610">
        <v>178624802</v>
      </c>
      <c r="I3610">
        <v>175336066</v>
      </c>
      <c r="J3610">
        <v>162413685</v>
      </c>
      <c r="P3610">
        <v>342</v>
      </c>
      <c r="Q3610" t="s">
        <v>7566</v>
      </c>
    </row>
    <row r="3611" spans="1:17" x14ac:dyDescent="0.3">
      <c r="A3611" t="s">
        <v>4664</v>
      </c>
      <c r="B3611" t="str">
        <f>"002947"</f>
        <v>002947</v>
      </c>
      <c r="C3611" t="s">
        <v>7567</v>
      </c>
      <c r="D3611" t="s">
        <v>313</v>
      </c>
      <c r="F3611">
        <v>-19706432</v>
      </c>
      <c r="G3611">
        <v>81424462</v>
      </c>
      <c r="H3611">
        <v>114311954</v>
      </c>
      <c r="I3611">
        <v>85792547</v>
      </c>
      <c r="J3611">
        <v>54339101</v>
      </c>
      <c r="P3611">
        <v>266</v>
      </c>
      <c r="Q3611" t="s">
        <v>7568</v>
      </c>
    </row>
    <row r="3612" spans="1:17" x14ac:dyDescent="0.3">
      <c r="A3612" t="s">
        <v>4664</v>
      </c>
      <c r="B3612" t="str">
        <f>"002948"</f>
        <v>002948</v>
      </c>
      <c r="C3612" t="s">
        <v>7569</v>
      </c>
      <c r="D3612" t="s">
        <v>1838</v>
      </c>
      <c r="F3612">
        <v>2418426000</v>
      </c>
      <c r="G3612">
        <v>2007746000</v>
      </c>
      <c r="H3612">
        <v>1946641000</v>
      </c>
      <c r="I3612">
        <v>1754077000</v>
      </c>
      <c r="J3612">
        <v>1676755000</v>
      </c>
      <c r="K3612">
        <v>1801942000</v>
      </c>
      <c r="L3612">
        <v>1558345000</v>
      </c>
      <c r="M3612">
        <v>1389846584</v>
      </c>
      <c r="O3612">
        <v>793991509</v>
      </c>
      <c r="P3612">
        <v>458</v>
      </c>
      <c r="Q3612" t="s">
        <v>7570</v>
      </c>
    </row>
    <row r="3613" spans="1:17" x14ac:dyDescent="0.3">
      <c r="A3613" t="s">
        <v>4664</v>
      </c>
      <c r="B3613" t="str">
        <f>"002949"</f>
        <v>002949</v>
      </c>
      <c r="C3613" t="s">
        <v>7571</v>
      </c>
      <c r="D3613" t="s">
        <v>1272</v>
      </c>
      <c r="F3613">
        <v>141019375</v>
      </c>
      <c r="G3613">
        <v>109877724</v>
      </c>
      <c r="H3613">
        <v>89518054</v>
      </c>
      <c r="I3613">
        <v>83370832</v>
      </c>
      <c r="P3613">
        <v>158</v>
      </c>
      <c r="Q3613" t="s">
        <v>7572</v>
      </c>
    </row>
    <row r="3614" spans="1:17" x14ac:dyDescent="0.3">
      <c r="A3614" t="s">
        <v>4664</v>
      </c>
      <c r="B3614" t="str">
        <f>"002950"</f>
        <v>002950</v>
      </c>
      <c r="C3614" t="s">
        <v>7573</v>
      </c>
      <c r="D3614" t="s">
        <v>1077</v>
      </c>
      <c r="F3614">
        <v>329132304</v>
      </c>
      <c r="G3614">
        <v>959153801</v>
      </c>
      <c r="H3614">
        <v>217946563</v>
      </c>
      <c r="I3614">
        <v>140921791</v>
      </c>
      <c r="P3614">
        <v>1080</v>
      </c>
      <c r="Q3614" t="s">
        <v>7574</v>
      </c>
    </row>
    <row r="3615" spans="1:17" x14ac:dyDescent="0.3">
      <c r="A3615" t="s">
        <v>4664</v>
      </c>
      <c r="B3615" t="str">
        <f>"002951"</f>
        <v>002951</v>
      </c>
      <c r="C3615" t="s">
        <v>7575</v>
      </c>
      <c r="D3615" t="s">
        <v>2156</v>
      </c>
      <c r="F3615">
        <v>55055811</v>
      </c>
      <c r="G3615">
        <v>120329540</v>
      </c>
      <c r="H3615">
        <v>112409479</v>
      </c>
      <c r="I3615">
        <v>123169440</v>
      </c>
      <c r="P3615">
        <v>93</v>
      </c>
      <c r="Q3615" t="s">
        <v>7576</v>
      </c>
    </row>
    <row r="3616" spans="1:17" x14ac:dyDescent="0.3">
      <c r="A3616" t="s">
        <v>4664</v>
      </c>
      <c r="B3616" t="str">
        <f>"002952"</f>
        <v>002952</v>
      </c>
      <c r="C3616" t="s">
        <v>7577</v>
      </c>
      <c r="D3616" t="s">
        <v>1117</v>
      </c>
      <c r="F3616">
        <v>37434994</v>
      </c>
      <c r="G3616">
        <v>74332060</v>
      </c>
      <c r="H3616">
        <v>62070263</v>
      </c>
      <c r="I3616">
        <v>73279046</v>
      </c>
      <c r="J3616">
        <v>48617083</v>
      </c>
      <c r="P3616">
        <v>79</v>
      </c>
      <c r="Q3616" t="s">
        <v>7578</v>
      </c>
    </row>
    <row r="3617" spans="1:17" x14ac:dyDescent="0.3">
      <c r="A3617" t="s">
        <v>4664</v>
      </c>
      <c r="B3617" t="str">
        <f>"002953"</f>
        <v>002953</v>
      </c>
      <c r="C3617" t="s">
        <v>7579</v>
      </c>
      <c r="D3617" t="s">
        <v>1164</v>
      </c>
      <c r="F3617">
        <v>120907613</v>
      </c>
      <c r="G3617">
        <v>81137631</v>
      </c>
      <c r="H3617">
        <v>85490416</v>
      </c>
      <c r="I3617">
        <v>90868257</v>
      </c>
      <c r="P3617">
        <v>99</v>
      </c>
      <c r="Q3617" t="s">
        <v>7580</v>
      </c>
    </row>
    <row r="3618" spans="1:17" x14ac:dyDescent="0.3">
      <c r="A3618" t="s">
        <v>4664</v>
      </c>
      <c r="B3618" t="str">
        <f>"002955"</f>
        <v>002955</v>
      </c>
      <c r="C3618" t="s">
        <v>7581</v>
      </c>
      <c r="D3618" t="s">
        <v>1117</v>
      </c>
      <c r="F3618">
        <v>139065950</v>
      </c>
      <c r="G3618">
        <v>57316537</v>
      </c>
      <c r="H3618">
        <v>244719127</v>
      </c>
      <c r="I3618">
        <v>290269162</v>
      </c>
      <c r="P3618">
        <v>167</v>
      </c>
      <c r="Q3618" t="s">
        <v>7582</v>
      </c>
    </row>
    <row r="3619" spans="1:17" x14ac:dyDescent="0.3">
      <c r="A3619" t="s">
        <v>4664</v>
      </c>
      <c r="B3619" t="str">
        <f>"002956"</f>
        <v>002956</v>
      </c>
      <c r="C3619" t="s">
        <v>7583</v>
      </c>
      <c r="D3619" t="s">
        <v>2479</v>
      </c>
      <c r="F3619">
        <v>107558877</v>
      </c>
      <c r="G3619">
        <v>111406362</v>
      </c>
      <c r="H3619">
        <v>121866021</v>
      </c>
      <c r="I3619">
        <v>110043857</v>
      </c>
      <c r="P3619">
        <v>281</v>
      </c>
      <c r="Q3619" t="s">
        <v>7584</v>
      </c>
    </row>
    <row r="3620" spans="1:17" x14ac:dyDescent="0.3">
      <c r="A3620" t="s">
        <v>4664</v>
      </c>
      <c r="B3620" t="str">
        <f>"002957"</f>
        <v>002957</v>
      </c>
      <c r="C3620" t="s">
        <v>7585</v>
      </c>
      <c r="D3620" t="s">
        <v>2423</v>
      </c>
      <c r="F3620">
        <v>171020433</v>
      </c>
      <c r="G3620">
        <v>243042646</v>
      </c>
      <c r="H3620">
        <v>211251157</v>
      </c>
      <c r="I3620">
        <v>243170797</v>
      </c>
      <c r="P3620">
        <v>182</v>
      </c>
      <c r="Q3620" t="s">
        <v>7586</v>
      </c>
    </row>
    <row r="3621" spans="1:17" x14ac:dyDescent="0.3">
      <c r="A3621" t="s">
        <v>4664</v>
      </c>
      <c r="B3621" t="str">
        <f>"002958"</f>
        <v>002958</v>
      </c>
      <c r="C3621" t="s">
        <v>7587</v>
      </c>
      <c r="D3621" t="s">
        <v>1827</v>
      </c>
      <c r="F3621">
        <v>2732504000</v>
      </c>
      <c r="G3621">
        <v>2473289000</v>
      </c>
      <c r="H3621">
        <v>2357490000</v>
      </c>
      <c r="I3621">
        <v>2034544000</v>
      </c>
      <c r="M3621">
        <v>1798038000</v>
      </c>
      <c r="P3621">
        <v>416</v>
      </c>
      <c r="Q3621" t="s">
        <v>7588</v>
      </c>
    </row>
    <row r="3622" spans="1:17" x14ac:dyDescent="0.3">
      <c r="A3622" t="s">
        <v>4664</v>
      </c>
      <c r="B3622" t="str">
        <f>"002959"</f>
        <v>002959</v>
      </c>
      <c r="C3622" t="s">
        <v>7589</v>
      </c>
      <c r="D3622" t="s">
        <v>5712</v>
      </c>
      <c r="F3622">
        <v>188976001</v>
      </c>
      <c r="G3622">
        <v>321881760</v>
      </c>
      <c r="H3622">
        <v>167607508</v>
      </c>
      <c r="I3622">
        <v>119277139</v>
      </c>
      <c r="P3622">
        <v>1479</v>
      </c>
      <c r="Q3622" t="s">
        <v>7590</v>
      </c>
    </row>
    <row r="3623" spans="1:17" x14ac:dyDescent="0.3">
      <c r="A3623" t="s">
        <v>4664</v>
      </c>
      <c r="B3623" t="str">
        <f>"002960"</f>
        <v>002960</v>
      </c>
      <c r="C3623" t="s">
        <v>7591</v>
      </c>
      <c r="D3623" t="s">
        <v>1689</v>
      </c>
      <c r="F3623">
        <v>374580899</v>
      </c>
      <c r="G3623">
        <v>323133682</v>
      </c>
      <c r="H3623">
        <v>269377644</v>
      </c>
      <c r="I3623">
        <v>252819963</v>
      </c>
      <c r="P3623">
        <v>389</v>
      </c>
      <c r="Q3623" t="s">
        <v>7592</v>
      </c>
    </row>
    <row r="3624" spans="1:17" x14ac:dyDescent="0.3">
      <c r="A3624" t="s">
        <v>4664</v>
      </c>
      <c r="B3624" t="str">
        <f>"002961"</f>
        <v>002961</v>
      </c>
      <c r="C3624" t="s">
        <v>7593</v>
      </c>
      <c r="D3624" t="s">
        <v>1843</v>
      </c>
      <c r="F3624">
        <v>370227821</v>
      </c>
      <c r="G3624">
        <v>131645678</v>
      </c>
      <c r="H3624">
        <v>92313347</v>
      </c>
      <c r="I3624">
        <v>87034949</v>
      </c>
      <c r="P3624">
        <v>121</v>
      </c>
      <c r="Q3624" t="s">
        <v>7594</v>
      </c>
    </row>
    <row r="3625" spans="1:17" x14ac:dyDescent="0.3">
      <c r="A3625" t="s">
        <v>4664</v>
      </c>
      <c r="B3625" t="str">
        <f>"002962"</f>
        <v>002962</v>
      </c>
      <c r="C3625" t="s">
        <v>7595</v>
      </c>
      <c r="D3625" t="s">
        <v>164</v>
      </c>
      <c r="F3625">
        <v>71859649</v>
      </c>
      <c r="G3625">
        <v>108365071</v>
      </c>
      <c r="H3625">
        <v>121638679</v>
      </c>
      <c r="I3625">
        <v>102138913</v>
      </c>
      <c r="P3625">
        <v>137</v>
      </c>
      <c r="Q3625" t="s">
        <v>7596</v>
      </c>
    </row>
    <row r="3626" spans="1:17" x14ac:dyDescent="0.3">
      <c r="A3626" t="s">
        <v>4664</v>
      </c>
      <c r="B3626" t="str">
        <f>"002963"</f>
        <v>002963</v>
      </c>
      <c r="C3626" t="s">
        <v>7597</v>
      </c>
      <c r="D3626" t="s">
        <v>450</v>
      </c>
      <c r="F3626">
        <v>54760087</v>
      </c>
      <c r="G3626">
        <v>37054400</v>
      </c>
      <c r="H3626">
        <v>204117339</v>
      </c>
      <c r="I3626">
        <v>98635706</v>
      </c>
      <c r="P3626">
        <v>75</v>
      </c>
      <c r="Q3626" t="s">
        <v>7598</v>
      </c>
    </row>
    <row r="3627" spans="1:17" x14ac:dyDescent="0.3">
      <c r="A3627" t="s">
        <v>4664</v>
      </c>
      <c r="B3627" t="str">
        <f>"002965"</f>
        <v>002965</v>
      </c>
      <c r="C3627" t="s">
        <v>7599</v>
      </c>
      <c r="D3627" t="s">
        <v>274</v>
      </c>
      <c r="F3627">
        <v>55388185</v>
      </c>
      <c r="G3627">
        <v>119462649</v>
      </c>
      <c r="H3627">
        <v>117079286</v>
      </c>
      <c r="I3627">
        <v>104984287</v>
      </c>
      <c r="P3627">
        <v>400</v>
      </c>
      <c r="Q3627" t="s">
        <v>7600</v>
      </c>
    </row>
    <row r="3628" spans="1:17" x14ac:dyDescent="0.3">
      <c r="A3628" t="s">
        <v>4664</v>
      </c>
      <c r="B3628" t="str">
        <f>"002966"</f>
        <v>002966</v>
      </c>
      <c r="C3628" t="s">
        <v>7601</v>
      </c>
      <c r="D3628" t="s">
        <v>1838</v>
      </c>
      <c r="F3628">
        <v>2462076536</v>
      </c>
      <c r="G3628">
        <v>2102131169</v>
      </c>
      <c r="H3628">
        <v>2057543222</v>
      </c>
      <c r="I3628">
        <v>1782000000</v>
      </c>
      <c r="K3628">
        <v>1433439750</v>
      </c>
      <c r="L3628">
        <v>1378665290</v>
      </c>
      <c r="P3628">
        <v>365</v>
      </c>
      <c r="Q3628" t="s">
        <v>7602</v>
      </c>
    </row>
    <row r="3629" spans="1:17" x14ac:dyDescent="0.3">
      <c r="A3629" t="s">
        <v>4664</v>
      </c>
      <c r="B3629" t="str">
        <f>"002967"</f>
        <v>002967</v>
      </c>
      <c r="C3629" t="s">
        <v>7603</v>
      </c>
      <c r="D3629" t="s">
        <v>2499</v>
      </c>
      <c r="F3629">
        <v>42934363</v>
      </c>
      <c r="G3629">
        <v>78875707</v>
      </c>
      <c r="H3629">
        <v>70040953</v>
      </c>
      <c r="I3629">
        <v>59199687</v>
      </c>
      <c r="P3629">
        <v>236</v>
      </c>
      <c r="Q3629" t="s">
        <v>7604</v>
      </c>
    </row>
    <row r="3630" spans="1:17" x14ac:dyDescent="0.3">
      <c r="A3630" t="s">
        <v>4664</v>
      </c>
      <c r="B3630" t="str">
        <f>"002968"</f>
        <v>002968</v>
      </c>
      <c r="C3630" t="s">
        <v>7605</v>
      </c>
      <c r="D3630" t="s">
        <v>2948</v>
      </c>
      <c r="F3630">
        <v>117283052</v>
      </c>
      <c r="G3630">
        <v>89956863</v>
      </c>
      <c r="H3630">
        <v>77667869</v>
      </c>
      <c r="I3630">
        <v>61192371</v>
      </c>
      <c r="P3630">
        <v>234</v>
      </c>
      <c r="Q3630" t="s">
        <v>7606</v>
      </c>
    </row>
    <row r="3631" spans="1:17" x14ac:dyDescent="0.3">
      <c r="A3631" t="s">
        <v>4664</v>
      </c>
      <c r="B3631" t="str">
        <f>"002969"</f>
        <v>002969</v>
      </c>
      <c r="C3631" t="s">
        <v>7607</v>
      </c>
      <c r="D3631" t="s">
        <v>2364</v>
      </c>
      <c r="F3631">
        <v>94655202</v>
      </c>
      <c r="G3631">
        <v>-9011007</v>
      </c>
      <c r="H3631">
        <v>63584523</v>
      </c>
      <c r="I3631">
        <v>55539627</v>
      </c>
      <c r="P3631">
        <v>78</v>
      </c>
      <c r="Q3631" t="s">
        <v>7608</v>
      </c>
    </row>
    <row r="3632" spans="1:17" x14ac:dyDescent="0.3">
      <c r="A3632" t="s">
        <v>4664</v>
      </c>
      <c r="B3632" t="str">
        <f>"002970"</f>
        <v>002970</v>
      </c>
      <c r="C3632" t="s">
        <v>7609</v>
      </c>
      <c r="D3632" t="s">
        <v>236</v>
      </c>
      <c r="F3632">
        <v>53303993</v>
      </c>
      <c r="G3632">
        <v>134371273</v>
      </c>
      <c r="H3632">
        <v>110158658</v>
      </c>
      <c r="I3632">
        <v>58499975</v>
      </c>
      <c r="P3632">
        <v>563</v>
      </c>
      <c r="Q3632" t="s">
        <v>7610</v>
      </c>
    </row>
    <row r="3633" spans="1:17" x14ac:dyDescent="0.3">
      <c r="A3633" t="s">
        <v>4664</v>
      </c>
      <c r="B3633" t="str">
        <f>"002971"</f>
        <v>002971</v>
      </c>
      <c r="C3633" t="s">
        <v>7611</v>
      </c>
      <c r="D3633" t="s">
        <v>386</v>
      </c>
      <c r="F3633">
        <v>58293538</v>
      </c>
      <c r="G3633">
        <v>60908794</v>
      </c>
      <c r="H3633">
        <v>64059890</v>
      </c>
      <c r="P3633">
        <v>70</v>
      </c>
      <c r="Q3633" t="s">
        <v>7612</v>
      </c>
    </row>
    <row r="3634" spans="1:17" x14ac:dyDescent="0.3">
      <c r="A3634" t="s">
        <v>4664</v>
      </c>
      <c r="B3634" t="str">
        <f>"002972"</f>
        <v>002972</v>
      </c>
      <c r="C3634" t="s">
        <v>7613</v>
      </c>
      <c r="D3634" t="s">
        <v>1012</v>
      </c>
      <c r="F3634">
        <v>105827014</v>
      </c>
      <c r="G3634">
        <v>90162362</v>
      </c>
      <c r="H3634">
        <v>86822219</v>
      </c>
      <c r="I3634">
        <v>52190658</v>
      </c>
      <c r="P3634">
        <v>188</v>
      </c>
      <c r="Q3634" t="s">
        <v>7614</v>
      </c>
    </row>
    <row r="3635" spans="1:17" x14ac:dyDescent="0.3">
      <c r="A3635" t="s">
        <v>4664</v>
      </c>
      <c r="B3635" t="str">
        <f>"002973"</f>
        <v>002973</v>
      </c>
      <c r="C3635" t="s">
        <v>7615</v>
      </c>
      <c r="D3635" t="s">
        <v>499</v>
      </c>
      <c r="F3635">
        <v>230813626</v>
      </c>
      <c r="G3635">
        <v>293006219</v>
      </c>
      <c r="H3635">
        <v>99606065</v>
      </c>
      <c r="I3635">
        <v>75039857</v>
      </c>
      <c r="P3635">
        <v>212</v>
      </c>
      <c r="Q3635" t="s">
        <v>7616</v>
      </c>
    </row>
    <row r="3636" spans="1:17" x14ac:dyDescent="0.3">
      <c r="A3636" t="s">
        <v>4664</v>
      </c>
      <c r="B3636" t="str">
        <f>"002975"</f>
        <v>002975</v>
      </c>
      <c r="C3636" t="s">
        <v>7617</v>
      </c>
      <c r="D3636" t="s">
        <v>2423</v>
      </c>
      <c r="F3636">
        <v>229527487</v>
      </c>
      <c r="G3636">
        <v>306741642</v>
      </c>
      <c r="H3636">
        <v>132750492</v>
      </c>
      <c r="I3636">
        <v>103297414</v>
      </c>
      <c r="P3636">
        <v>293</v>
      </c>
      <c r="Q3636" t="s">
        <v>7618</v>
      </c>
    </row>
    <row r="3637" spans="1:17" x14ac:dyDescent="0.3">
      <c r="A3637" t="s">
        <v>4664</v>
      </c>
      <c r="B3637" t="str">
        <f>"002976"</f>
        <v>002976</v>
      </c>
      <c r="C3637" t="s">
        <v>7619</v>
      </c>
      <c r="D3637" t="s">
        <v>313</v>
      </c>
      <c r="F3637">
        <v>34316958</v>
      </c>
      <c r="G3637">
        <v>44820971</v>
      </c>
      <c r="H3637">
        <v>60556854</v>
      </c>
      <c r="P3637">
        <v>104</v>
      </c>
      <c r="Q3637" t="s">
        <v>7620</v>
      </c>
    </row>
    <row r="3638" spans="1:17" x14ac:dyDescent="0.3">
      <c r="A3638" t="s">
        <v>4664</v>
      </c>
      <c r="B3638" t="str">
        <f>"002977"</f>
        <v>002977</v>
      </c>
      <c r="C3638" t="s">
        <v>7621</v>
      </c>
      <c r="D3638" t="s">
        <v>1136</v>
      </c>
      <c r="F3638">
        <v>88716711</v>
      </c>
      <c r="G3638">
        <v>38730268</v>
      </c>
      <c r="H3638">
        <v>58499892</v>
      </c>
      <c r="P3638">
        <v>126</v>
      </c>
      <c r="Q3638" t="s">
        <v>7622</v>
      </c>
    </row>
    <row r="3639" spans="1:17" x14ac:dyDescent="0.3">
      <c r="A3639" t="s">
        <v>4664</v>
      </c>
      <c r="B3639" t="str">
        <f>"002978"</f>
        <v>002978</v>
      </c>
      <c r="C3639" t="s">
        <v>7623</v>
      </c>
      <c r="D3639" t="s">
        <v>636</v>
      </c>
      <c r="F3639">
        <v>1189571198</v>
      </c>
      <c r="G3639">
        <v>521722891</v>
      </c>
      <c r="H3639">
        <v>398783925</v>
      </c>
      <c r="P3639">
        <v>229</v>
      </c>
      <c r="Q3639" t="s">
        <v>7624</v>
      </c>
    </row>
    <row r="3640" spans="1:17" x14ac:dyDescent="0.3">
      <c r="A3640" t="s">
        <v>4664</v>
      </c>
      <c r="B3640" t="str">
        <f>"002979"</f>
        <v>002979</v>
      </c>
      <c r="C3640" t="s">
        <v>7625</v>
      </c>
      <c r="D3640" t="s">
        <v>2911</v>
      </c>
      <c r="F3640">
        <v>186271088</v>
      </c>
      <c r="G3640">
        <v>144544705</v>
      </c>
      <c r="H3640">
        <v>70563721</v>
      </c>
      <c r="P3640">
        <v>196</v>
      </c>
      <c r="Q3640" t="s">
        <v>7626</v>
      </c>
    </row>
    <row r="3641" spans="1:17" x14ac:dyDescent="0.3">
      <c r="A3641" t="s">
        <v>4664</v>
      </c>
      <c r="B3641" t="str">
        <f>"002980"</f>
        <v>002980</v>
      </c>
      <c r="C3641" t="s">
        <v>7627</v>
      </c>
      <c r="D3641" t="s">
        <v>2171</v>
      </c>
      <c r="F3641">
        <v>130724287</v>
      </c>
      <c r="G3641">
        <v>315199199</v>
      </c>
      <c r="H3641">
        <v>73767120</v>
      </c>
      <c r="P3641">
        <v>154</v>
      </c>
      <c r="Q3641" t="s">
        <v>7628</v>
      </c>
    </row>
    <row r="3642" spans="1:17" x14ac:dyDescent="0.3">
      <c r="A3642" t="s">
        <v>4664</v>
      </c>
      <c r="B3642" t="str">
        <f>"002981"</f>
        <v>002981</v>
      </c>
      <c r="C3642" t="s">
        <v>7629</v>
      </c>
      <c r="D3642" t="s">
        <v>313</v>
      </c>
      <c r="F3642">
        <v>5204389</v>
      </c>
      <c r="G3642">
        <v>37346132</v>
      </c>
      <c r="H3642">
        <v>54230396</v>
      </c>
      <c r="I3642">
        <v>51230076</v>
      </c>
      <c r="P3642">
        <v>73</v>
      </c>
      <c r="Q3642" t="s">
        <v>7630</v>
      </c>
    </row>
    <row r="3643" spans="1:17" x14ac:dyDescent="0.3">
      <c r="A3643" t="s">
        <v>4664</v>
      </c>
      <c r="B3643" t="str">
        <f>"002982"</f>
        <v>002982</v>
      </c>
      <c r="C3643" t="s">
        <v>7631</v>
      </c>
      <c r="D3643" t="s">
        <v>6173</v>
      </c>
      <c r="F3643">
        <v>-10109085</v>
      </c>
      <c r="G3643">
        <v>179710041</v>
      </c>
      <c r="H3643">
        <v>169971132</v>
      </c>
      <c r="P3643">
        <v>131</v>
      </c>
      <c r="Q3643" t="s">
        <v>7632</v>
      </c>
    </row>
    <row r="3644" spans="1:17" x14ac:dyDescent="0.3">
      <c r="A3644" t="s">
        <v>4664</v>
      </c>
      <c r="B3644" t="str">
        <f>"002983"</f>
        <v>002983</v>
      </c>
      <c r="C3644" t="s">
        <v>7633</v>
      </c>
      <c r="D3644" t="s">
        <v>803</v>
      </c>
      <c r="F3644">
        <v>63434983</v>
      </c>
      <c r="G3644">
        <v>61505819</v>
      </c>
      <c r="H3644">
        <v>60571463</v>
      </c>
      <c r="P3644">
        <v>109</v>
      </c>
      <c r="Q3644" t="s">
        <v>7634</v>
      </c>
    </row>
    <row r="3645" spans="1:17" x14ac:dyDescent="0.3">
      <c r="A3645" t="s">
        <v>4664</v>
      </c>
      <c r="B3645" t="str">
        <f>"002984"</f>
        <v>002984</v>
      </c>
      <c r="C3645" t="s">
        <v>7635</v>
      </c>
      <c r="D3645" t="s">
        <v>422</v>
      </c>
      <c r="F3645">
        <v>572853870</v>
      </c>
      <c r="G3645">
        <v>716040894</v>
      </c>
      <c r="H3645">
        <v>527932325</v>
      </c>
      <c r="P3645">
        <v>203</v>
      </c>
      <c r="Q3645" t="s">
        <v>7636</v>
      </c>
    </row>
    <row r="3646" spans="1:17" x14ac:dyDescent="0.3">
      <c r="A3646" t="s">
        <v>4664</v>
      </c>
      <c r="B3646" t="str">
        <f>"002985"</f>
        <v>002985</v>
      </c>
      <c r="C3646" t="s">
        <v>7637</v>
      </c>
      <c r="D3646" t="s">
        <v>98</v>
      </c>
      <c r="F3646">
        <v>324818256</v>
      </c>
      <c r="G3646">
        <v>173456567</v>
      </c>
      <c r="H3646">
        <v>103050738</v>
      </c>
      <c r="P3646">
        <v>548</v>
      </c>
      <c r="Q3646" t="s">
        <v>7638</v>
      </c>
    </row>
    <row r="3647" spans="1:17" x14ac:dyDescent="0.3">
      <c r="A3647" t="s">
        <v>4664</v>
      </c>
      <c r="B3647" t="str">
        <f>"002986"</f>
        <v>002986</v>
      </c>
      <c r="C3647" t="s">
        <v>7639</v>
      </c>
      <c r="D3647" t="s">
        <v>1615</v>
      </c>
      <c r="F3647">
        <v>132926429</v>
      </c>
      <c r="G3647">
        <v>39424903</v>
      </c>
      <c r="H3647">
        <v>188536196</v>
      </c>
      <c r="P3647">
        <v>58</v>
      </c>
      <c r="Q3647" t="s">
        <v>7640</v>
      </c>
    </row>
    <row r="3648" spans="1:17" x14ac:dyDescent="0.3">
      <c r="A3648" t="s">
        <v>4664</v>
      </c>
      <c r="B3648" t="str">
        <f>"002987"</f>
        <v>002987</v>
      </c>
      <c r="C3648" t="s">
        <v>7641</v>
      </c>
      <c r="D3648" t="s">
        <v>945</v>
      </c>
      <c r="F3648">
        <v>186412949</v>
      </c>
      <c r="G3648">
        <v>184097822</v>
      </c>
      <c r="H3648">
        <v>118337887</v>
      </c>
      <c r="P3648">
        <v>127</v>
      </c>
      <c r="Q3648" t="s">
        <v>7642</v>
      </c>
    </row>
    <row r="3649" spans="1:17" x14ac:dyDescent="0.3">
      <c r="A3649" t="s">
        <v>4664</v>
      </c>
      <c r="B3649" t="str">
        <f>"002988"</f>
        <v>002988</v>
      </c>
      <c r="C3649" t="s">
        <v>7643</v>
      </c>
      <c r="D3649" t="s">
        <v>504</v>
      </c>
      <c r="F3649">
        <v>104064252</v>
      </c>
      <c r="G3649">
        <v>61320066</v>
      </c>
      <c r="H3649">
        <v>116446975</v>
      </c>
      <c r="P3649">
        <v>61</v>
      </c>
      <c r="Q3649" t="s">
        <v>7644</v>
      </c>
    </row>
    <row r="3650" spans="1:17" x14ac:dyDescent="0.3">
      <c r="A3650" t="s">
        <v>4664</v>
      </c>
      <c r="B3650" t="str">
        <f>"002989"</f>
        <v>002989</v>
      </c>
      <c r="C3650" t="s">
        <v>7645</v>
      </c>
      <c r="D3650" t="s">
        <v>450</v>
      </c>
      <c r="F3650">
        <v>117143001</v>
      </c>
      <c r="G3650">
        <v>156364601</v>
      </c>
      <c r="H3650">
        <v>145617860</v>
      </c>
      <c r="I3650">
        <v>64423800</v>
      </c>
      <c r="P3650">
        <v>137</v>
      </c>
      <c r="Q3650" t="s">
        <v>7646</v>
      </c>
    </row>
    <row r="3651" spans="1:17" x14ac:dyDescent="0.3">
      <c r="A3651" t="s">
        <v>4664</v>
      </c>
      <c r="B3651" t="str">
        <f>"002990"</f>
        <v>002990</v>
      </c>
      <c r="C3651" t="s">
        <v>7647</v>
      </c>
      <c r="D3651" t="s">
        <v>236</v>
      </c>
      <c r="F3651">
        <v>161788485</v>
      </c>
      <c r="G3651">
        <v>153894656</v>
      </c>
      <c r="H3651">
        <v>135546547</v>
      </c>
      <c r="P3651">
        <v>109</v>
      </c>
      <c r="Q3651" t="s">
        <v>7648</v>
      </c>
    </row>
    <row r="3652" spans="1:17" x14ac:dyDescent="0.3">
      <c r="A3652" t="s">
        <v>4664</v>
      </c>
      <c r="B3652" t="str">
        <f>"002991"</f>
        <v>002991</v>
      </c>
      <c r="C3652" t="s">
        <v>7649</v>
      </c>
      <c r="D3652" t="s">
        <v>3167</v>
      </c>
      <c r="F3652">
        <v>77274476</v>
      </c>
      <c r="G3652">
        <v>124095580</v>
      </c>
      <c r="H3652">
        <v>102464095</v>
      </c>
      <c r="P3652">
        <v>211</v>
      </c>
      <c r="Q3652" t="s">
        <v>7650</v>
      </c>
    </row>
    <row r="3653" spans="1:17" x14ac:dyDescent="0.3">
      <c r="A3653" t="s">
        <v>4664</v>
      </c>
      <c r="B3653" t="str">
        <f>"002992"</f>
        <v>002992</v>
      </c>
      <c r="C3653" t="s">
        <v>7651</v>
      </c>
      <c r="D3653" t="s">
        <v>1117</v>
      </c>
      <c r="F3653">
        <v>-149710195</v>
      </c>
      <c r="G3653">
        <v>51506065</v>
      </c>
      <c r="H3653">
        <v>122068375</v>
      </c>
      <c r="P3653">
        <v>51</v>
      </c>
      <c r="Q3653" t="s">
        <v>7652</v>
      </c>
    </row>
    <row r="3654" spans="1:17" x14ac:dyDescent="0.3">
      <c r="A3654" t="s">
        <v>4664</v>
      </c>
      <c r="B3654" t="str">
        <f>"002993"</f>
        <v>002993</v>
      </c>
      <c r="C3654" t="s">
        <v>7653</v>
      </c>
      <c r="D3654" t="s">
        <v>313</v>
      </c>
      <c r="F3654">
        <v>250214436</v>
      </c>
      <c r="G3654">
        <v>238005620</v>
      </c>
      <c r="H3654">
        <v>156298406</v>
      </c>
      <c r="P3654">
        <v>145</v>
      </c>
      <c r="Q3654" t="s">
        <v>7654</v>
      </c>
    </row>
    <row r="3655" spans="1:17" x14ac:dyDescent="0.3">
      <c r="A3655" t="s">
        <v>4664</v>
      </c>
      <c r="B3655" t="str">
        <f>"002995"</f>
        <v>002995</v>
      </c>
      <c r="C3655" t="s">
        <v>7655</v>
      </c>
      <c r="D3655" t="s">
        <v>207</v>
      </c>
      <c r="F3655">
        <v>69158852</v>
      </c>
      <c r="G3655">
        <v>71854483</v>
      </c>
      <c r="H3655">
        <v>64627769</v>
      </c>
      <c r="P3655">
        <v>74</v>
      </c>
      <c r="Q3655" t="s">
        <v>7656</v>
      </c>
    </row>
    <row r="3656" spans="1:17" x14ac:dyDescent="0.3">
      <c r="A3656" t="s">
        <v>4664</v>
      </c>
      <c r="B3656" t="str">
        <f>"002996"</f>
        <v>002996</v>
      </c>
      <c r="C3656" t="s">
        <v>7657</v>
      </c>
      <c r="D3656" t="s">
        <v>504</v>
      </c>
      <c r="F3656">
        <v>228389999</v>
      </c>
      <c r="G3656">
        <v>112004028</v>
      </c>
      <c r="H3656">
        <v>101573642</v>
      </c>
      <c r="P3656">
        <v>73</v>
      </c>
      <c r="Q3656" t="s">
        <v>7658</v>
      </c>
    </row>
    <row r="3657" spans="1:17" x14ac:dyDescent="0.3">
      <c r="A3657" t="s">
        <v>4664</v>
      </c>
      <c r="B3657" t="str">
        <f>"002997"</f>
        <v>002997</v>
      </c>
      <c r="C3657" t="s">
        <v>7659</v>
      </c>
      <c r="D3657" t="s">
        <v>985</v>
      </c>
      <c r="F3657">
        <v>87633664</v>
      </c>
      <c r="G3657">
        <v>78095834</v>
      </c>
      <c r="H3657">
        <v>63821126</v>
      </c>
      <c r="P3657">
        <v>85</v>
      </c>
      <c r="Q3657" t="s">
        <v>7660</v>
      </c>
    </row>
    <row r="3658" spans="1:17" x14ac:dyDescent="0.3">
      <c r="A3658" t="s">
        <v>4664</v>
      </c>
      <c r="B3658" t="str">
        <f>"002998"</f>
        <v>002998</v>
      </c>
      <c r="C3658" t="s">
        <v>7661</v>
      </c>
      <c r="D3658" t="s">
        <v>2708</v>
      </c>
      <c r="F3658">
        <v>80803585</v>
      </c>
      <c r="G3658">
        <v>85464313</v>
      </c>
      <c r="H3658">
        <v>47219000</v>
      </c>
      <c r="P3658">
        <v>36</v>
      </c>
      <c r="Q3658" t="s">
        <v>7662</v>
      </c>
    </row>
    <row r="3659" spans="1:17" x14ac:dyDescent="0.3">
      <c r="A3659" t="s">
        <v>4664</v>
      </c>
      <c r="B3659" t="str">
        <f>"002999"</f>
        <v>002999</v>
      </c>
      <c r="C3659" t="s">
        <v>7663</v>
      </c>
      <c r="D3659" t="s">
        <v>5489</v>
      </c>
      <c r="F3659">
        <v>82614128</v>
      </c>
      <c r="G3659">
        <v>69746546</v>
      </c>
      <c r="H3659">
        <v>29768516</v>
      </c>
      <c r="P3659">
        <v>45</v>
      </c>
      <c r="Q3659" t="s">
        <v>7664</v>
      </c>
    </row>
    <row r="3660" spans="1:17" x14ac:dyDescent="0.3">
      <c r="A3660" t="s">
        <v>4664</v>
      </c>
      <c r="B3660" t="str">
        <f>"003000"</f>
        <v>003000</v>
      </c>
      <c r="C3660" t="s">
        <v>7665</v>
      </c>
      <c r="D3660" t="s">
        <v>3167</v>
      </c>
      <c r="F3660">
        <v>64014076</v>
      </c>
      <c r="G3660">
        <v>84656888</v>
      </c>
      <c r="H3660">
        <v>78732252</v>
      </c>
      <c r="P3660">
        <v>84</v>
      </c>
      <c r="Q3660" t="s">
        <v>7666</v>
      </c>
    </row>
    <row r="3661" spans="1:17" x14ac:dyDescent="0.3">
      <c r="A3661" t="s">
        <v>4664</v>
      </c>
      <c r="B3661" t="str">
        <f>"003001"</f>
        <v>003001</v>
      </c>
      <c r="C3661" t="s">
        <v>7667</v>
      </c>
      <c r="D3661" t="s">
        <v>1986</v>
      </c>
      <c r="F3661">
        <v>73872493</v>
      </c>
      <c r="G3661">
        <v>86416993</v>
      </c>
      <c r="H3661">
        <v>83500932</v>
      </c>
      <c r="P3661">
        <v>95</v>
      </c>
      <c r="Q3661" t="s">
        <v>7668</v>
      </c>
    </row>
    <row r="3662" spans="1:17" x14ac:dyDescent="0.3">
      <c r="A3662" t="s">
        <v>4664</v>
      </c>
      <c r="B3662" t="str">
        <f>"003002"</f>
        <v>003002</v>
      </c>
      <c r="C3662" t="s">
        <v>7669</v>
      </c>
      <c r="D3662" t="s">
        <v>2713</v>
      </c>
      <c r="F3662">
        <v>62371567</v>
      </c>
      <c r="G3662">
        <v>69239600</v>
      </c>
      <c r="H3662">
        <v>60853327</v>
      </c>
      <c r="P3662">
        <v>39</v>
      </c>
      <c r="Q3662" t="s">
        <v>7670</v>
      </c>
    </row>
    <row r="3663" spans="1:17" x14ac:dyDescent="0.3">
      <c r="A3663" t="s">
        <v>4664</v>
      </c>
      <c r="B3663" t="str">
        <f>"003003"</f>
        <v>003003</v>
      </c>
      <c r="C3663" t="s">
        <v>7671</v>
      </c>
      <c r="D3663" t="s">
        <v>2439</v>
      </c>
      <c r="F3663">
        <v>23065274</v>
      </c>
      <c r="G3663">
        <v>42941769</v>
      </c>
      <c r="H3663">
        <v>57280385</v>
      </c>
      <c r="J3663">
        <v>42627331</v>
      </c>
      <c r="P3663">
        <v>39</v>
      </c>
      <c r="Q3663" t="s">
        <v>7672</v>
      </c>
    </row>
    <row r="3664" spans="1:17" x14ac:dyDescent="0.3">
      <c r="A3664" t="s">
        <v>4664</v>
      </c>
      <c r="B3664" t="str">
        <f>"003004"</f>
        <v>003004</v>
      </c>
      <c r="C3664" t="s">
        <v>7673</v>
      </c>
      <c r="D3664" t="s">
        <v>2953</v>
      </c>
      <c r="F3664">
        <v>18804825</v>
      </c>
      <c r="G3664">
        <v>21508413</v>
      </c>
      <c r="H3664">
        <v>2387478</v>
      </c>
      <c r="P3664">
        <v>37</v>
      </c>
      <c r="Q3664" t="s">
        <v>7674</v>
      </c>
    </row>
    <row r="3665" spans="1:17" x14ac:dyDescent="0.3">
      <c r="A3665" t="s">
        <v>4664</v>
      </c>
      <c r="B3665" t="str">
        <f>"003005"</f>
        <v>003005</v>
      </c>
      <c r="C3665" t="s">
        <v>7675</v>
      </c>
      <c r="D3665" t="s">
        <v>316</v>
      </c>
      <c r="F3665">
        <v>103000526</v>
      </c>
      <c r="G3665">
        <v>137816492</v>
      </c>
      <c r="H3665">
        <v>87328171</v>
      </c>
      <c r="P3665">
        <v>68</v>
      </c>
      <c r="Q3665" t="s">
        <v>7676</v>
      </c>
    </row>
    <row r="3666" spans="1:17" x14ac:dyDescent="0.3">
      <c r="A3666" t="s">
        <v>4664</v>
      </c>
      <c r="B3666" t="str">
        <f>"003006"</f>
        <v>003006</v>
      </c>
      <c r="C3666" t="s">
        <v>7677</v>
      </c>
      <c r="D3666" t="s">
        <v>2728</v>
      </c>
      <c r="F3666">
        <v>173347298</v>
      </c>
      <c r="G3666">
        <v>130034113</v>
      </c>
      <c r="H3666">
        <v>86275890</v>
      </c>
      <c r="P3666">
        <v>172</v>
      </c>
      <c r="Q3666" t="s">
        <v>7678</v>
      </c>
    </row>
    <row r="3667" spans="1:17" x14ac:dyDescent="0.3">
      <c r="A3667" t="s">
        <v>4664</v>
      </c>
      <c r="B3667" t="str">
        <f>"003007"</f>
        <v>003007</v>
      </c>
      <c r="C3667" t="s">
        <v>7679</v>
      </c>
      <c r="D3667" t="s">
        <v>945</v>
      </c>
      <c r="F3667">
        <v>-94537056</v>
      </c>
      <c r="G3667">
        <v>-13895805</v>
      </c>
      <c r="H3667">
        <v>-24417626</v>
      </c>
      <c r="P3667">
        <v>38</v>
      </c>
      <c r="Q3667" t="s">
        <v>7680</v>
      </c>
    </row>
    <row r="3668" spans="1:17" x14ac:dyDescent="0.3">
      <c r="A3668" t="s">
        <v>4664</v>
      </c>
      <c r="B3668" t="str">
        <f>"003008"</f>
        <v>003008</v>
      </c>
      <c r="C3668" t="s">
        <v>7681</v>
      </c>
      <c r="D3668" t="s">
        <v>2499</v>
      </c>
      <c r="F3668">
        <v>48913617</v>
      </c>
      <c r="G3668">
        <v>67646491</v>
      </c>
      <c r="H3668">
        <v>94379190</v>
      </c>
      <c r="P3668">
        <v>68</v>
      </c>
      <c r="Q3668" t="s">
        <v>7682</v>
      </c>
    </row>
    <row r="3669" spans="1:17" x14ac:dyDescent="0.3">
      <c r="A3669" t="s">
        <v>4664</v>
      </c>
      <c r="B3669" t="str">
        <f>"003009"</f>
        <v>003009</v>
      </c>
      <c r="C3669" t="s">
        <v>7683</v>
      </c>
      <c r="D3669" t="s">
        <v>284</v>
      </c>
      <c r="F3669">
        <v>119577458</v>
      </c>
      <c r="G3669">
        <v>72905752</v>
      </c>
      <c r="H3669">
        <v>58964366</v>
      </c>
      <c r="P3669">
        <v>105</v>
      </c>
      <c r="Q3669" t="s">
        <v>7684</v>
      </c>
    </row>
    <row r="3670" spans="1:17" x14ac:dyDescent="0.3">
      <c r="A3670" t="s">
        <v>4664</v>
      </c>
      <c r="B3670" t="str">
        <f>"003010"</f>
        <v>003010</v>
      </c>
      <c r="C3670" t="s">
        <v>7685</v>
      </c>
      <c r="D3670" t="s">
        <v>3590</v>
      </c>
      <c r="F3670">
        <v>46411146</v>
      </c>
      <c r="G3670">
        <v>64690117</v>
      </c>
      <c r="H3670">
        <v>50062099</v>
      </c>
      <c r="P3670">
        <v>58</v>
      </c>
      <c r="Q3670" t="s">
        <v>7686</v>
      </c>
    </row>
    <row r="3671" spans="1:17" x14ac:dyDescent="0.3">
      <c r="A3671" t="s">
        <v>4664</v>
      </c>
      <c r="B3671" t="str">
        <f>"003011"</f>
        <v>003011</v>
      </c>
      <c r="C3671" t="s">
        <v>7687</v>
      </c>
      <c r="D3671" t="s">
        <v>178</v>
      </c>
      <c r="F3671">
        <v>76934235</v>
      </c>
      <c r="G3671">
        <v>147478187</v>
      </c>
      <c r="H3671">
        <v>99078707</v>
      </c>
      <c r="P3671">
        <v>89</v>
      </c>
      <c r="Q3671" t="s">
        <v>7688</v>
      </c>
    </row>
    <row r="3672" spans="1:17" x14ac:dyDescent="0.3">
      <c r="A3672" t="s">
        <v>4664</v>
      </c>
      <c r="B3672" t="str">
        <f>"003012"</f>
        <v>003012</v>
      </c>
      <c r="C3672" t="s">
        <v>7689</v>
      </c>
      <c r="D3672" t="s">
        <v>178</v>
      </c>
      <c r="F3672">
        <v>390721087</v>
      </c>
      <c r="G3672">
        <v>522552804</v>
      </c>
      <c r="H3672">
        <v>561619016</v>
      </c>
      <c r="P3672">
        <v>120</v>
      </c>
      <c r="Q3672" t="s">
        <v>7690</v>
      </c>
    </row>
    <row r="3673" spans="1:17" x14ac:dyDescent="0.3">
      <c r="A3673" t="s">
        <v>4664</v>
      </c>
      <c r="B3673" t="str">
        <f>"003013"</f>
        <v>003013</v>
      </c>
      <c r="C3673" t="s">
        <v>7691</v>
      </c>
      <c r="D3673" t="s">
        <v>1272</v>
      </c>
      <c r="F3673">
        <v>326196695</v>
      </c>
      <c r="G3673">
        <v>232823357</v>
      </c>
      <c r="H3673">
        <v>191544008</v>
      </c>
      <c r="P3673">
        <v>101</v>
      </c>
      <c r="Q3673" t="s">
        <v>7692</v>
      </c>
    </row>
    <row r="3674" spans="1:17" x14ac:dyDescent="0.3">
      <c r="A3674" t="s">
        <v>4664</v>
      </c>
      <c r="B3674" t="str">
        <f>"003015"</f>
        <v>003015</v>
      </c>
      <c r="C3674" t="s">
        <v>7693</v>
      </c>
      <c r="D3674" t="s">
        <v>164</v>
      </c>
      <c r="F3674">
        <v>68314298</v>
      </c>
      <c r="G3674">
        <v>77124013</v>
      </c>
      <c r="H3674">
        <v>63364466</v>
      </c>
      <c r="P3674">
        <v>46</v>
      </c>
      <c r="Q3674" t="s">
        <v>7694</v>
      </c>
    </row>
    <row r="3675" spans="1:17" x14ac:dyDescent="0.3">
      <c r="A3675" t="s">
        <v>4664</v>
      </c>
      <c r="B3675" t="str">
        <f>"003016"</f>
        <v>003016</v>
      </c>
      <c r="C3675" t="s">
        <v>7695</v>
      </c>
      <c r="D3675" t="s">
        <v>255</v>
      </c>
      <c r="F3675">
        <v>245319132</v>
      </c>
      <c r="G3675">
        <v>119362185</v>
      </c>
      <c r="H3675">
        <v>173810607</v>
      </c>
      <c r="P3675">
        <v>58</v>
      </c>
      <c r="Q3675" t="s">
        <v>7696</v>
      </c>
    </row>
    <row r="3676" spans="1:17" x14ac:dyDescent="0.3">
      <c r="A3676" t="s">
        <v>4664</v>
      </c>
      <c r="B3676" t="str">
        <f>"003017"</f>
        <v>003017</v>
      </c>
      <c r="C3676" t="s">
        <v>7697</v>
      </c>
      <c r="D3676" t="s">
        <v>736</v>
      </c>
      <c r="F3676">
        <v>69485758</v>
      </c>
      <c r="G3676">
        <v>77567372</v>
      </c>
      <c r="H3676">
        <v>56280150</v>
      </c>
      <c r="P3676">
        <v>39</v>
      </c>
      <c r="Q3676" t="s">
        <v>7698</v>
      </c>
    </row>
    <row r="3677" spans="1:17" x14ac:dyDescent="0.3">
      <c r="A3677" t="s">
        <v>4664</v>
      </c>
      <c r="B3677" t="str">
        <f>"003018"</f>
        <v>003018</v>
      </c>
      <c r="C3677" t="s">
        <v>7699</v>
      </c>
      <c r="D3677" t="s">
        <v>485</v>
      </c>
      <c r="F3677">
        <v>101526136</v>
      </c>
      <c r="G3677">
        <v>73268043</v>
      </c>
      <c r="H3677">
        <v>81268869</v>
      </c>
      <c r="P3677">
        <v>38</v>
      </c>
      <c r="Q3677" t="s">
        <v>7700</v>
      </c>
    </row>
    <row r="3678" spans="1:17" x14ac:dyDescent="0.3">
      <c r="A3678" t="s">
        <v>4664</v>
      </c>
      <c r="B3678" t="str">
        <f>"003019"</f>
        <v>003019</v>
      </c>
      <c r="C3678" t="s">
        <v>7701</v>
      </c>
      <c r="D3678" t="s">
        <v>1117</v>
      </c>
      <c r="F3678">
        <v>112513499</v>
      </c>
      <c r="G3678">
        <v>96668057</v>
      </c>
      <c r="H3678">
        <v>98934027</v>
      </c>
      <c r="P3678">
        <v>62</v>
      </c>
      <c r="Q3678" t="s">
        <v>7702</v>
      </c>
    </row>
    <row r="3679" spans="1:17" x14ac:dyDescent="0.3">
      <c r="A3679" t="s">
        <v>4664</v>
      </c>
      <c r="B3679" t="str">
        <f>"003020"</f>
        <v>003020</v>
      </c>
      <c r="C3679" t="s">
        <v>7703</v>
      </c>
      <c r="D3679" t="s">
        <v>143</v>
      </c>
      <c r="F3679">
        <v>125342625</v>
      </c>
      <c r="G3679">
        <v>99662537</v>
      </c>
      <c r="H3679">
        <v>76931943</v>
      </c>
      <c r="P3679">
        <v>78</v>
      </c>
      <c r="Q3679" t="s">
        <v>7704</v>
      </c>
    </row>
    <row r="3680" spans="1:17" x14ac:dyDescent="0.3">
      <c r="A3680" t="s">
        <v>4664</v>
      </c>
      <c r="B3680" t="str">
        <f>"003021"</f>
        <v>003021</v>
      </c>
      <c r="C3680" t="s">
        <v>7705</v>
      </c>
      <c r="D3680" t="s">
        <v>1171</v>
      </c>
      <c r="F3680">
        <v>130993306</v>
      </c>
      <c r="G3680">
        <v>179156320</v>
      </c>
      <c r="H3680">
        <v>232535131</v>
      </c>
      <c r="P3680">
        <v>80</v>
      </c>
      <c r="Q3680" t="s">
        <v>7706</v>
      </c>
    </row>
    <row r="3681" spans="1:17" x14ac:dyDescent="0.3">
      <c r="A3681" t="s">
        <v>4664</v>
      </c>
      <c r="B3681" t="str">
        <f>"003022"</f>
        <v>003022</v>
      </c>
      <c r="C3681" t="s">
        <v>7707</v>
      </c>
      <c r="D3681" t="s">
        <v>478</v>
      </c>
      <c r="F3681">
        <v>822052607</v>
      </c>
      <c r="G3681">
        <v>422866658</v>
      </c>
      <c r="H3681">
        <v>421511614</v>
      </c>
      <c r="P3681">
        <v>205</v>
      </c>
      <c r="Q3681" t="s">
        <v>7708</v>
      </c>
    </row>
    <row r="3682" spans="1:17" x14ac:dyDescent="0.3">
      <c r="A3682" t="s">
        <v>4664</v>
      </c>
      <c r="B3682" t="str">
        <f>"003023"</f>
        <v>003023</v>
      </c>
      <c r="C3682" t="s">
        <v>7709</v>
      </c>
      <c r="D3682" t="s">
        <v>5712</v>
      </c>
      <c r="F3682">
        <v>88804065</v>
      </c>
      <c r="G3682">
        <v>79402187</v>
      </c>
      <c r="H3682">
        <v>65074398</v>
      </c>
      <c r="P3682">
        <v>49</v>
      </c>
      <c r="Q3682" t="s">
        <v>7710</v>
      </c>
    </row>
    <row r="3683" spans="1:17" x14ac:dyDescent="0.3">
      <c r="A3683" t="s">
        <v>4664</v>
      </c>
      <c r="B3683" t="str">
        <f>"003025"</f>
        <v>003025</v>
      </c>
      <c r="C3683" t="s">
        <v>7711</v>
      </c>
      <c r="D3683" t="s">
        <v>2312</v>
      </c>
      <c r="F3683">
        <v>89439711</v>
      </c>
      <c r="G3683">
        <v>74732164</v>
      </c>
      <c r="H3683">
        <v>54372336</v>
      </c>
      <c r="P3683">
        <v>118</v>
      </c>
      <c r="Q3683" t="s">
        <v>7712</v>
      </c>
    </row>
    <row r="3684" spans="1:17" x14ac:dyDescent="0.3">
      <c r="A3684" t="s">
        <v>4664</v>
      </c>
      <c r="B3684" t="str">
        <f>"003026"</f>
        <v>003026</v>
      </c>
      <c r="C3684" t="s">
        <v>7713</v>
      </c>
      <c r="D3684" t="s">
        <v>475</v>
      </c>
      <c r="F3684">
        <v>113559046</v>
      </c>
      <c r="G3684">
        <v>61845759</v>
      </c>
      <c r="H3684">
        <v>48173215</v>
      </c>
      <c r="P3684">
        <v>106</v>
      </c>
      <c r="Q3684" t="s">
        <v>7714</v>
      </c>
    </row>
    <row r="3685" spans="1:17" x14ac:dyDescent="0.3">
      <c r="A3685" t="s">
        <v>4664</v>
      </c>
      <c r="B3685" t="str">
        <f>"003027"</f>
        <v>003027</v>
      </c>
      <c r="C3685" t="s">
        <v>7715</v>
      </c>
      <c r="D3685" t="s">
        <v>663</v>
      </c>
      <c r="F3685">
        <v>125292351</v>
      </c>
      <c r="G3685">
        <v>119073056</v>
      </c>
      <c r="H3685">
        <v>110552412</v>
      </c>
      <c r="P3685">
        <v>58</v>
      </c>
      <c r="Q3685" t="s">
        <v>7716</v>
      </c>
    </row>
    <row r="3686" spans="1:17" x14ac:dyDescent="0.3">
      <c r="A3686" t="s">
        <v>4664</v>
      </c>
      <c r="B3686" t="str">
        <f>"003028"</f>
        <v>003028</v>
      </c>
      <c r="C3686" t="s">
        <v>7717</v>
      </c>
      <c r="D3686" t="s">
        <v>313</v>
      </c>
      <c r="F3686">
        <v>158698789</v>
      </c>
      <c r="G3686">
        <v>124771015</v>
      </c>
      <c r="H3686">
        <v>79455072</v>
      </c>
      <c r="P3686">
        <v>83</v>
      </c>
      <c r="Q3686" t="s">
        <v>7718</v>
      </c>
    </row>
    <row r="3687" spans="1:17" x14ac:dyDescent="0.3">
      <c r="A3687" t="s">
        <v>4664</v>
      </c>
      <c r="B3687" t="str">
        <f>"003029"</f>
        <v>003029</v>
      </c>
      <c r="C3687" t="s">
        <v>7719</v>
      </c>
      <c r="D3687" t="s">
        <v>945</v>
      </c>
      <c r="F3687">
        <v>30064477</v>
      </c>
      <c r="G3687">
        <v>27951922</v>
      </c>
      <c r="H3687">
        <v>26934795</v>
      </c>
      <c r="P3687">
        <v>75</v>
      </c>
      <c r="Q3687" t="s">
        <v>7720</v>
      </c>
    </row>
    <row r="3688" spans="1:17" x14ac:dyDescent="0.3">
      <c r="A3688" t="s">
        <v>4664</v>
      </c>
      <c r="B3688" t="str">
        <f>"003030"</f>
        <v>003030</v>
      </c>
      <c r="C3688" t="s">
        <v>7721</v>
      </c>
      <c r="D3688" t="s">
        <v>445</v>
      </c>
      <c r="F3688">
        <v>42810397</v>
      </c>
      <c r="G3688">
        <v>77153222</v>
      </c>
      <c r="H3688">
        <v>60872081</v>
      </c>
      <c r="P3688">
        <v>60</v>
      </c>
      <c r="Q3688" t="s">
        <v>7722</v>
      </c>
    </row>
    <row r="3689" spans="1:17" x14ac:dyDescent="0.3">
      <c r="A3689" t="s">
        <v>4664</v>
      </c>
      <c r="B3689" t="str">
        <f>"003031"</f>
        <v>003031</v>
      </c>
      <c r="C3689" t="s">
        <v>7723</v>
      </c>
      <c r="D3689" t="s">
        <v>786</v>
      </c>
      <c r="F3689">
        <v>99891233</v>
      </c>
      <c r="G3689">
        <v>80253671</v>
      </c>
      <c r="H3689">
        <v>55344800</v>
      </c>
      <c r="P3689">
        <v>87</v>
      </c>
      <c r="Q3689" t="s">
        <v>7724</v>
      </c>
    </row>
    <row r="3690" spans="1:17" x14ac:dyDescent="0.3">
      <c r="A3690" t="s">
        <v>4664</v>
      </c>
      <c r="B3690" t="str">
        <f>"003032"</f>
        <v>003032</v>
      </c>
      <c r="C3690" t="s">
        <v>7725</v>
      </c>
      <c r="D3690" t="s">
        <v>1336</v>
      </c>
      <c r="F3690">
        <v>63566476</v>
      </c>
      <c r="G3690">
        <v>13782400</v>
      </c>
      <c r="H3690">
        <v>155499700</v>
      </c>
      <c r="P3690">
        <v>59</v>
      </c>
      <c r="Q3690" t="s">
        <v>7726</v>
      </c>
    </row>
    <row r="3691" spans="1:17" x14ac:dyDescent="0.3">
      <c r="A3691" t="s">
        <v>4664</v>
      </c>
      <c r="B3691" t="str">
        <f>"003033"</f>
        <v>003033</v>
      </c>
      <c r="C3691" t="s">
        <v>7727</v>
      </c>
      <c r="D3691" t="s">
        <v>1654</v>
      </c>
      <c r="F3691">
        <v>62435677</v>
      </c>
      <c r="G3691">
        <v>89077707</v>
      </c>
      <c r="H3691">
        <v>60272981</v>
      </c>
      <c r="P3691">
        <v>67</v>
      </c>
      <c r="Q3691" t="s">
        <v>7728</v>
      </c>
    </row>
    <row r="3692" spans="1:17" x14ac:dyDescent="0.3">
      <c r="A3692" t="s">
        <v>4664</v>
      </c>
      <c r="B3692" t="str">
        <f>"003035"</f>
        <v>003035</v>
      </c>
      <c r="C3692" t="s">
        <v>7729</v>
      </c>
      <c r="D3692" t="s">
        <v>239</v>
      </c>
      <c r="F3692">
        <v>304655496</v>
      </c>
      <c r="G3692">
        <v>261152269</v>
      </c>
      <c r="H3692">
        <v>187638098</v>
      </c>
      <c r="P3692">
        <v>278</v>
      </c>
      <c r="Q3692" t="s">
        <v>7730</v>
      </c>
    </row>
    <row r="3693" spans="1:17" x14ac:dyDescent="0.3">
      <c r="A3693" t="s">
        <v>4664</v>
      </c>
      <c r="B3693" t="str">
        <f>"003036"</f>
        <v>003036</v>
      </c>
      <c r="C3693" t="s">
        <v>7731</v>
      </c>
      <c r="D3693" t="s">
        <v>534</v>
      </c>
      <c r="F3693">
        <v>44776805</v>
      </c>
      <c r="G3693">
        <v>42014057</v>
      </c>
      <c r="H3693">
        <v>37548510</v>
      </c>
      <c r="P3693">
        <v>37</v>
      </c>
      <c r="Q3693" t="s">
        <v>7732</v>
      </c>
    </row>
    <row r="3694" spans="1:17" x14ac:dyDescent="0.3">
      <c r="A3694" t="s">
        <v>4664</v>
      </c>
      <c r="B3694" t="str">
        <f>"003037"</f>
        <v>003037</v>
      </c>
      <c r="C3694" t="s">
        <v>7733</v>
      </c>
      <c r="D3694" t="s">
        <v>3320</v>
      </c>
      <c r="F3694">
        <v>63208471</v>
      </c>
      <c r="G3694">
        <v>240360749</v>
      </c>
      <c r="H3694">
        <v>97467454</v>
      </c>
      <c r="P3694">
        <v>40</v>
      </c>
      <c r="Q3694" t="s">
        <v>7734</v>
      </c>
    </row>
    <row r="3695" spans="1:17" x14ac:dyDescent="0.3">
      <c r="A3695" t="s">
        <v>4664</v>
      </c>
      <c r="B3695" t="str">
        <f>"003038"</f>
        <v>003038</v>
      </c>
      <c r="C3695" t="s">
        <v>7735</v>
      </c>
      <c r="D3695" t="s">
        <v>504</v>
      </c>
      <c r="F3695">
        <v>81522329</v>
      </c>
      <c r="G3695">
        <v>61838331</v>
      </c>
      <c r="P3695">
        <v>74</v>
      </c>
      <c r="Q3695" t="s">
        <v>7736</v>
      </c>
    </row>
    <row r="3696" spans="1:17" x14ac:dyDescent="0.3">
      <c r="A3696" t="s">
        <v>4664</v>
      </c>
      <c r="B3696" t="str">
        <f>"003039"</f>
        <v>003039</v>
      </c>
      <c r="C3696" t="s">
        <v>7737</v>
      </c>
      <c r="D3696" t="s">
        <v>33</v>
      </c>
      <c r="F3696">
        <v>198791007</v>
      </c>
      <c r="P3696">
        <v>64</v>
      </c>
      <c r="Q3696" t="s">
        <v>7738</v>
      </c>
    </row>
    <row r="3697" spans="1:17" x14ac:dyDescent="0.3">
      <c r="A3697" t="s">
        <v>4664</v>
      </c>
      <c r="B3697" t="str">
        <f>"003040"</f>
        <v>003040</v>
      </c>
      <c r="C3697" t="s">
        <v>7739</v>
      </c>
      <c r="D3697" t="s">
        <v>786</v>
      </c>
      <c r="F3697">
        <v>27310539</v>
      </c>
      <c r="G3697">
        <v>52941852</v>
      </c>
      <c r="P3697">
        <v>61</v>
      </c>
      <c r="Q3697" t="s">
        <v>7740</v>
      </c>
    </row>
    <row r="3698" spans="1:17" x14ac:dyDescent="0.3">
      <c r="A3698" t="s">
        <v>4664</v>
      </c>
      <c r="B3698" t="str">
        <f>"003041"</f>
        <v>003041</v>
      </c>
      <c r="C3698" t="s">
        <v>7741</v>
      </c>
      <c r="D3698" t="s">
        <v>2862</v>
      </c>
      <c r="F3698">
        <v>84647078</v>
      </c>
      <c r="P3698">
        <v>30</v>
      </c>
      <c r="Q3698" t="s">
        <v>7742</v>
      </c>
    </row>
    <row r="3699" spans="1:17" x14ac:dyDescent="0.3">
      <c r="A3699" t="s">
        <v>4664</v>
      </c>
      <c r="B3699" t="str">
        <f>"003042"</f>
        <v>003042</v>
      </c>
      <c r="C3699" t="s">
        <v>7743</v>
      </c>
      <c r="D3699" t="s">
        <v>853</v>
      </c>
      <c r="F3699">
        <v>46327317</v>
      </c>
      <c r="G3699">
        <v>81144298</v>
      </c>
      <c r="H3699">
        <v>134562107</v>
      </c>
      <c r="P3699">
        <v>29</v>
      </c>
      <c r="Q3699" t="s">
        <v>7744</v>
      </c>
    </row>
    <row r="3700" spans="1:17" x14ac:dyDescent="0.3">
      <c r="A3700" t="s">
        <v>4664</v>
      </c>
      <c r="B3700" t="str">
        <f>"003043"</f>
        <v>003043</v>
      </c>
      <c r="C3700" t="s">
        <v>7745</v>
      </c>
      <c r="D3700" t="s">
        <v>3160</v>
      </c>
      <c r="F3700">
        <v>82772415</v>
      </c>
      <c r="P3700">
        <v>46</v>
      </c>
      <c r="Q3700" t="s">
        <v>7746</v>
      </c>
    </row>
    <row r="3701" spans="1:17" x14ac:dyDescent="0.3">
      <c r="A3701" t="s">
        <v>4664</v>
      </c>
      <c r="B3701" t="str">
        <f>"003816"</f>
        <v>003816</v>
      </c>
      <c r="C3701" t="s">
        <v>7747</v>
      </c>
      <c r="D3701" t="s">
        <v>2372</v>
      </c>
      <c r="F3701">
        <v>8710640903</v>
      </c>
      <c r="G3701">
        <v>8184662486</v>
      </c>
      <c r="H3701">
        <v>8298333285</v>
      </c>
      <c r="I3701">
        <v>6779659559</v>
      </c>
      <c r="J3701">
        <v>8809461132</v>
      </c>
      <c r="P3701">
        <v>523</v>
      </c>
      <c r="Q3701" t="s">
        <v>7748</v>
      </c>
    </row>
    <row r="3702" spans="1:17" x14ac:dyDescent="0.3">
      <c r="A3702" t="s">
        <v>4664</v>
      </c>
      <c r="B3702" t="str">
        <f>"200002"</f>
        <v>200002</v>
      </c>
      <c r="C3702" t="s">
        <v>7749</v>
      </c>
      <c r="K3702">
        <v>9601712973.7663002</v>
      </c>
      <c r="L3702">
        <v>8354898744.4268999</v>
      </c>
      <c r="M3702">
        <v>8174059477.2376003</v>
      </c>
      <c r="N3702">
        <v>7811773562.9707003</v>
      </c>
      <c r="O3702">
        <v>6270612589.5425997</v>
      </c>
      <c r="P3702">
        <v>22</v>
      </c>
      <c r="Q3702" t="s">
        <v>7750</v>
      </c>
    </row>
    <row r="3703" spans="1:17" x14ac:dyDescent="0.3">
      <c r="A3703" t="s">
        <v>4664</v>
      </c>
      <c r="B3703" t="str">
        <f>"200011"</f>
        <v>200011</v>
      </c>
      <c r="C3703" t="s">
        <v>7751</v>
      </c>
      <c r="F3703">
        <v>932775715.91199994</v>
      </c>
      <c r="G3703">
        <v>218753830.36880001</v>
      </c>
      <c r="H3703">
        <v>112984226.32439999</v>
      </c>
      <c r="I3703">
        <v>164245337.9181</v>
      </c>
      <c r="J3703">
        <v>676016326.92509997</v>
      </c>
      <c r="K3703">
        <v>-8370008.9806000004</v>
      </c>
      <c r="L3703">
        <v>56624974.619999997</v>
      </c>
      <c r="M3703">
        <v>408979865.61089998</v>
      </c>
      <c r="N3703">
        <v>451774342.0377</v>
      </c>
      <c r="O3703">
        <v>215581490.50960001</v>
      </c>
      <c r="P3703">
        <v>176</v>
      </c>
      <c r="Q3703" t="s">
        <v>7752</v>
      </c>
    </row>
    <row r="3704" spans="1:17" x14ac:dyDescent="0.3">
      <c r="A3704" t="s">
        <v>4664</v>
      </c>
      <c r="B3704" t="str">
        <f>"200012"</f>
        <v>200012</v>
      </c>
      <c r="C3704" t="s">
        <v>7753</v>
      </c>
      <c r="F3704">
        <v>1817987267.4841001</v>
      </c>
      <c r="G3704">
        <v>826321929.7191</v>
      </c>
      <c r="H3704">
        <v>596730471.26339996</v>
      </c>
      <c r="I3704">
        <v>534370420.61580002</v>
      </c>
      <c r="J3704">
        <v>834229641.59430003</v>
      </c>
      <c r="K3704">
        <v>830784491.63730001</v>
      </c>
      <c r="L3704">
        <v>480331155.09299999</v>
      </c>
      <c r="M3704">
        <v>933186232.91369998</v>
      </c>
      <c r="N3704">
        <v>795926027.46150005</v>
      </c>
      <c r="O3704">
        <v>497180103.93839997</v>
      </c>
      <c r="P3704">
        <v>85</v>
      </c>
      <c r="Q3704" t="s">
        <v>7754</v>
      </c>
    </row>
    <row r="3705" spans="1:17" x14ac:dyDescent="0.3">
      <c r="A3705" t="s">
        <v>4664</v>
      </c>
      <c r="B3705" t="str">
        <f>"200015"</f>
        <v>200015</v>
      </c>
      <c r="C3705" t="s">
        <v>7755</v>
      </c>
      <c r="K3705">
        <v>22045259.2051</v>
      </c>
      <c r="L3705">
        <v>-32940745.611099999</v>
      </c>
      <c r="M3705">
        <v>-35725169.651500002</v>
      </c>
      <c r="N3705">
        <v>-35845851.174199998</v>
      </c>
      <c r="O3705">
        <v>-34917932.8979</v>
      </c>
      <c r="P3705">
        <v>0</v>
      </c>
      <c r="Q3705" t="s">
        <v>7756</v>
      </c>
    </row>
    <row r="3706" spans="1:17" x14ac:dyDescent="0.3">
      <c r="A3706" t="s">
        <v>4664</v>
      </c>
      <c r="B3706" t="str">
        <f>"200016"</f>
        <v>200016</v>
      </c>
      <c r="C3706" t="s">
        <v>7757</v>
      </c>
      <c r="F3706">
        <v>-152172159.19400001</v>
      </c>
      <c r="G3706">
        <v>699606975.75030005</v>
      </c>
      <c r="H3706">
        <v>493875133.85439998</v>
      </c>
      <c r="I3706">
        <v>489624694.23989999</v>
      </c>
      <c r="J3706">
        <v>151174717.3017</v>
      </c>
      <c r="K3706">
        <v>-51517005.129699998</v>
      </c>
      <c r="L3706">
        <v>-1038758218.0572</v>
      </c>
      <c r="M3706">
        <v>60221063.053499997</v>
      </c>
      <c r="N3706">
        <v>52719550.637400001</v>
      </c>
      <c r="O3706">
        <v>20815785.952</v>
      </c>
      <c r="P3706">
        <v>36</v>
      </c>
      <c r="Q3706" t="s">
        <v>7758</v>
      </c>
    </row>
    <row r="3707" spans="1:17" x14ac:dyDescent="0.3">
      <c r="A3707" t="s">
        <v>4664</v>
      </c>
      <c r="B3707" t="str">
        <f>"200017"</f>
        <v>200017</v>
      </c>
      <c r="C3707" t="s">
        <v>7759</v>
      </c>
      <c r="F3707">
        <v>2337497.6562000001</v>
      </c>
      <c r="G3707">
        <v>5983749.1335000005</v>
      </c>
      <c r="H3707">
        <v>264431.94520000002</v>
      </c>
      <c r="I3707">
        <v>1235554.4316</v>
      </c>
      <c r="J3707">
        <v>-1599808.6296000001</v>
      </c>
      <c r="K3707">
        <v>2417828.0728000002</v>
      </c>
      <c r="L3707">
        <v>655898.62230000005</v>
      </c>
      <c r="M3707">
        <v>4288333.3584000003</v>
      </c>
      <c r="N3707">
        <v>-34191784.1043</v>
      </c>
      <c r="O3707">
        <v>-59467611.304799996</v>
      </c>
      <c r="P3707">
        <v>3</v>
      </c>
      <c r="Q3707" t="s">
        <v>7760</v>
      </c>
    </row>
    <row r="3708" spans="1:17" x14ac:dyDescent="0.3">
      <c r="A3708" t="s">
        <v>4664</v>
      </c>
      <c r="B3708" t="str">
        <f>"200018"</f>
        <v>200018</v>
      </c>
      <c r="C3708" t="s">
        <v>7761</v>
      </c>
      <c r="H3708">
        <v>-1675783108.0177</v>
      </c>
      <c r="I3708">
        <v>29027268.389400002</v>
      </c>
      <c r="J3708">
        <v>481593663.67979997</v>
      </c>
      <c r="K3708">
        <v>352309173.80669999</v>
      </c>
      <c r="L3708">
        <v>295617807.58240002</v>
      </c>
      <c r="M3708">
        <v>1484783.8100999999</v>
      </c>
      <c r="N3708">
        <v>-673881.02099999995</v>
      </c>
      <c r="O3708">
        <v>-7591873.5376000004</v>
      </c>
      <c r="P3708">
        <v>13</v>
      </c>
      <c r="Q3708" t="s">
        <v>7762</v>
      </c>
    </row>
    <row r="3709" spans="1:17" x14ac:dyDescent="0.3">
      <c r="A3709" t="s">
        <v>4664</v>
      </c>
      <c r="B3709" t="str">
        <f>"200019"</f>
        <v>200019</v>
      </c>
      <c r="C3709" t="s">
        <v>7763</v>
      </c>
      <c r="F3709">
        <v>357555684.03359997</v>
      </c>
      <c r="G3709">
        <v>352942884.31209999</v>
      </c>
      <c r="H3709">
        <v>361107652.19120002</v>
      </c>
      <c r="I3709">
        <v>-34143637.419299997</v>
      </c>
      <c r="J3709">
        <v>-30962209.0068</v>
      </c>
      <c r="K3709">
        <v>-32026329.007300001</v>
      </c>
      <c r="L3709">
        <v>-10031820.033600001</v>
      </c>
      <c r="M3709">
        <v>-42870684.178199999</v>
      </c>
      <c r="N3709">
        <v>68761662.368399993</v>
      </c>
      <c r="O3709">
        <v>105710590.54000001</v>
      </c>
      <c r="P3709">
        <v>23</v>
      </c>
      <c r="Q3709" t="s">
        <v>7764</v>
      </c>
    </row>
    <row r="3710" spans="1:17" x14ac:dyDescent="0.3">
      <c r="A3710" t="s">
        <v>4664</v>
      </c>
      <c r="B3710" t="str">
        <f>"200020"</f>
        <v>200020</v>
      </c>
      <c r="C3710" t="s">
        <v>7765</v>
      </c>
      <c r="F3710">
        <v>9830525.2609999999</v>
      </c>
      <c r="G3710">
        <v>5515199.6733999997</v>
      </c>
      <c r="H3710">
        <v>3701869.6321999999</v>
      </c>
      <c r="I3710">
        <v>566696.55449999997</v>
      </c>
      <c r="J3710">
        <v>408764.8137</v>
      </c>
      <c r="K3710">
        <v>5240337.7149</v>
      </c>
      <c r="L3710">
        <v>24371360.651700001</v>
      </c>
      <c r="M3710">
        <v>1253923.9272</v>
      </c>
      <c r="N3710">
        <v>1024730.0523</v>
      </c>
      <c r="O3710">
        <v>7766344.8679999998</v>
      </c>
      <c r="P3710">
        <v>6</v>
      </c>
      <c r="Q3710" t="s">
        <v>7766</v>
      </c>
    </row>
    <row r="3711" spans="1:17" x14ac:dyDescent="0.3">
      <c r="A3711" t="s">
        <v>4664</v>
      </c>
      <c r="B3711" t="str">
        <f>"200022"</f>
        <v>200022</v>
      </c>
      <c r="C3711" t="s">
        <v>7767</v>
      </c>
      <c r="I3711">
        <v>516259423.1886</v>
      </c>
      <c r="J3711">
        <v>516748765.83359998</v>
      </c>
      <c r="K3711">
        <v>496495888.01719999</v>
      </c>
      <c r="L3711">
        <v>508902702.71619999</v>
      </c>
      <c r="M3711">
        <v>464132891.03329998</v>
      </c>
      <c r="N3711">
        <v>566575976.51639998</v>
      </c>
      <c r="O3711">
        <v>452327425.72000003</v>
      </c>
      <c r="P3711">
        <v>41</v>
      </c>
      <c r="Q3711" t="s">
        <v>7768</v>
      </c>
    </row>
    <row r="3712" spans="1:17" x14ac:dyDescent="0.3">
      <c r="A3712" t="s">
        <v>4664</v>
      </c>
      <c r="B3712" t="str">
        <f>"200024"</f>
        <v>200024</v>
      </c>
      <c r="C3712" t="s">
        <v>7769</v>
      </c>
      <c r="L3712">
        <v>2704747081.2841001</v>
      </c>
      <c r="M3712">
        <v>2836013046.9844999</v>
      </c>
      <c r="N3712">
        <v>4571792027.5542002</v>
      </c>
      <c r="O3712">
        <v>2985669839.3504</v>
      </c>
      <c r="P3712">
        <v>0</v>
      </c>
      <c r="Q3712" t="s">
        <v>7770</v>
      </c>
    </row>
    <row r="3713" spans="1:17" x14ac:dyDescent="0.3">
      <c r="A3713" t="s">
        <v>4664</v>
      </c>
      <c r="B3713" t="str">
        <f>"200025"</f>
        <v>200025</v>
      </c>
      <c r="C3713" t="s">
        <v>7771</v>
      </c>
      <c r="F3713">
        <v>84270094.436000004</v>
      </c>
      <c r="G3713">
        <v>45064296.676799998</v>
      </c>
      <c r="H3713">
        <v>70208356.597000003</v>
      </c>
      <c r="I3713">
        <v>40825862.2905</v>
      </c>
      <c r="J3713">
        <v>47641424.112000003</v>
      </c>
      <c r="K3713">
        <v>30464846.614</v>
      </c>
      <c r="L3713">
        <v>22787495.175900001</v>
      </c>
      <c r="M3713">
        <v>5262209.7692999998</v>
      </c>
      <c r="N3713">
        <v>25711361.550000001</v>
      </c>
      <c r="O3713">
        <v>-9056631.0935999993</v>
      </c>
      <c r="P3713">
        <v>7</v>
      </c>
      <c r="Q3713" t="s">
        <v>7772</v>
      </c>
    </row>
    <row r="3714" spans="1:17" x14ac:dyDescent="0.3">
      <c r="A3714" t="s">
        <v>4664</v>
      </c>
      <c r="B3714" t="str">
        <f>"200026"</f>
        <v>200026</v>
      </c>
      <c r="C3714" t="s">
        <v>7773</v>
      </c>
      <c r="F3714">
        <v>412499862.76459998</v>
      </c>
      <c r="G3714">
        <v>244191663.1796</v>
      </c>
      <c r="H3714">
        <v>195942537.66949999</v>
      </c>
      <c r="I3714">
        <v>185287252.17539999</v>
      </c>
      <c r="J3714">
        <v>160211830.58489999</v>
      </c>
      <c r="K3714">
        <v>125880145.54279999</v>
      </c>
      <c r="L3714">
        <v>129952860.1674</v>
      </c>
      <c r="M3714">
        <v>160806578.7297</v>
      </c>
      <c r="N3714">
        <v>132883194.6648</v>
      </c>
      <c r="O3714">
        <v>116892131.37199999</v>
      </c>
      <c r="P3714">
        <v>52</v>
      </c>
      <c r="Q3714" t="s">
        <v>7774</v>
      </c>
    </row>
    <row r="3715" spans="1:17" x14ac:dyDescent="0.3">
      <c r="A3715" t="s">
        <v>4664</v>
      </c>
      <c r="B3715" t="str">
        <f>"200028"</f>
        <v>200028</v>
      </c>
      <c r="C3715" t="s">
        <v>7775</v>
      </c>
      <c r="F3715">
        <v>1293390366.6275001</v>
      </c>
      <c r="G3715">
        <v>1134155234.6273999</v>
      </c>
      <c r="H3715">
        <v>1054798540.6521</v>
      </c>
      <c r="I3715">
        <v>1055913315.387</v>
      </c>
      <c r="J3715">
        <v>942281112.4497</v>
      </c>
      <c r="K3715">
        <v>839980184.28890002</v>
      </c>
      <c r="L3715">
        <v>699736764.25590003</v>
      </c>
      <c r="M3715">
        <v>640050287.58029997</v>
      </c>
      <c r="N3715">
        <v>503036395.59960002</v>
      </c>
      <c r="O3715">
        <v>440774157.67199999</v>
      </c>
      <c r="P3715">
        <v>209</v>
      </c>
      <c r="Q3715" t="s">
        <v>7776</v>
      </c>
    </row>
    <row r="3716" spans="1:17" x14ac:dyDescent="0.3">
      <c r="A3716" t="s">
        <v>4664</v>
      </c>
      <c r="B3716" t="str">
        <f>"200029"</f>
        <v>200029</v>
      </c>
      <c r="C3716" t="s">
        <v>7777</v>
      </c>
      <c r="F3716">
        <v>196918288.83329999</v>
      </c>
      <c r="G3716">
        <v>226061513.19510001</v>
      </c>
      <c r="H3716">
        <v>481843034.15369999</v>
      </c>
      <c r="I3716">
        <v>426023816.91060001</v>
      </c>
      <c r="J3716">
        <v>175505657.63550001</v>
      </c>
      <c r="K3716">
        <v>275272583.92460001</v>
      </c>
      <c r="L3716">
        <v>285213181.55970001</v>
      </c>
      <c r="M3716">
        <v>72150947.514599994</v>
      </c>
      <c r="N3716">
        <v>21023405.0865</v>
      </c>
      <c r="O3716">
        <v>78276507.268000007</v>
      </c>
      <c r="P3716">
        <v>18</v>
      </c>
      <c r="Q3716" t="s">
        <v>7778</v>
      </c>
    </row>
    <row r="3717" spans="1:17" x14ac:dyDescent="0.3">
      <c r="A3717" t="s">
        <v>4664</v>
      </c>
      <c r="B3717" t="str">
        <f>"200030"</f>
        <v>200030</v>
      </c>
      <c r="C3717" t="s">
        <v>7779</v>
      </c>
      <c r="F3717">
        <v>775841063.07089996</v>
      </c>
      <c r="G3717">
        <v>789273780.7881</v>
      </c>
      <c r="H3717">
        <v>676561418.02830005</v>
      </c>
      <c r="I3717">
        <v>753077718.57840002</v>
      </c>
      <c r="J3717">
        <v>756259708.97880006</v>
      </c>
      <c r="K3717">
        <v>603275763.30569994</v>
      </c>
      <c r="L3717">
        <v>442273836.53549999</v>
      </c>
      <c r="M3717">
        <v>602895512.19630003</v>
      </c>
      <c r="N3717">
        <v>515844634.21740001</v>
      </c>
      <c r="O3717">
        <v>-2550129.6784000001</v>
      </c>
      <c r="P3717">
        <v>132</v>
      </c>
      <c r="Q3717" t="s">
        <v>7780</v>
      </c>
    </row>
    <row r="3718" spans="1:17" x14ac:dyDescent="0.3">
      <c r="A3718" t="s">
        <v>4664</v>
      </c>
      <c r="B3718" t="str">
        <f>"200037"</f>
        <v>200037</v>
      </c>
      <c r="C3718" t="s">
        <v>7781</v>
      </c>
      <c r="F3718">
        <v>-53059367.286200002</v>
      </c>
      <c r="G3718">
        <v>145671454.03380001</v>
      </c>
      <c r="H3718">
        <v>9344293.3166000005</v>
      </c>
      <c r="I3718">
        <v>42346495.8618</v>
      </c>
      <c r="J3718">
        <v>-2527593.2579999999</v>
      </c>
      <c r="K3718">
        <v>-74559820.027600005</v>
      </c>
      <c r="L3718">
        <v>-88703598.4287</v>
      </c>
      <c r="M3718">
        <v>-112897711.1508</v>
      </c>
      <c r="N3718">
        <v>-249548593.75650001</v>
      </c>
      <c r="O3718">
        <v>-246370256.98879999</v>
      </c>
      <c r="P3718">
        <v>9</v>
      </c>
      <c r="Q3718" t="s">
        <v>7782</v>
      </c>
    </row>
    <row r="3719" spans="1:17" x14ac:dyDescent="0.3">
      <c r="A3719" t="s">
        <v>4664</v>
      </c>
      <c r="B3719" t="str">
        <f>"200039"</f>
        <v>200039</v>
      </c>
      <c r="C3719" t="s">
        <v>7783</v>
      </c>
      <c r="K3719">
        <v>-220370185.09999999</v>
      </c>
      <c r="L3719">
        <v>2102112502.2</v>
      </c>
      <c r="M3719">
        <v>2052552781.8</v>
      </c>
      <c r="N3719">
        <v>1238737144.5</v>
      </c>
      <c r="O3719">
        <v>1955701889.5999999</v>
      </c>
      <c r="P3719">
        <v>0</v>
      </c>
      <c r="Q3719" t="s">
        <v>7784</v>
      </c>
    </row>
    <row r="3720" spans="1:17" x14ac:dyDescent="0.3">
      <c r="A3720" t="s">
        <v>4664</v>
      </c>
      <c r="B3720" t="str">
        <f>"200045"</f>
        <v>200045</v>
      </c>
      <c r="C3720" t="s">
        <v>7785</v>
      </c>
      <c r="F3720">
        <v>98163850.330599993</v>
      </c>
      <c r="G3720">
        <v>28929726.798099998</v>
      </c>
      <c r="H3720">
        <v>18520186.182799999</v>
      </c>
      <c r="I3720">
        <v>13975343.3769</v>
      </c>
      <c r="J3720">
        <v>39539686.7082</v>
      </c>
      <c r="K3720">
        <v>-60927639.797300003</v>
      </c>
      <c r="L3720">
        <v>7536011.3636999996</v>
      </c>
      <c r="M3720">
        <v>-48352935.892499998</v>
      </c>
      <c r="N3720">
        <v>9405507.8447999991</v>
      </c>
      <c r="O3720">
        <v>-75001985.996800005</v>
      </c>
      <c r="P3720">
        <v>6</v>
      </c>
      <c r="Q3720" t="s">
        <v>7786</v>
      </c>
    </row>
    <row r="3721" spans="1:17" x14ac:dyDescent="0.3">
      <c r="A3721" t="s">
        <v>4664</v>
      </c>
      <c r="B3721" t="str">
        <f>"200053"</f>
        <v>200053</v>
      </c>
      <c r="C3721" t="s">
        <v>7787</v>
      </c>
      <c r="J3721">
        <v>-13105040.593800001</v>
      </c>
      <c r="K3721">
        <v>28389004.769000001</v>
      </c>
      <c r="L3721">
        <v>86293003.594099998</v>
      </c>
      <c r="M3721">
        <v>227072243.81760001</v>
      </c>
      <c r="N3721">
        <v>191437860.92559999</v>
      </c>
      <c r="O3721">
        <v>153942798.49959999</v>
      </c>
      <c r="P3721">
        <v>15</v>
      </c>
      <c r="Q3721" t="s">
        <v>7788</v>
      </c>
    </row>
    <row r="3722" spans="1:17" x14ac:dyDescent="0.3">
      <c r="A3722" t="s">
        <v>4664</v>
      </c>
      <c r="B3722" t="str">
        <f>"200054"</f>
        <v>200054</v>
      </c>
      <c r="C3722" t="s">
        <v>7789</v>
      </c>
      <c r="F3722">
        <v>-12142369.5667</v>
      </c>
      <c r="G3722">
        <v>6567666.6579999998</v>
      </c>
      <c r="H3722">
        <v>-66983490.383699998</v>
      </c>
      <c r="I3722">
        <v>73462132.097100005</v>
      </c>
      <c r="J3722">
        <v>17133934.559999999</v>
      </c>
      <c r="K3722">
        <v>14894529.948899999</v>
      </c>
      <c r="L3722">
        <v>-165535833.66510001</v>
      </c>
      <c r="M3722">
        <v>-126089684.5698</v>
      </c>
      <c r="N3722">
        <v>-77968401.878700003</v>
      </c>
      <c r="O3722">
        <v>-74530409.399200007</v>
      </c>
      <c r="P3722">
        <v>7</v>
      </c>
      <c r="Q3722" t="s">
        <v>7790</v>
      </c>
    </row>
    <row r="3723" spans="1:17" x14ac:dyDescent="0.3">
      <c r="A3723" t="s">
        <v>4664</v>
      </c>
      <c r="B3723" t="str">
        <f>"200055"</f>
        <v>200055</v>
      </c>
      <c r="C3723" t="s">
        <v>7791</v>
      </c>
      <c r="F3723">
        <v>213159755.56029999</v>
      </c>
      <c r="G3723">
        <v>245154039.93439999</v>
      </c>
      <c r="H3723">
        <v>171077629.25189999</v>
      </c>
      <c r="I3723">
        <v>366186486.1128</v>
      </c>
      <c r="J3723">
        <v>423819157.3143</v>
      </c>
      <c r="K3723">
        <v>132777465.8669</v>
      </c>
      <c r="L3723">
        <v>87219108.650999993</v>
      </c>
      <c r="M3723">
        <v>75056511.217199996</v>
      </c>
      <c r="N3723">
        <v>71919090.609300002</v>
      </c>
      <c r="O3723">
        <v>22686140.191199999</v>
      </c>
      <c r="P3723">
        <v>71</v>
      </c>
      <c r="Q3723" t="s">
        <v>7792</v>
      </c>
    </row>
    <row r="3724" spans="1:17" x14ac:dyDescent="0.3">
      <c r="A3724" t="s">
        <v>4664</v>
      </c>
      <c r="B3724" t="str">
        <f>"200056"</f>
        <v>200056</v>
      </c>
      <c r="C3724" t="s">
        <v>7793</v>
      </c>
      <c r="F3724">
        <v>-31355012.044599999</v>
      </c>
      <c r="G3724">
        <v>33813954.929799996</v>
      </c>
      <c r="H3724">
        <v>130380870.5485</v>
      </c>
      <c r="I3724">
        <v>173020489.3134</v>
      </c>
      <c r="J3724">
        <v>189759258.0255</v>
      </c>
      <c r="K3724">
        <v>86807174.496099994</v>
      </c>
      <c r="L3724">
        <v>36609726.1017</v>
      </c>
      <c r="M3724">
        <v>-200992380.32879999</v>
      </c>
      <c r="N3724">
        <v>3073552680.4938002</v>
      </c>
      <c r="O3724">
        <v>59830365.667199999</v>
      </c>
      <c r="P3724">
        <v>13</v>
      </c>
      <c r="Q3724" t="s">
        <v>7794</v>
      </c>
    </row>
    <row r="3725" spans="1:17" x14ac:dyDescent="0.3">
      <c r="A3725" t="s">
        <v>4664</v>
      </c>
      <c r="B3725" t="str">
        <f>"200058"</f>
        <v>200058</v>
      </c>
      <c r="C3725" t="s">
        <v>7795</v>
      </c>
      <c r="F3725">
        <v>64378509.336199999</v>
      </c>
      <c r="G3725">
        <v>106094051.6311</v>
      </c>
      <c r="H3725">
        <v>120875459.5024</v>
      </c>
      <c r="I3725">
        <v>157271734.68419999</v>
      </c>
      <c r="J3725">
        <v>81184223.164499998</v>
      </c>
      <c r="K3725">
        <v>49131800.690200001</v>
      </c>
      <c r="L3725">
        <v>51421299.1527</v>
      </c>
      <c r="M3725">
        <v>58969133.869499996</v>
      </c>
      <c r="N3725">
        <v>71274578.784299999</v>
      </c>
      <c r="O3725">
        <v>55839266.555200003</v>
      </c>
      <c r="P3725">
        <v>7</v>
      </c>
      <c r="Q3725" t="s">
        <v>7796</v>
      </c>
    </row>
    <row r="3726" spans="1:17" x14ac:dyDescent="0.3">
      <c r="A3726" t="s">
        <v>4664</v>
      </c>
      <c r="B3726" t="str">
        <f>"200152"</f>
        <v>200152</v>
      </c>
      <c r="C3726" t="s">
        <v>7797</v>
      </c>
      <c r="F3726">
        <v>-1364331947.036</v>
      </c>
      <c r="G3726">
        <v>-1913529134.6489999</v>
      </c>
      <c r="H3726">
        <v>760926169.35450006</v>
      </c>
      <c r="I3726">
        <v>930199310.76090002</v>
      </c>
      <c r="J3726">
        <v>882619983.09630001</v>
      </c>
      <c r="K3726">
        <v>981710295.40289998</v>
      </c>
      <c r="L3726">
        <v>780321953.58749998</v>
      </c>
      <c r="M3726">
        <v>439316759.3556</v>
      </c>
      <c r="N3726">
        <v>615355285.56570005</v>
      </c>
      <c r="O3726">
        <v>863315906.39999998</v>
      </c>
      <c r="P3726">
        <v>112</v>
      </c>
      <c r="Q3726" t="s">
        <v>7798</v>
      </c>
    </row>
    <row r="3727" spans="1:17" x14ac:dyDescent="0.3">
      <c r="A3727" t="s">
        <v>4664</v>
      </c>
      <c r="B3727" t="str">
        <f>"200160"</f>
        <v>200160</v>
      </c>
      <c r="C3727" t="s">
        <v>7799</v>
      </c>
      <c r="H3727">
        <v>-38738231.909000002</v>
      </c>
      <c r="I3727">
        <v>3583466.2124999999</v>
      </c>
      <c r="J3727">
        <v>-3733888.8006000002</v>
      </c>
      <c r="K3727">
        <v>4946337.7220999999</v>
      </c>
      <c r="L3727">
        <v>148569966.4544</v>
      </c>
      <c r="M3727">
        <v>45602287.845200002</v>
      </c>
      <c r="N3727">
        <v>108259271.3462</v>
      </c>
      <c r="O3727">
        <v>33720036.031599998</v>
      </c>
      <c r="P3727">
        <v>3</v>
      </c>
      <c r="Q3727" t="s">
        <v>7800</v>
      </c>
    </row>
    <row r="3728" spans="1:17" x14ac:dyDescent="0.3">
      <c r="A3728" t="s">
        <v>4664</v>
      </c>
      <c r="B3728" t="str">
        <f>"200168"</f>
        <v>200168</v>
      </c>
      <c r="C3728" t="s">
        <v>7801</v>
      </c>
      <c r="G3728">
        <v>-1376016.2187000001</v>
      </c>
      <c r="H3728">
        <v>-7828101.6462000003</v>
      </c>
      <c r="I3728">
        <v>-8757685.5749999993</v>
      </c>
      <c r="J3728">
        <v>-13782738.673800001</v>
      </c>
      <c r="K3728">
        <v>-9228630.0518999994</v>
      </c>
      <c r="L3728">
        <v>15844169.0616</v>
      </c>
      <c r="M3728">
        <v>5625164.4326999998</v>
      </c>
      <c r="N3728">
        <v>10521320.447699999</v>
      </c>
      <c r="O3728">
        <v>-26877210.868799999</v>
      </c>
      <c r="P3728">
        <v>3</v>
      </c>
      <c r="Q3728" t="s">
        <v>7802</v>
      </c>
    </row>
    <row r="3729" spans="1:17" x14ac:dyDescent="0.3">
      <c r="A3729" t="s">
        <v>4664</v>
      </c>
      <c r="B3729" t="str">
        <f>"200413"</f>
        <v>200413</v>
      </c>
      <c r="C3729" t="s">
        <v>7803</v>
      </c>
      <c r="F3729">
        <v>-1771365921.8729</v>
      </c>
      <c r="G3729">
        <v>-1380707870.7514</v>
      </c>
      <c r="H3729">
        <v>1244169368.2681</v>
      </c>
      <c r="I3729">
        <v>1498095969.7614</v>
      </c>
      <c r="J3729">
        <v>1203939422.4438</v>
      </c>
      <c r="K3729">
        <v>931814671.94889998</v>
      </c>
      <c r="L3729">
        <v>962412340.98539996</v>
      </c>
      <c r="M3729">
        <v>764886329.20829999</v>
      </c>
      <c r="N3729">
        <v>272443861.54259998</v>
      </c>
      <c r="O3729">
        <v>126260538.5768</v>
      </c>
      <c r="P3729">
        <v>44</v>
      </c>
      <c r="Q3729" t="s">
        <v>7804</v>
      </c>
    </row>
    <row r="3730" spans="1:17" x14ac:dyDescent="0.3">
      <c r="A3730" t="s">
        <v>4664</v>
      </c>
      <c r="B3730" t="str">
        <f>"200418"</f>
        <v>200418</v>
      </c>
      <c r="C3730" t="s">
        <v>7805</v>
      </c>
      <c r="I3730">
        <v>1534443988.9442999</v>
      </c>
      <c r="J3730">
        <v>1341105141.8996999</v>
      </c>
      <c r="K3730">
        <v>1061139729.8231</v>
      </c>
      <c r="L3730">
        <v>835863545.39979994</v>
      </c>
      <c r="M3730">
        <v>650824857.61140001</v>
      </c>
      <c r="N3730">
        <v>410618202.63309997</v>
      </c>
      <c r="O3730">
        <v>384593884.537</v>
      </c>
      <c r="P3730">
        <v>89</v>
      </c>
      <c r="Q3730" t="s">
        <v>7806</v>
      </c>
    </row>
    <row r="3731" spans="1:17" x14ac:dyDescent="0.3">
      <c r="A3731" t="s">
        <v>4664</v>
      </c>
      <c r="B3731" t="str">
        <f>"200429"</f>
        <v>200429</v>
      </c>
      <c r="C3731" t="s">
        <v>7807</v>
      </c>
      <c r="F3731">
        <v>1678816429.8164001</v>
      </c>
      <c r="G3731">
        <v>392460190.18080002</v>
      </c>
      <c r="H3731">
        <v>1214405021.6984</v>
      </c>
      <c r="I3731">
        <v>1390049710.2750001</v>
      </c>
      <c r="J3731">
        <v>1499041860.4802999</v>
      </c>
      <c r="K3731">
        <v>926629741.99989998</v>
      </c>
      <c r="L3731">
        <v>479381917.21560001</v>
      </c>
      <c r="M3731">
        <v>380986405.2906</v>
      </c>
      <c r="N3731">
        <v>122911671.6531</v>
      </c>
      <c r="O3731">
        <v>278344088.20319998</v>
      </c>
      <c r="P3731">
        <v>453</v>
      </c>
      <c r="Q3731" t="s">
        <v>7808</v>
      </c>
    </row>
    <row r="3732" spans="1:17" x14ac:dyDescent="0.3">
      <c r="A3732" t="s">
        <v>4664</v>
      </c>
      <c r="B3732" t="str">
        <f>"200468"</f>
        <v>200468</v>
      </c>
      <c r="C3732" t="s">
        <v>7809</v>
      </c>
      <c r="F3732">
        <v>-44011604.557300001</v>
      </c>
      <c r="G3732">
        <v>-68267306.967199996</v>
      </c>
      <c r="H3732">
        <v>-80645722.406399995</v>
      </c>
      <c r="I3732">
        <v>-20920180.918499999</v>
      </c>
      <c r="J3732">
        <v>397619.63699999999</v>
      </c>
      <c r="K3732">
        <v>-25914872.997699998</v>
      </c>
      <c r="L3732">
        <v>-34354152.8706</v>
      </c>
      <c r="M3732">
        <v>-16890110.867400002</v>
      </c>
      <c r="N3732">
        <v>-10282164.396299999</v>
      </c>
      <c r="O3732">
        <v>6141685.6047999999</v>
      </c>
      <c r="P3732">
        <v>4</v>
      </c>
      <c r="Q3732" t="s">
        <v>7810</v>
      </c>
    </row>
    <row r="3733" spans="1:17" x14ac:dyDescent="0.3">
      <c r="A3733" t="s">
        <v>4664</v>
      </c>
      <c r="B3733" t="str">
        <f>"200488"</f>
        <v>200488</v>
      </c>
      <c r="C3733" t="s">
        <v>7811</v>
      </c>
      <c r="F3733">
        <v>2627742667.9864998</v>
      </c>
      <c r="G3733">
        <v>1223934559.7951</v>
      </c>
      <c r="H3733">
        <v>1170580712.0438001</v>
      </c>
      <c r="I3733">
        <v>2826286819.2242999</v>
      </c>
      <c r="J3733">
        <v>3181420642.1907001</v>
      </c>
      <c r="K3733">
        <v>1806093426.592</v>
      </c>
      <c r="L3733">
        <v>684199821.37709999</v>
      </c>
      <c r="M3733">
        <v>431853664.35869998</v>
      </c>
      <c r="N3733">
        <v>672086716.56449997</v>
      </c>
      <c r="O3733">
        <v>164365533.37040001</v>
      </c>
      <c r="P3733">
        <v>268</v>
      </c>
      <c r="Q3733" t="s">
        <v>7812</v>
      </c>
    </row>
    <row r="3734" spans="1:17" x14ac:dyDescent="0.3">
      <c r="A3734" t="s">
        <v>4664</v>
      </c>
      <c r="B3734" t="str">
        <f>"200505"</f>
        <v>200505</v>
      </c>
      <c r="C3734" t="s">
        <v>7813</v>
      </c>
      <c r="F3734">
        <v>154253698.905</v>
      </c>
      <c r="G3734">
        <v>130354482.3794</v>
      </c>
      <c r="H3734">
        <v>93571257.273599997</v>
      </c>
      <c r="I3734">
        <v>116489367.7881</v>
      </c>
      <c r="J3734">
        <v>133560507.63959999</v>
      </c>
      <c r="K3734">
        <v>-105508651.07700001</v>
      </c>
      <c r="L3734">
        <v>-41670260.047499999</v>
      </c>
      <c r="M3734">
        <v>-150424102.38330001</v>
      </c>
      <c r="N3734">
        <v>-124852198.16339999</v>
      </c>
      <c r="O3734">
        <v>-97250246.241600007</v>
      </c>
      <c r="P3734">
        <v>16</v>
      </c>
      <c r="Q3734" t="s">
        <v>7814</v>
      </c>
    </row>
    <row r="3735" spans="1:17" x14ac:dyDescent="0.3">
      <c r="A3735" t="s">
        <v>4664</v>
      </c>
      <c r="B3735" t="str">
        <f>"200512"</f>
        <v>200512</v>
      </c>
      <c r="C3735" t="s">
        <v>7815</v>
      </c>
      <c r="F3735">
        <v>119270702.2538</v>
      </c>
      <c r="G3735">
        <v>106606973.1613</v>
      </c>
      <c r="H3735">
        <v>90125144.564700007</v>
      </c>
      <c r="I3735">
        <v>-5601889.9011000004</v>
      </c>
      <c r="J3735">
        <v>18821865.0594</v>
      </c>
      <c r="K3735">
        <v>34763286.009499997</v>
      </c>
      <c r="L3735">
        <v>34216198.987499997</v>
      </c>
      <c r="M3735">
        <v>49063636.568099998</v>
      </c>
      <c r="N3735">
        <v>38066327.967600003</v>
      </c>
      <c r="O3735">
        <v>-2740150.7456</v>
      </c>
      <c r="P3735">
        <v>34</v>
      </c>
      <c r="Q3735" t="s">
        <v>7816</v>
      </c>
    </row>
    <row r="3736" spans="1:17" x14ac:dyDescent="0.3">
      <c r="A3736" t="s">
        <v>4664</v>
      </c>
      <c r="B3736" t="str">
        <f>"200513"</f>
        <v>200513</v>
      </c>
      <c r="C3736" t="s">
        <v>7817</v>
      </c>
      <c r="K3736">
        <v>714428888.49090004</v>
      </c>
      <c r="L3736">
        <v>603906467.32430005</v>
      </c>
      <c r="M3736">
        <v>535782492.30970001</v>
      </c>
      <c r="N3736">
        <v>480273838.62519997</v>
      </c>
      <c r="O3736">
        <v>424177935.89230001</v>
      </c>
      <c r="P3736">
        <v>1</v>
      </c>
      <c r="Q3736" t="s">
        <v>7818</v>
      </c>
    </row>
    <row r="3737" spans="1:17" x14ac:dyDescent="0.3">
      <c r="A3737" t="s">
        <v>4664</v>
      </c>
      <c r="B3737" t="str">
        <f>"200521"</f>
        <v>200521</v>
      </c>
      <c r="C3737" t="s">
        <v>7819</v>
      </c>
      <c r="F3737">
        <v>74967090.201399997</v>
      </c>
      <c r="G3737">
        <v>-140470277.50940001</v>
      </c>
      <c r="H3737">
        <v>88528438.429700002</v>
      </c>
      <c r="I3737">
        <v>74768822.184599996</v>
      </c>
      <c r="J3737">
        <v>141056843.3628</v>
      </c>
      <c r="K3737">
        <v>192081957.59650001</v>
      </c>
      <c r="L3737">
        <v>197342851.20570001</v>
      </c>
      <c r="M3737">
        <v>302777980.8513</v>
      </c>
      <c r="N3737">
        <v>260129407.11570001</v>
      </c>
      <c r="O3737">
        <v>186459294.8768</v>
      </c>
      <c r="P3737">
        <v>23</v>
      </c>
      <c r="Q3737" t="s">
        <v>7820</v>
      </c>
    </row>
    <row r="3738" spans="1:17" x14ac:dyDescent="0.3">
      <c r="A3738" t="s">
        <v>4664</v>
      </c>
      <c r="B3738" t="str">
        <f>"200530"</f>
        <v>200530</v>
      </c>
      <c r="C3738" t="s">
        <v>7821</v>
      </c>
      <c r="F3738">
        <v>-50029914.299400002</v>
      </c>
      <c r="G3738">
        <v>4937458.9265999999</v>
      </c>
      <c r="H3738">
        <v>114395131.5354</v>
      </c>
      <c r="I3738">
        <v>83649936.0792</v>
      </c>
      <c r="J3738">
        <v>170519809.62959999</v>
      </c>
      <c r="K3738">
        <v>153108559.9262</v>
      </c>
      <c r="L3738">
        <v>121192539.3255</v>
      </c>
      <c r="M3738">
        <v>121798251.5121</v>
      </c>
      <c r="N3738">
        <v>120514047.08490001</v>
      </c>
      <c r="O3738">
        <v>113242424.096</v>
      </c>
      <c r="P3738">
        <v>25</v>
      </c>
      <c r="Q3738" t="s">
        <v>7822</v>
      </c>
    </row>
    <row r="3739" spans="1:17" x14ac:dyDescent="0.3">
      <c r="A3739" t="s">
        <v>4664</v>
      </c>
      <c r="B3739" t="str">
        <f>"200539"</f>
        <v>200539</v>
      </c>
      <c r="C3739" t="s">
        <v>7823</v>
      </c>
      <c r="F3739">
        <v>-266263452.9921</v>
      </c>
      <c r="G3739">
        <v>1784237677.6445</v>
      </c>
      <c r="H3739">
        <v>1467813376.5899999</v>
      </c>
      <c r="I3739">
        <v>1069411670.8908</v>
      </c>
      <c r="J3739">
        <v>917593440.81060004</v>
      </c>
      <c r="K3739">
        <v>1715913591.5307</v>
      </c>
      <c r="L3739">
        <v>3218054897.0229001</v>
      </c>
      <c r="M3739">
        <v>3194474111.0148001</v>
      </c>
      <c r="N3739">
        <v>3205685340.0288</v>
      </c>
      <c r="O3739">
        <v>776344897.79439998</v>
      </c>
      <c r="P3739">
        <v>185</v>
      </c>
      <c r="Q3739" t="s">
        <v>7824</v>
      </c>
    </row>
    <row r="3740" spans="1:17" x14ac:dyDescent="0.3">
      <c r="A3740" t="s">
        <v>4664</v>
      </c>
      <c r="B3740" t="str">
        <f>"200541"</f>
        <v>200541</v>
      </c>
      <c r="C3740" t="s">
        <v>7825</v>
      </c>
      <c r="F3740">
        <v>231203189.2439</v>
      </c>
      <c r="G3740">
        <v>264641907.73210001</v>
      </c>
      <c r="H3740">
        <v>252933935.45179999</v>
      </c>
      <c r="I3740">
        <v>368688902.00040001</v>
      </c>
      <c r="J3740">
        <v>796120452.80579996</v>
      </c>
      <c r="K3740">
        <v>325509928.69410002</v>
      </c>
      <c r="L3740">
        <v>89509816.674600005</v>
      </c>
      <c r="M3740">
        <v>380668446.2622</v>
      </c>
      <c r="N3740">
        <v>305677391.93279999</v>
      </c>
      <c r="O3740">
        <v>267960530.18880001</v>
      </c>
      <c r="P3740">
        <v>119</v>
      </c>
      <c r="Q3740" t="s">
        <v>7826</v>
      </c>
    </row>
    <row r="3741" spans="1:17" x14ac:dyDescent="0.3">
      <c r="A3741" t="s">
        <v>4664</v>
      </c>
      <c r="B3741" t="str">
        <f>"200550"</f>
        <v>200550</v>
      </c>
      <c r="C3741" t="s">
        <v>7827</v>
      </c>
      <c r="F3741">
        <v>574897434.22280002</v>
      </c>
      <c r="G3741">
        <v>407673064.99739999</v>
      </c>
      <c r="H3741">
        <v>172857182.87869999</v>
      </c>
      <c r="I3741">
        <v>249220399.27919999</v>
      </c>
      <c r="J3741">
        <v>755054835.47580004</v>
      </c>
      <c r="K3741">
        <v>1270818386.3843</v>
      </c>
      <c r="L3741">
        <v>1877591713.3664999</v>
      </c>
      <c r="M3741">
        <v>1937711543.9997001</v>
      </c>
      <c r="N3741">
        <v>1596625409.0448</v>
      </c>
      <c r="O3741">
        <v>1452578220.0223999</v>
      </c>
      <c r="P3741">
        <v>154</v>
      </c>
      <c r="Q3741" t="s">
        <v>7828</v>
      </c>
    </row>
    <row r="3742" spans="1:17" x14ac:dyDescent="0.3">
      <c r="A3742" t="s">
        <v>4664</v>
      </c>
      <c r="B3742" t="str">
        <f>"200553"</f>
        <v>200553</v>
      </c>
      <c r="C3742" t="s">
        <v>7829</v>
      </c>
      <c r="F3742">
        <v>-4715255.5999999996</v>
      </c>
      <c r="G3742">
        <v>255868440.19999999</v>
      </c>
      <c r="H3742">
        <v>871265787.89999998</v>
      </c>
      <c r="I3742">
        <v>2896095682.1999998</v>
      </c>
      <c r="J3742">
        <v>1876709776.2</v>
      </c>
      <c r="K3742">
        <v>23823352.146000002</v>
      </c>
      <c r="L3742">
        <v>179331660.7791</v>
      </c>
      <c r="M3742">
        <v>542767921.08780003</v>
      </c>
      <c r="N3742">
        <v>243332089.84259999</v>
      </c>
      <c r="O3742">
        <v>60932449.096799999</v>
      </c>
      <c r="P3742">
        <v>58</v>
      </c>
      <c r="Q3742" t="s">
        <v>7830</v>
      </c>
    </row>
    <row r="3743" spans="1:17" x14ac:dyDescent="0.3">
      <c r="A3743" t="s">
        <v>4664</v>
      </c>
      <c r="B3743" t="str">
        <f>"200570"</f>
        <v>200570</v>
      </c>
      <c r="C3743" t="s">
        <v>7831</v>
      </c>
      <c r="F3743">
        <v>127286269.52330001</v>
      </c>
      <c r="G3743">
        <v>44286551.345100001</v>
      </c>
      <c r="H3743">
        <v>21935531.2322</v>
      </c>
      <c r="I3743">
        <v>26551737.539999999</v>
      </c>
      <c r="J3743">
        <v>50160268.071900003</v>
      </c>
      <c r="K3743">
        <v>64041879.537100002</v>
      </c>
      <c r="L3743">
        <v>89891421.354300007</v>
      </c>
      <c r="M3743">
        <v>64606265.495700002</v>
      </c>
      <c r="N3743">
        <v>72167469.552000001</v>
      </c>
      <c r="O3743">
        <v>52859897.730400003</v>
      </c>
      <c r="P3743">
        <v>10</v>
      </c>
      <c r="Q3743" t="s">
        <v>7832</v>
      </c>
    </row>
    <row r="3744" spans="1:17" x14ac:dyDescent="0.3">
      <c r="A3744" t="s">
        <v>4664</v>
      </c>
      <c r="B3744" t="str">
        <f>"200581"</f>
        <v>200581</v>
      </c>
      <c r="C3744" t="s">
        <v>7833</v>
      </c>
      <c r="F3744">
        <v>2564725390.0879998</v>
      </c>
      <c r="G3744">
        <v>2535566438.651</v>
      </c>
      <c r="H3744">
        <v>1893048847.3248</v>
      </c>
      <c r="I3744">
        <v>2341568359.6809001</v>
      </c>
      <c r="J3744">
        <v>2174938950.7929001</v>
      </c>
      <c r="K3744">
        <v>1521996146.9545</v>
      </c>
      <c r="L3744">
        <v>1577091067.2855</v>
      </c>
      <c r="M3744">
        <v>1568775433.0083001</v>
      </c>
      <c r="N3744">
        <v>1017306597.4362</v>
      </c>
      <c r="O3744">
        <v>751708192.05200005</v>
      </c>
      <c r="P3744">
        <v>448</v>
      </c>
      <c r="Q3744" t="s">
        <v>7834</v>
      </c>
    </row>
    <row r="3745" spans="1:17" x14ac:dyDescent="0.3">
      <c r="A3745" t="s">
        <v>4664</v>
      </c>
      <c r="B3745" t="str">
        <f>"200596"</f>
        <v>200596</v>
      </c>
      <c r="C3745" t="s">
        <v>7835</v>
      </c>
      <c r="F3745">
        <v>2370791488.3908</v>
      </c>
      <c r="G3745">
        <v>1748189533.4475999</v>
      </c>
      <c r="H3745">
        <v>1909328315.8043001</v>
      </c>
      <c r="I3745">
        <v>1430396628.8577001</v>
      </c>
      <c r="J3745">
        <v>935687167.62300003</v>
      </c>
      <c r="K3745">
        <v>676853111.45449996</v>
      </c>
      <c r="L3745">
        <v>610194661.35810006</v>
      </c>
      <c r="M3745">
        <v>582674605.46010005</v>
      </c>
      <c r="N3745">
        <v>607241882.85389996</v>
      </c>
      <c r="O3745">
        <v>654410583.11679995</v>
      </c>
      <c r="P3745">
        <v>745</v>
      </c>
      <c r="Q3745" t="s">
        <v>7836</v>
      </c>
    </row>
    <row r="3746" spans="1:17" x14ac:dyDescent="0.3">
      <c r="A3746" t="s">
        <v>4664</v>
      </c>
      <c r="B3746" t="str">
        <f>"200613"</f>
        <v>200613</v>
      </c>
      <c r="C3746" t="s">
        <v>7837</v>
      </c>
      <c r="F3746">
        <v>3359013.9526999998</v>
      </c>
      <c r="G3746">
        <v>-9914851.4657000005</v>
      </c>
      <c r="H3746">
        <v>-437323.93670000002</v>
      </c>
      <c r="I3746">
        <v>677895.49650000001</v>
      </c>
      <c r="J3746">
        <v>282867.37709999998</v>
      </c>
      <c r="K3746">
        <v>-1933151.0257999999</v>
      </c>
      <c r="L3746">
        <v>-7857276.8366999999</v>
      </c>
      <c r="M3746">
        <v>-2197999.4315999998</v>
      </c>
      <c r="N3746">
        <v>-2904960.9438</v>
      </c>
      <c r="O3746">
        <v>-640731.36719999998</v>
      </c>
      <c r="P3746">
        <v>4</v>
      </c>
      <c r="Q3746" t="s">
        <v>7838</v>
      </c>
    </row>
    <row r="3747" spans="1:17" x14ac:dyDescent="0.3">
      <c r="A3747" t="s">
        <v>4664</v>
      </c>
      <c r="B3747" t="str">
        <f>"200625"</f>
        <v>200625</v>
      </c>
      <c r="C3747" t="s">
        <v>7839</v>
      </c>
      <c r="F3747">
        <v>3602962964.2870998</v>
      </c>
      <c r="G3747">
        <v>3963202671.8667998</v>
      </c>
      <c r="H3747">
        <v>-2917813853.7126002</v>
      </c>
      <c r="I3747">
        <v>1324866109.3116</v>
      </c>
      <c r="J3747">
        <v>6817572913.3422003</v>
      </c>
      <c r="K3747">
        <v>8993896691.9687996</v>
      </c>
      <c r="L3747">
        <v>8216413769.1666002</v>
      </c>
      <c r="M3747">
        <v>6901680510.0209999</v>
      </c>
      <c r="N3747">
        <v>2896995335.6069999</v>
      </c>
      <c r="O3747">
        <v>932101415.73039997</v>
      </c>
      <c r="P3747">
        <v>710</v>
      </c>
      <c r="Q3747" t="s">
        <v>7840</v>
      </c>
    </row>
    <row r="3748" spans="1:17" x14ac:dyDescent="0.3">
      <c r="A3748" t="s">
        <v>4664</v>
      </c>
      <c r="B3748" t="str">
        <f>"200706"</f>
        <v>200706</v>
      </c>
      <c r="C3748" t="s">
        <v>7841</v>
      </c>
      <c r="F3748">
        <v>-5100725.3371000001</v>
      </c>
      <c r="G3748">
        <v>-11508339.6009</v>
      </c>
      <c r="H3748">
        <v>-11881743.252</v>
      </c>
      <c r="I3748">
        <v>6126640.2372000003</v>
      </c>
      <c r="J3748">
        <v>3542992.8906</v>
      </c>
      <c r="K3748">
        <v>-62534691.617899999</v>
      </c>
      <c r="L3748">
        <v>-77568636.109200001</v>
      </c>
      <c r="M3748">
        <v>-57638643.952200003</v>
      </c>
      <c r="N3748">
        <v>31361594.140799999</v>
      </c>
      <c r="O3748">
        <v>50413963.755999997</v>
      </c>
      <c r="P3748">
        <v>7</v>
      </c>
      <c r="Q3748" t="s">
        <v>7842</v>
      </c>
    </row>
    <row r="3749" spans="1:17" x14ac:dyDescent="0.3">
      <c r="A3749" t="s">
        <v>4664</v>
      </c>
      <c r="B3749" t="str">
        <f>"200725"</f>
        <v>200725</v>
      </c>
      <c r="C3749" t="s">
        <v>7843</v>
      </c>
      <c r="F3749">
        <v>24100561927.5723</v>
      </c>
      <c r="G3749">
        <v>2814780338.1637998</v>
      </c>
      <c r="H3749">
        <v>2030610228.5316999</v>
      </c>
      <c r="I3749">
        <v>3849094917.8385</v>
      </c>
      <c r="J3749">
        <v>7597900349.2259998</v>
      </c>
      <c r="K3749">
        <v>163470238.64019999</v>
      </c>
      <c r="L3749">
        <v>2428521210.2919002</v>
      </c>
      <c r="M3749">
        <v>2347520940.5307002</v>
      </c>
      <c r="N3749">
        <v>1723492249.0911</v>
      </c>
      <c r="O3749">
        <v>-784180881.33840001</v>
      </c>
      <c r="P3749">
        <v>85</v>
      </c>
      <c r="Q3749" t="s">
        <v>7844</v>
      </c>
    </row>
    <row r="3750" spans="1:17" x14ac:dyDescent="0.3">
      <c r="A3750" t="s">
        <v>4664</v>
      </c>
      <c r="B3750" t="str">
        <f>"200726"</f>
        <v>200726</v>
      </c>
      <c r="C3750" t="s">
        <v>7845</v>
      </c>
      <c r="F3750">
        <v>297610072.45969999</v>
      </c>
      <c r="G3750">
        <v>108760991.65109999</v>
      </c>
      <c r="H3750">
        <v>644514080.42729998</v>
      </c>
      <c r="I3750">
        <v>668533251.82560003</v>
      </c>
      <c r="J3750">
        <v>692374455.579</v>
      </c>
      <c r="K3750">
        <v>675367286.41960001</v>
      </c>
      <c r="L3750">
        <v>669009944.42760003</v>
      </c>
      <c r="M3750">
        <v>898824054.97590005</v>
      </c>
      <c r="N3750">
        <v>857415427.99290001</v>
      </c>
      <c r="O3750">
        <v>569452181.00639999</v>
      </c>
      <c r="P3750">
        <v>329</v>
      </c>
      <c r="Q3750" t="s">
        <v>7846</v>
      </c>
    </row>
    <row r="3751" spans="1:17" x14ac:dyDescent="0.3">
      <c r="A3751" t="s">
        <v>4664</v>
      </c>
      <c r="B3751" t="str">
        <f>"200761"</f>
        <v>200761</v>
      </c>
      <c r="C3751" t="s">
        <v>7847</v>
      </c>
      <c r="F3751">
        <v>4548450297.6736002</v>
      </c>
      <c r="G3751">
        <v>322321710.66409999</v>
      </c>
      <c r="H3751">
        <v>534379646.48610002</v>
      </c>
      <c r="I3751">
        <v>939965057.68920004</v>
      </c>
      <c r="J3751">
        <v>1565531846.9198999</v>
      </c>
      <c r="K3751">
        <v>667760758.54540002</v>
      </c>
      <c r="L3751">
        <v>198817278.9639</v>
      </c>
      <c r="M3751">
        <v>255433164.88319999</v>
      </c>
      <c r="N3751">
        <v>354045005.97659999</v>
      </c>
      <c r="O3751">
        <v>160220687.2696</v>
      </c>
      <c r="P3751">
        <v>41</v>
      </c>
      <c r="Q3751" t="s">
        <v>7848</v>
      </c>
    </row>
    <row r="3752" spans="1:17" x14ac:dyDescent="0.3">
      <c r="A3752" t="s">
        <v>4664</v>
      </c>
      <c r="B3752" t="str">
        <f>"200770"</f>
        <v>200770</v>
      </c>
      <c r="C3752" t="s">
        <v>7849</v>
      </c>
      <c r="K3752">
        <v>-63518634.308600001</v>
      </c>
      <c r="L3752">
        <v>50747600.043899998</v>
      </c>
      <c r="M3752">
        <v>-101190453.45990001</v>
      </c>
      <c r="N3752">
        <v>-79299024.547399998</v>
      </c>
      <c r="O3752">
        <v>-69211884.928000003</v>
      </c>
      <c r="P3752">
        <v>0</v>
      </c>
      <c r="Q3752" t="s">
        <v>7850</v>
      </c>
    </row>
    <row r="3753" spans="1:17" x14ac:dyDescent="0.3">
      <c r="A3753" t="s">
        <v>4664</v>
      </c>
      <c r="B3753" t="str">
        <f>"200771"</f>
        <v>200771</v>
      </c>
      <c r="C3753" t="s">
        <v>7851</v>
      </c>
      <c r="F3753">
        <v>695207628.78199995</v>
      </c>
      <c r="G3753">
        <v>412892287.53549999</v>
      </c>
      <c r="H3753">
        <v>316703947.98659998</v>
      </c>
      <c r="I3753">
        <v>332416532.72670001</v>
      </c>
      <c r="J3753">
        <v>75083668.587300003</v>
      </c>
      <c r="K3753">
        <v>-70121960.0088</v>
      </c>
      <c r="L3753">
        <v>-108818750.4288</v>
      </c>
      <c r="M3753">
        <v>232844624.5386</v>
      </c>
      <c r="N3753">
        <v>589202484.45659995</v>
      </c>
      <c r="O3753">
        <v>628404929.00880003</v>
      </c>
      <c r="P3753">
        <v>65</v>
      </c>
      <c r="Q3753" t="s">
        <v>7852</v>
      </c>
    </row>
    <row r="3754" spans="1:17" x14ac:dyDescent="0.3">
      <c r="A3754" t="s">
        <v>4664</v>
      </c>
      <c r="B3754" t="str">
        <f>"200869"</f>
        <v>200869</v>
      </c>
      <c r="C3754" t="s">
        <v>7853</v>
      </c>
      <c r="F3754">
        <v>543728548.34389997</v>
      </c>
      <c r="G3754">
        <v>459035796.7694</v>
      </c>
      <c r="H3754">
        <v>799160627.29489994</v>
      </c>
      <c r="I3754">
        <v>876826388.41050005</v>
      </c>
      <c r="J3754">
        <v>957629229.26460004</v>
      </c>
      <c r="K3754">
        <v>958465957.25769997</v>
      </c>
      <c r="L3754">
        <v>1076116173.2372999</v>
      </c>
      <c r="M3754">
        <v>1011308792.265</v>
      </c>
      <c r="N3754">
        <v>1101707431.4925001</v>
      </c>
      <c r="O3754">
        <v>1435308576.4208</v>
      </c>
      <c r="P3754">
        <v>348</v>
      </c>
      <c r="Q3754" t="s">
        <v>7854</v>
      </c>
    </row>
    <row r="3755" spans="1:17" x14ac:dyDescent="0.3">
      <c r="A3755" t="s">
        <v>4664</v>
      </c>
      <c r="B3755" t="str">
        <f>"200986"</f>
        <v>200986</v>
      </c>
      <c r="C3755" t="s">
        <v>7855</v>
      </c>
      <c r="G3755">
        <v>99422140.338300005</v>
      </c>
      <c r="H3755">
        <v>23125661.356600001</v>
      </c>
      <c r="I3755">
        <v>-11723600.113500001</v>
      </c>
      <c r="J3755">
        <v>22486146.6642</v>
      </c>
      <c r="K3755">
        <v>42242511.639200002</v>
      </c>
      <c r="L3755">
        <v>26562188.352600001</v>
      </c>
      <c r="M3755">
        <v>47048664.9507</v>
      </c>
      <c r="N3755">
        <v>18142379.530200001</v>
      </c>
      <c r="O3755">
        <v>-15626816.439200001</v>
      </c>
      <c r="P3755">
        <v>8</v>
      </c>
      <c r="Q3755" t="s">
        <v>7856</v>
      </c>
    </row>
    <row r="3756" spans="1:17" x14ac:dyDescent="0.3">
      <c r="A3756" t="s">
        <v>4664</v>
      </c>
      <c r="B3756" t="str">
        <f>"200992"</f>
        <v>200992</v>
      </c>
      <c r="C3756" t="s">
        <v>7857</v>
      </c>
      <c r="F3756">
        <v>36655345.855099998</v>
      </c>
      <c r="G3756">
        <v>14761610.7841</v>
      </c>
      <c r="H3756">
        <v>74670124.381600007</v>
      </c>
      <c r="I3756">
        <v>75559940.803800002</v>
      </c>
      <c r="J3756">
        <v>51853295.386500001</v>
      </c>
      <c r="K3756">
        <v>23821166.2359</v>
      </c>
      <c r="L3756">
        <v>22356482.3847</v>
      </c>
      <c r="M3756">
        <v>12484199.0418</v>
      </c>
      <c r="N3756">
        <v>29679233.769000001</v>
      </c>
      <c r="O3756">
        <v>52159355.979999997</v>
      </c>
      <c r="P3756">
        <v>22</v>
      </c>
      <c r="Q3756" t="s">
        <v>7858</v>
      </c>
    </row>
    <row r="3757" spans="1:17" x14ac:dyDescent="0.3">
      <c r="A3757" t="s">
        <v>4664</v>
      </c>
      <c r="B3757" t="str">
        <f>"201872"</f>
        <v>201872</v>
      </c>
      <c r="C3757" t="s">
        <v>7859</v>
      </c>
      <c r="F3757">
        <v>2930545078.5276999</v>
      </c>
      <c r="G3757">
        <v>1449704883.3408</v>
      </c>
      <c r="H3757">
        <v>2708160021.3065</v>
      </c>
      <c r="I3757">
        <v>516259423.1886</v>
      </c>
      <c r="J3757">
        <v>516748765.83359998</v>
      </c>
      <c r="K3757">
        <v>496495887.55239999</v>
      </c>
      <c r="L3757">
        <v>508902702.5334</v>
      </c>
      <c r="M3757">
        <v>464132891.19779998</v>
      </c>
      <c r="N3757">
        <v>566575976.51639998</v>
      </c>
      <c r="O3757">
        <v>452327425.72000003</v>
      </c>
      <c r="P3757">
        <v>90</v>
      </c>
      <c r="Q3757" t="s">
        <v>7860</v>
      </c>
    </row>
    <row r="3758" spans="1:17" x14ac:dyDescent="0.3">
      <c r="A3758" t="s">
        <v>4664</v>
      </c>
      <c r="B3758" t="str">
        <f>"300001"</f>
        <v>300001</v>
      </c>
      <c r="C3758" t="s">
        <v>7861</v>
      </c>
      <c r="D3758" t="s">
        <v>210</v>
      </c>
      <c r="F3758">
        <v>86233275</v>
      </c>
      <c r="G3758">
        <v>119173350</v>
      </c>
      <c r="H3758">
        <v>155307631</v>
      </c>
      <c r="I3758">
        <v>143663000</v>
      </c>
      <c r="J3758">
        <v>139599398</v>
      </c>
      <c r="K3758">
        <v>126563515</v>
      </c>
      <c r="L3758">
        <v>112938822</v>
      </c>
      <c r="M3758">
        <v>122443841</v>
      </c>
      <c r="N3758">
        <v>87376368</v>
      </c>
      <c r="O3758">
        <v>56973890</v>
      </c>
      <c r="P3758">
        <v>530</v>
      </c>
      <c r="Q3758" t="s">
        <v>7862</v>
      </c>
    </row>
    <row r="3759" spans="1:17" x14ac:dyDescent="0.3">
      <c r="A3759" t="s">
        <v>4664</v>
      </c>
      <c r="B3759" t="str">
        <f>"300002"</f>
        <v>300002</v>
      </c>
      <c r="C3759" t="s">
        <v>7863</v>
      </c>
      <c r="D3759" t="s">
        <v>517</v>
      </c>
      <c r="F3759">
        <v>212237124</v>
      </c>
      <c r="G3759">
        <v>206676362</v>
      </c>
      <c r="H3759">
        <v>-296566904</v>
      </c>
      <c r="I3759">
        <v>-153502512</v>
      </c>
      <c r="J3759">
        <v>-36651213</v>
      </c>
      <c r="K3759">
        <v>350289591</v>
      </c>
      <c r="L3759">
        <v>179112736</v>
      </c>
      <c r="M3759">
        <v>365421917</v>
      </c>
      <c r="N3759">
        <v>359253012</v>
      </c>
      <c r="O3759">
        <v>297063095</v>
      </c>
      <c r="P3759">
        <v>282</v>
      </c>
      <c r="Q3759" t="s">
        <v>7864</v>
      </c>
    </row>
    <row r="3760" spans="1:17" x14ac:dyDescent="0.3">
      <c r="A3760" t="s">
        <v>4664</v>
      </c>
      <c r="B3760" t="str">
        <f>"300003"</f>
        <v>300003</v>
      </c>
      <c r="C3760" t="s">
        <v>7865</v>
      </c>
      <c r="D3760" t="s">
        <v>1077</v>
      </c>
      <c r="F3760">
        <v>1921167227</v>
      </c>
      <c r="G3760">
        <v>1973037245</v>
      </c>
      <c r="H3760">
        <v>1612188347</v>
      </c>
      <c r="I3760">
        <v>1143442820</v>
      </c>
      <c r="J3760">
        <v>738250051</v>
      </c>
      <c r="K3760">
        <v>543512050</v>
      </c>
      <c r="L3760">
        <v>415619790</v>
      </c>
      <c r="M3760">
        <v>318458174</v>
      </c>
      <c r="N3760">
        <v>274713361</v>
      </c>
      <c r="O3760">
        <v>325134180</v>
      </c>
      <c r="P3760">
        <v>3268</v>
      </c>
      <c r="Q3760" t="s">
        <v>7866</v>
      </c>
    </row>
    <row r="3761" spans="1:17" x14ac:dyDescent="0.3">
      <c r="A3761" t="s">
        <v>4664</v>
      </c>
      <c r="B3761" t="str">
        <f>"300004"</f>
        <v>300004</v>
      </c>
      <c r="C3761" t="s">
        <v>7867</v>
      </c>
      <c r="D3761" t="s">
        <v>741</v>
      </c>
      <c r="F3761">
        <v>-57958309</v>
      </c>
      <c r="G3761">
        <v>86247376</v>
      </c>
      <c r="H3761">
        <v>34876312</v>
      </c>
      <c r="I3761">
        <v>13139197</v>
      </c>
      <c r="J3761">
        <v>130032054</v>
      </c>
      <c r="K3761">
        <v>21849506</v>
      </c>
      <c r="L3761">
        <v>61964880</v>
      </c>
      <c r="M3761">
        <v>61589794</v>
      </c>
      <c r="N3761">
        <v>41889650</v>
      </c>
      <c r="O3761">
        <v>35104191</v>
      </c>
      <c r="P3761">
        <v>84</v>
      </c>
      <c r="Q3761" t="s">
        <v>7868</v>
      </c>
    </row>
    <row r="3762" spans="1:17" x14ac:dyDescent="0.3">
      <c r="A3762" t="s">
        <v>4664</v>
      </c>
      <c r="B3762" t="str">
        <f>"300005"</f>
        <v>300005</v>
      </c>
      <c r="C3762" t="s">
        <v>7869</v>
      </c>
      <c r="D3762" t="s">
        <v>2990</v>
      </c>
      <c r="F3762">
        <v>29625441</v>
      </c>
      <c r="G3762">
        <v>-181869672</v>
      </c>
      <c r="H3762">
        <v>99489506</v>
      </c>
      <c r="I3762">
        <v>25301553</v>
      </c>
      <c r="J3762">
        <v>81226826</v>
      </c>
      <c r="K3762">
        <v>100348644</v>
      </c>
      <c r="L3762">
        <v>146513398</v>
      </c>
      <c r="M3762">
        <v>178408743</v>
      </c>
      <c r="N3762">
        <v>141652236</v>
      </c>
      <c r="O3762">
        <v>81336889</v>
      </c>
      <c r="P3762">
        <v>181</v>
      </c>
      <c r="Q3762" t="s">
        <v>7870</v>
      </c>
    </row>
    <row r="3763" spans="1:17" x14ac:dyDescent="0.3">
      <c r="A3763" t="s">
        <v>4664</v>
      </c>
      <c r="B3763" t="str">
        <f>"300006"</f>
        <v>300006</v>
      </c>
      <c r="C3763" t="s">
        <v>7871</v>
      </c>
      <c r="D3763" t="s">
        <v>143</v>
      </c>
      <c r="F3763">
        <v>19969187</v>
      </c>
      <c r="G3763">
        <v>544836</v>
      </c>
      <c r="H3763">
        <v>76048631</v>
      </c>
      <c r="I3763">
        <v>100024498</v>
      </c>
      <c r="J3763">
        <v>61063486</v>
      </c>
      <c r="K3763">
        <v>46910791</v>
      </c>
      <c r="L3763">
        <v>14097235</v>
      </c>
      <c r="M3763">
        <v>-16648553</v>
      </c>
      <c r="N3763">
        <v>43051262</v>
      </c>
      <c r="O3763">
        <v>46250274</v>
      </c>
      <c r="P3763">
        <v>136</v>
      </c>
      <c r="Q3763" t="s">
        <v>7872</v>
      </c>
    </row>
    <row r="3764" spans="1:17" x14ac:dyDescent="0.3">
      <c r="A3764" t="s">
        <v>4664</v>
      </c>
      <c r="B3764" t="str">
        <f>"300007"</f>
        <v>300007</v>
      </c>
      <c r="C3764" t="s">
        <v>7873</v>
      </c>
      <c r="D3764" t="s">
        <v>2551</v>
      </c>
      <c r="F3764">
        <v>209089033</v>
      </c>
      <c r="G3764">
        <v>175432341</v>
      </c>
      <c r="H3764">
        <v>120977146</v>
      </c>
      <c r="I3764">
        <v>90562744</v>
      </c>
      <c r="J3764">
        <v>73740742</v>
      </c>
      <c r="K3764">
        <v>59654015</v>
      </c>
      <c r="L3764">
        <v>51865916</v>
      </c>
      <c r="M3764">
        <v>30136654</v>
      </c>
      <c r="N3764">
        <v>21518039</v>
      </c>
      <c r="O3764">
        <v>34890704</v>
      </c>
      <c r="P3764">
        <v>314</v>
      </c>
      <c r="Q3764" t="s">
        <v>7874</v>
      </c>
    </row>
    <row r="3765" spans="1:17" x14ac:dyDescent="0.3">
      <c r="A3765" t="s">
        <v>4664</v>
      </c>
      <c r="B3765" t="str">
        <f>"300008"</f>
        <v>300008</v>
      </c>
      <c r="C3765" t="s">
        <v>7875</v>
      </c>
      <c r="D3765" t="s">
        <v>167</v>
      </c>
      <c r="F3765">
        <v>19423715</v>
      </c>
      <c r="G3765">
        <v>39343818</v>
      </c>
      <c r="H3765">
        <v>-74549214</v>
      </c>
      <c r="I3765">
        <v>-1324190024</v>
      </c>
      <c r="J3765">
        <v>123580559</v>
      </c>
      <c r="K3765">
        <v>119122392</v>
      </c>
      <c r="L3765">
        <v>34168469</v>
      </c>
      <c r="M3765">
        <v>34720717</v>
      </c>
      <c r="N3765">
        <v>9158676</v>
      </c>
      <c r="O3765">
        <v>37928940</v>
      </c>
      <c r="P3765">
        <v>107</v>
      </c>
      <c r="Q3765" t="s">
        <v>7876</v>
      </c>
    </row>
    <row r="3766" spans="1:17" x14ac:dyDescent="0.3">
      <c r="A3766" t="s">
        <v>4664</v>
      </c>
      <c r="B3766" t="str">
        <f>"300009"</f>
        <v>300009</v>
      </c>
      <c r="C3766" t="s">
        <v>7877</v>
      </c>
      <c r="D3766" t="s">
        <v>1379</v>
      </c>
      <c r="F3766">
        <v>429377482</v>
      </c>
      <c r="G3766">
        <v>299052367</v>
      </c>
      <c r="H3766">
        <v>256927180</v>
      </c>
      <c r="I3766">
        <v>231578329</v>
      </c>
      <c r="J3766">
        <v>192758402</v>
      </c>
      <c r="K3766">
        <v>141387005</v>
      </c>
      <c r="L3766">
        <v>108918606</v>
      </c>
      <c r="M3766">
        <v>82088942</v>
      </c>
      <c r="N3766">
        <v>64921032</v>
      </c>
      <c r="O3766">
        <v>51609994</v>
      </c>
      <c r="P3766">
        <v>840</v>
      </c>
      <c r="Q3766" t="s">
        <v>7878</v>
      </c>
    </row>
    <row r="3767" spans="1:17" x14ac:dyDescent="0.3">
      <c r="A3767" t="s">
        <v>4664</v>
      </c>
      <c r="B3767" t="str">
        <f>"300010"</f>
        <v>300010</v>
      </c>
      <c r="C3767" t="s">
        <v>7879</v>
      </c>
      <c r="D3767" t="s">
        <v>1336</v>
      </c>
      <c r="F3767">
        <v>-195050295</v>
      </c>
      <c r="G3767">
        <v>-93499178</v>
      </c>
      <c r="H3767">
        <v>59518975</v>
      </c>
      <c r="I3767">
        <v>7561928</v>
      </c>
      <c r="J3767">
        <v>65482609</v>
      </c>
      <c r="K3767">
        <v>57573286</v>
      </c>
      <c r="L3767">
        <v>17212763</v>
      </c>
      <c r="M3767">
        <v>27721755</v>
      </c>
      <c r="N3767">
        <v>31340642</v>
      </c>
      <c r="O3767">
        <v>29768256</v>
      </c>
      <c r="P3767">
        <v>262</v>
      </c>
      <c r="Q3767" t="s">
        <v>7880</v>
      </c>
    </row>
    <row r="3768" spans="1:17" x14ac:dyDescent="0.3">
      <c r="A3768" t="s">
        <v>4664</v>
      </c>
      <c r="B3768" t="str">
        <f>"300011"</f>
        <v>300011</v>
      </c>
      <c r="C3768" t="s">
        <v>7881</v>
      </c>
      <c r="D3768" t="s">
        <v>1012</v>
      </c>
      <c r="F3768">
        <v>-29550124</v>
      </c>
      <c r="G3768">
        <v>57436027</v>
      </c>
      <c r="H3768">
        <v>34280166</v>
      </c>
      <c r="I3768">
        <v>31241780</v>
      </c>
      <c r="J3768">
        <v>20587148</v>
      </c>
      <c r="K3768">
        <v>62237287</v>
      </c>
      <c r="L3768">
        <v>145169186</v>
      </c>
      <c r="M3768">
        <v>74399676</v>
      </c>
      <c r="N3768">
        <v>34540542</v>
      </c>
      <c r="O3768">
        <v>2549085</v>
      </c>
      <c r="P3768">
        <v>109</v>
      </c>
      <c r="Q3768" t="s">
        <v>7882</v>
      </c>
    </row>
    <row r="3769" spans="1:17" x14ac:dyDescent="0.3">
      <c r="A3769" t="s">
        <v>4664</v>
      </c>
      <c r="B3769" t="str">
        <f>"300012"</f>
        <v>300012</v>
      </c>
      <c r="C3769" t="s">
        <v>7883</v>
      </c>
      <c r="D3769" t="s">
        <v>2499</v>
      </c>
      <c r="F3769">
        <v>553600644</v>
      </c>
      <c r="G3769">
        <v>398215497</v>
      </c>
      <c r="H3769">
        <v>360245348</v>
      </c>
      <c r="I3769">
        <v>161478792</v>
      </c>
      <c r="J3769">
        <v>100475598</v>
      </c>
      <c r="K3769">
        <v>75406821</v>
      </c>
      <c r="L3769">
        <v>74685232</v>
      </c>
      <c r="M3769">
        <v>84289254</v>
      </c>
      <c r="N3769">
        <v>101891678</v>
      </c>
      <c r="O3769">
        <v>78273832</v>
      </c>
      <c r="P3769">
        <v>1300</v>
      </c>
      <c r="Q3769" t="s">
        <v>7884</v>
      </c>
    </row>
    <row r="3770" spans="1:17" x14ac:dyDescent="0.3">
      <c r="A3770" t="s">
        <v>4664</v>
      </c>
      <c r="B3770" t="str">
        <f>"300013"</f>
        <v>300013</v>
      </c>
      <c r="C3770" t="s">
        <v>7885</v>
      </c>
      <c r="D3770" t="s">
        <v>3098</v>
      </c>
      <c r="F3770">
        <v>-30415791</v>
      </c>
      <c r="G3770">
        <v>-32718432</v>
      </c>
      <c r="H3770">
        <v>20689535</v>
      </c>
      <c r="I3770">
        <v>37584462</v>
      </c>
      <c r="J3770">
        <v>71132238</v>
      </c>
      <c r="K3770">
        <v>24439926</v>
      </c>
      <c r="L3770">
        <v>969392</v>
      </c>
      <c r="M3770">
        <v>9501462</v>
      </c>
      <c r="N3770">
        <v>10166140</v>
      </c>
      <c r="O3770">
        <v>9045368</v>
      </c>
      <c r="P3770">
        <v>70</v>
      </c>
      <c r="Q3770" t="s">
        <v>7886</v>
      </c>
    </row>
    <row r="3771" spans="1:17" x14ac:dyDescent="0.3">
      <c r="A3771" t="s">
        <v>4664</v>
      </c>
      <c r="B3771" t="str">
        <f>"300014"</f>
        <v>300014</v>
      </c>
      <c r="C3771" t="s">
        <v>7887</v>
      </c>
      <c r="D3771" t="s">
        <v>359</v>
      </c>
      <c r="F3771">
        <v>2215804927</v>
      </c>
      <c r="G3771">
        <v>946178396</v>
      </c>
      <c r="H3771">
        <v>1158766723</v>
      </c>
      <c r="I3771">
        <v>378755584</v>
      </c>
      <c r="J3771">
        <v>323135591</v>
      </c>
      <c r="K3771">
        <v>158767280.81</v>
      </c>
      <c r="L3771">
        <v>93670298.060000002</v>
      </c>
      <c r="M3771">
        <v>62380326.359999999</v>
      </c>
      <c r="N3771">
        <v>100586843.69</v>
      </c>
      <c r="O3771">
        <v>61253416.289999999</v>
      </c>
      <c r="P3771">
        <v>2493</v>
      </c>
      <c r="Q3771" t="s">
        <v>7888</v>
      </c>
    </row>
    <row r="3772" spans="1:17" x14ac:dyDescent="0.3">
      <c r="A3772" t="s">
        <v>4664</v>
      </c>
      <c r="B3772" t="str">
        <f>"300015"</f>
        <v>300015</v>
      </c>
      <c r="C3772" t="s">
        <v>7889</v>
      </c>
      <c r="D3772" t="s">
        <v>1147</v>
      </c>
      <c r="F3772">
        <v>2003497304</v>
      </c>
      <c r="G3772">
        <v>1546035448</v>
      </c>
      <c r="H3772">
        <v>1230886017</v>
      </c>
      <c r="I3772">
        <v>894833688</v>
      </c>
      <c r="J3772">
        <v>632692914</v>
      </c>
      <c r="K3772">
        <v>468453151</v>
      </c>
      <c r="L3772">
        <v>358403839</v>
      </c>
      <c r="M3772">
        <v>254927488</v>
      </c>
      <c r="N3772">
        <v>182046760</v>
      </c>
      <c r="O3772">
        <v>148085098</v>
      </c>
      <c r="P3772">
        <v>11094</v>
      </c>
      <c r="Q3772" t="s">
        <v>7890</v>
      </c>
    </row>
    <row r="3773" spans="1:17" x14ac:dyDescent="0.3">
      <c r="A3773" t="s">
        <v>4664</v>
      </c>
      <c r="B3773" t="str">
        <f>"300016"</f>
        <v>300016</v>
      </c>
      <c r="C3773" t="s">
        <v>7891</v>
      </c>
      <c r="D3773" t="s">
        <v>143</v>
      </c>
      <c r="F3773">
        <v>129741225</v>
      </c>
      <c r="G3773">
        <v>160504464</v>
      </c>
      <c r="H3773">
        <v>167152730</v>
      </c>
      <c r="I3773">
        <v>126333534</v>
      </c>
      <c r="J3773">
        <v>103530988</v>
      </c>
      <c r="K3773">
        <v>81884676</v>
      </c>
      <c r="L3773">
        <v>78446562</v>
      </c>
      <c r="M3773">
        <v>60904887</v>
      </c>
      <c r="N3773">
        <v>48938279</v>
      </c>
      <c r="O3773">
        <v>46489383</v>
      </c>
      <c r="P3773">
        <v>305</v>
      </c>
      <c r="Q3773" t="s">
        <v>7892</v>
      </c>
    </row>
    <row r="3774" spans="1:17" x14ac:dyDescent="0.3">
      <c r="A3774" t="s">
        <v>4664</v>
      </c>
      <c r="B3774" t="str">
        <f>"300017"</f>
        <v>300017</v>
      </c>
      <c r="C3774" t="s">
        <v>7893</v>
      </c>
      <c r="D3774" t="s">
        <v>316</v>
      </c>
      <c r="F3774">
        <v>141252104</v>
      </c>
      <c r="G3774">
        <v>208083590</v>
      </c>
      <c r="H3774">
        <v>773981423</v>
      </c>
      <c r="I3774">
        <v>613321831</v>
      </c>
      <c r="J3774">
        <v>572346381</v>
      </c>
      <c r="K3774">
        <v>916137449</v>
      </c>
      <c r="L3774">
        <v>558079237</v>
      </c>
      <c r="M3774">
        <v>305904796</v>
      </c>
      <c r="N3774">
        <v>134003222</v>
      </c>
      <c r="O3774">
        <v>54047028</v>
      </c>
      <c r="P3774">
        <v>759</v>
      </c>
      <c r="Q3774" t="s">
        <v>7894</v>
      </c>
    </row>
    <row r="3775" spans="1:17" x14ac:dyDescent="0.3">
      <c r="A3775" t="s">
        <v>4664</v>
      </c>
      <c r="B3775" t="str">
        <f>"300018"</f>
        <v>300018</v>
      </c>
      <c r="C3775" t="s">
        <v>7895</v>
      </c>
      <c r="D3775" t="s">
        <v>610</v>
      </c>
      <c r="F3775">
        <v>71520516</v>
      </c>
      <c r="G3775">
        <v>22016602</v>
      </c>
      <c r="H3775">
        <v>18768669</v>
      </c>
      <c r="I3775">
        <v>3090048</v>
      </c>
      <c r="J3775">
        <v>48380912</v>
      </c>
      <c r="K3775">
        <v>56832187</v>
      </c>
      <c r="L3775">
        <v>31515919</v>
      </c>
      <c r="M3775">
        <v>26481570</v>
      </c>
      <c r="N3775">
        <v>24832419</v>
      </c>
      <c r="O3775">
        <v>30165991</v>
      </c>
      <c r="P3775">
        <v>127</v>
      </c>
      <c r="Q3775" t="s">
        <v>7896</v>
      </c>
    </row>
    <row r="3776" spans="1:17" x14ac:dyDescent="0.3">
      <c r="A3776" t="s">
        <v>4664</v>
      </c>
      <c r="B3776" t="str">
        <f>"300019"</f>
        <v>300019</v>
      </c>
      <c r="C3776" t="s">
        <v>7897</v>
      </c>
      <c r="D3776" t="s">
        <v>1205</v>
      </c>
      <c r="F3776">
        <v>161642904</v>
      </c>
      <c r="G3776">
        <v>134535483</v>
      </c>
      <c r="H3776">
        <v>83061254</v>
      </c>
      <c r="I3776">
        <v>20657361</v>
      </c>
      <c r="J3776">
        <v>33951971</v>
      </c>
      <c r="K3776">
        <v>67505600</v>
      </c>
      <c r="L3776">
        <v>62293511</v>
      </c>
      <c r="M3776">
        <v>59029909</v>
      </c>
      <c r="N3776">
        <v>56190114</v>
      </c>
      <c r="O3776">
        <v>46251593</v>
      </c>
      <c r="P3776">
        <v>295</v>
      </c>
      <c r="Q3776" t="s">
        <v>7898</v>
      </c>
    </row>
    <row r="3777" spans="1:17" x14ac:dyDescent="0.3">
      <c r="A3777" t="s">
        <v>4664</v>
      </c>
      <c r="B3777" t="str">
        <f>"300020"</f>
        <v>300020</v>
      </c>
      <c r="C3777" t="s">
        <v>7899</v>
      </c>
      <c r="D3777" t="s">
        <v>316</v>
      </c>
      <c r="F3777">
        <v>106082424</v>
      </c>
      <c r="G3777">
        <v>131391257</v>
      </c>
      <c r="H3777">
        <v>135774129</v>
      </c>
      <c r="I3777">
        <v>12361116</v>
      </c>
      <c r="J3777">
        <v>122887663</v>
      </c>
      <c r="K3777">
        <v>236898106</v>
      </c>
      <c r="L3777">
        <v>139243578</v>
      </c>
      <c r="M3777">
        <v>132268337</v>
      </c>
      <c r="N3777">
        <v>93014699</v>
      </c>
      <c r="O3777">
        <v>68207719</v>
      </c>
      <c r="P3777">
        <v>237</v>
      </c>
      <c r="Q3777" t="s">
        <v>7900</v>
      </c>
    </row>
    <row r="3778" spans="1:17" x14ac:dyDescent="0.3">
      <c r="A3778" t="s">
        <v>4664</v>
      </c>
      <c r="B3778" t="str">
        <f>"300021"</f>
        <v>300021</v>
      </c>
      <c r="C3778" t="s">
        <v>7901</v>
      </c>
      <c r="D3778" t="s">
        <v>6816</v>
      </c>
      <c r="F3778">
        <v>62327232</v>
      </c>
      <c r="G3778">
        <v>48194893</v>
      </c>
      <c r="H3778">
        <v>83855606</v>
      </c>
      <c r="I3778">
        <v>57244366</v>
      </c>
      <c r="J3778">
        <v>29926226</v>
      </c>
      <c r="K3778">
        <v>20951398</v>
      </c>
      <c r="L3778">
        <v>17529971</v>
      </c>
      <c r="M3778">
        <v>12379919</v>
      </c>
      <c r="N3778">
        <v>15022036</v>
      </c>
      <c r="O3778">
        <v>20890806</v>
      </c>
      <c r="P3778">
        <v>174</v>
      </c>
      <c r="Q3778" t="s">
        <v>7902</v>
      </c>
    </row>
    <row r="3779" spans="1:17" x14ac:dyDescent="0.3">
      <c r="A3779" t="s">
        <v>4664</v>
      </c>
      <c r="B3779" t="str">
        <f>"300022"</f>
        <v>300022</v>
      </c>
      <c r="C3779" t="s">
        <v>7903</v>
      </c>
      <c r="D3779" t="s">
        <v>295</v>
      </c>
      <c r="F3779">
        <v>-3569486</v>
      </c>
      <c r="G3779">
        <v>-5368445</v>
      </c>
      <c r="H3779">
        <v>-57788173</v>
      </c>
      <c r="I3779">
        <v>2296673</v>
      </c>
      <c r="J3779">
        <v>-10170135</v>
      </c>
      <c r="K3779">
        <v>20940767</v>
      </c>
      <c r="L3779">
        <v>5225982</v>
      </c>
      <c r="M3779">
        <v>-99058291</v>
      </c>
      <c r="N3779">
        <v>-35579757</v>
      </c>
      <c r="O3779">
        <v>41993607</v>
      </c>
      <c r="P3779">
        <v>63</v>
      </c>
      <c r="Q3779" t="s">
        <v>7904</v>
      </c>
    </row>
    <row r="3780" spans="1:17" x14ac:dyDescent="0.3">
      <c r="A3780" t="s">
        <v>4664</v>
      </c>
      <c r="B3780" t="str">
        <f>"300023"</f>
        <v>300023</v>
      </c>
      <c r="C3780" t="s">
        <v>7905</v>
      </c>
      <c r="D3780" t="s">
        <v>140</v>
      </c>
      <c r="F3780">
        <v>46881560</v>
      </c>
      <c r="G3780">
        <v>-529980</v>
      </c>
      <c r="H3780">
        <v>-191042494</v>
      </c>
      <c r="I3780">
        <v>-18385459</v>
      </c>
      <c r="J3780">
        <v>82330544</v>
      </c>
      <c r="K3780">
        <v>35192184</v>
      </c>
      <c r="L3780">
        <v>2058763</v>
      </c>
      <c r="M3780">
        <v>8444750</v>
      </c>
      <c r="N3780">
        <v>-11055164</v>
      </c>
      <c r="O3780">
        <v>1565151</v>
      </c>
      <c r="P3780">
        <v>61</v>
      </c>
      <c r="Q3780" t="s">
        <v>7906</v>
      </c>
    </row>
    <row r="3781" spans="1:17" x14ac:dyDescent="0.3">
      <c r="A3781" t="s">
        <v>4664</v>
      </c>
      <c r="B3781" t="str">
        <f>"300024"</f>
        <v>300024</v>
      </c>
      <c r="C3781" t="s">
        <v>2911</v>
      </c>
      <c r="D3781" t="s">
        <v>2911</v>
      </c>
      <c r="F3781">
        <v>-295970328</v>
      </c>
      <c r="G3781">
        <v>134380811</v>
      </c>
      <c r="H3781">
        <v>287003039</v>
      </c>
      <c r="I3781">
        <v>329259038</v>
      </c>
      <c r="J3781">
        <v>273713305</v>
      </c>
      <c r="K3781">
        <v>248463633</v>
      </c>
      <c r="L3781">
        <v>231798175</v>
      </c>
      <c r="M3781">
        <v>191447110</v>
      </c>
      <c r="N3781">
        <v>153128110</v>
      </c>
      <c r="O3781">
        <v>117462156</v>
      </c>
      <c r="P3781">
        <v>547</v>
      </c>
      <c r="Q3781" t="s">
        <v>7907</v>
      </c>
    </row>
    <row r="3782" spans="1:17" x14ac:dyDescent="0.3">
      <c r="A3782" t="s">
        <v>4664</v>
      </c>
      <c r="B3782" t="str">
        <f>"300025"</f>
        <v>300025</v>
      </c>
      <c r="C3782" t="s">
        <v>7908</v>
      </c>
      <c r="D3782" t="s">
        <v>654</v>
      </c>
      <c r="F3782">
        <v>-12843071</v>
      </c>
      <c r="G3782">
        <v>-37627435</v>
      </c>
      <c r="H3782">
        <v>4575676</v>
      </c>
      <c r="I3782">
        <v>-36179156</v>
      </c>
      <c r="J3782">
        <v>21871876</v>
      </c>
      <c r="K3782">
        <v>35651734</v>
      </c>
      <c r="L3782">
        <v>47350368</v>
      </c>
      <c r="M3782">
        <v>40116262</v>
      </c>
      <c r="N3782">
        <v>-3468270</v>
      </c>
      <c r="O3782">
        <v>18609632</v>
      </c>
      <c r="P3782">
        <v>223</v>
      </c>
      <c r="Q3782" t="s">
        <v>7909</v>
      </c>
    </row>
    <row r="3783" spans="1:17" x14ac:dyDescent="0.3">
      <c r="A3783" t="s">
        <v>4664</v>
      </c>
      <c r="B3783" t="str">
        <f>"300026"</f>
        <v>300026</v>
      </c>
      <c r="C3783" t="s">
        <v>7910</v>
      </c>
      <c r="D3783" t="s">
        <v>188</v>
      </c>
      <c r="F3783">
        <v>637084718</v>
      </c>
      <c r="G3783">
        <v>599127975</v>
      </c>
      <c r="H3783">
        <v>516260979</v>
      </c>
      <c r="I3783">
        <v>463232806</v>
      </c>
      <c r="J3783">
        <v>450913790</v>
      </c>
      <c r="K3783">
        <v>476192876</v>
      </c>
      <c r="L3783">
        <v>428905872</v>
      </c>
      <c r="M3783">
        <v>334781066</v>
      </c>
      <c r="N3783">
        <v>253327945</v>
      </c>
      <c r="O3783">
        <v>175948620</v>
      </c>
      <c r="P3783">
        <v>417</v>
      </c>
      <c r="Q3783" t="s">
        <v>7911</v>
      </c>
    </row>
    <row r="3784" spans="1:17" x14ac:dyDescent="0.3">
      <c r="A3784" t="s">
        <v>4664</v>
      </c>
      <c r="B3784" t="str">
        <f>"300027"</f>
        <v>300027</v>
      </c>
      <c r="C3784" t="s">
        <v>7912</v>
      </c>
      <c r="D3784" t="s">
        <v>113</v>
      </c>
      <c r="F3784">
        <v>583019212</v>
      </c>
      <c r="G3784">
        <v>-325943330</v>
      </c>
      <c r="H3784">
        <v>-652215779</v>
      </c>
      <c r="I3784">
        <v>328467253</v>
      </c>
      <c r="J3784">
        <v>601421692</v>
      </c>
      <c r="K3784">
        <v>622268580</v>
      </c>
      <c r="L3784">
        <v>614082679</v>
      </c>
      <c r="M3784">
        <v>454913044</v>
      </c>
      <c r="N3784">
        <v>411980212</v>
      </c>
      <c r="O3784">
        <v>134256246</v>
      </c>
      <c r="P3784">
        <v>475</v>
      </c>
      <c r="Q3784" t="s">
        <v>7913</v>
      </c>
    </row>
    <row r="3785" spans="1:17" x14ac:dyDescent="0.3">
      <c r="A3785" t="s">
        <v>4664</v>
      </c>
      <c r="B3785" t="str">
        <f>"300028"</f>
        <v>300028</v>
      </c>
      <c r="C3785" t="s">
        <v>7914</v>
      </c>
      <c r="H3785">
        <v>-20764850</v>
      </c>
      <c r="I3785">
        <v>35975519</v>
      </c>
      <c r="J3785">
        <v>-30070607</v>
      </c>
      <c r="K3785">
        <v>8721821</v>
      </c>
      <c r="L3785">
        <v>-94465880</v>
      </c>
      <c r="M3785">
        <v>21416506</v>
      </c>
      <c r="N3785">
        <v>5391377</v>
      </c>
      <c r="O3785">
        <v>30356268</v>
      </c>
      <c r="P3785">
        <v>31</v>
      </c>
      <c r="Q3785" t="s">
        <v>7915</v>
      </c>
    </row>
    <row r="3786" spans="1:17" x14ac:dyDescent="0.3">
      <c r="A3786" t="s">
        <v>4664</v>
      </c>
      <c r="B3786" t="str">
        <f>"300029"</f>
        <v>300029</v>
      </c>
      <c r="C3786" t="s">
        <v>7916</v>
      </c>
      <c r="D3786" t="s">
        <v>2654</v>
      </c>
      <c r="F3786">
        <v>-32266444</v>
      </c>
      <c r="G3786">
        <v>-26442465</v>
      </c>
      <c r="H3786">
        <v>-36190600</v>
      </c>
      <c r="I3786">
        <v>-30096683</v>
      </c>
      <c r="J3786">
        <v>-13693570</v>
      </c>
      <c r="K3786">
        <v>-26452104</v>
      </c>
      <c r="L3786">
        <v>-35433681</v>
      </c>
      <c r="M3786">
        <v>-62470999</v>
      </c>
      <c r="N3786">
        <v>-34523001</v>
      </c>
      <c r="O3786">
        <v>-85314798</v>
      </c>
      <c r="P3786">
        <v>66</v>
      </c>
      <c r="Q3786" t="s">
        <v>7917</v>
      </c>
    </row>
    <row r="3787" spans="1:17" x14ac:dyDescent="0.3">
      <c r="A3787" t="s">
        <v>4664</v>
      </c>
      <c r="B3787" t="str">
        <f>"300030"</f>
        <v>300030</v>
      </c>
      <c r="C3787" t="s">
        <v>7918</v>
      </c>
      <c r="D3787" t="s">
        <v>122</v>
      </c>
      <c r="F3787">
        <v>34084358</v>
      </c>
      <c r="G3787">
        <v>207654211</v>
      </c>
      <c r="H3787">
        <v>22926130</v>
      </c>
      <c r="I3787">
        <v>15162152</v>
      </c>
      <c r="J3787">
        <v>15045241</v>
      </c>
      <c r="K3787">
        <v>21514938</v>
      </c>
      <c r="L3787">
        <v>28967162</v>
      </c>
      <c r="M3787">
        <v>40688434</v>
      </c>
      <c r="N3787">
        <v>28932467</v>
      </c>
      <c r="O3787">
        <v>27562970</v>
      </c>
      <c r="P3787">
        <v>182</v>
      </c>
      <c r="Q3787" t="s">
        <v>7919</v>
      </c>
    </row>
    <row r="3788" spans="1:17" x14ac:dyDescent="0.3">
      <c r="A3788" t="s">
        <v>4664</v>
      </c>
      <c r="B3788" t="str">
        <f>"300031"</f>
        <v>300031</v>
      </c>
      <c r="C3788" t="s">
        <v>7920</v>
      </c>
      <c r="D3788" t="s">
        <v>517</v>
      </c>
      <c r="F3788">
        <v>333264480</v>
      </c>
      <c r="G3788">
        <v>316208004</v>
      </c>
      <c r="H3788">
        <v>232773580</v>
      </c>
      <c r="I3788">
        <v>221600013</v>
      </c>
      <c r="J3788">
        <v>160532793</v>
      </c>
      <c r="K3788">
        <v>114898155</v>
      </c>
      <c r="L3788">
        <v>56506995</v>
      </c>
      <c r="M3788">
        <v>53050073</v>
      </c>
      <c r="N3788">
        <v>72364057</v>
      </c>
      <c r="O3788">
        <v>60821377</v>
      </c>
      <c r="P3788">
        <v>259</v>
      </c>
      <c r="Q3788" t="s">
        <v>7921</v>
      </c>
    </row>
    <row r="3789" spans="1:17" x14ac:dyDescent="0.3">
      <c r="A3789" t="s">
        <v>4664</v>
      </c>
      <c r="B3789" t="str">
        <f>"300032"</f>
        <v>300032</v>
      </c>
      <c r="C3789" t="s">
        <v>7922</v>
      </c>
      <c r="D3789" t="s">
        <v>313</v>
      </c>
      <c r="F3789">
        <v>206778310</v>
      </c>
      <c r="G3789">
        <v>10590923</v>
      </c>
      <c r="H3789">
        <v>-40168840</v>
      </c>
      <c r="I3789">
        <v>-1554446035</v>
      </c>
      <c r="J3789">
        <v>307238051</v>
      </c>
      <c r="K3789">
        <v>141602310</v>
      </c>
      <c r="L3789">
        <v>320319471</v>
      </c>
      <c r="M3789">
        <v>18242427</v>
      </c>
      <c r="N3789">
        <v>25831026</v>
      </c>
      <c r="O3789">
        <v>24081635</v>
      </c>
      <c r="P3789">
        <v>152</v>
      </c>
      <c r="Q3789" t="s">
        <v>7923</v>
      </c>
    </row>
    <row r="3790" spans="1:17" x14ac:dyDescent="0.3">
      <c r="A3790" t="s">
        <v>4664</v>
      </c>
      <c r="B3790" t="str">
        <f>"300033"</f>
        <v>300033</v>
      </c>
      <c r="C3790" t="s">
        <v>7924</v>
      </c>
      <c r="D3790" t="s">
        <v>945</v>
      </c>
      <c r="F3790">
        <v>990652349</v>
      </c>
      <c r="G3790">
        <v>772099972</v>
      </c>
      <c r="H3790">
        <v>458359357</v>
      </c>
      <c r="I3790">
        <v>318539146</v>
      </c>
      <c r="J3790">
        <v>471064626</v>
      </c>
      <c r="K3790">
        <v>722278245</v>
      </c>
      <c r="L3790">
        <v>489308767</v>
      </c>
      <c r="M3790">
        <v>21464081</v>
      </c>
      <c r="N3790">
        <v>12477811</v>
      </c>
      <c r="O3790">
        <v>16393855</v>
      </c>
      <c r="P3790">
        <v>2726</v>
      </c>
      <c r="Q3790" t="s">
        <v>7925</v>
      </c>
    </row>
    <row r="3791" spans="1:17" x14ac:dyDescent="0.3">
      <c r="A3791" t="s">
        <v>4664</v>
      </c>
      <c r="B3791" t="str">
        <f>"300034"</f>
        <v>300034</v>
      </c>
      <c r="C3791" t="s">
        <v>7926</v>
      </c>
      <c r="D3791" t="s">
        <v>98</v>
      </c>
      <c r="F3791">
        <v>253265313</v>
      </c>
      <c r="G3791">
        <v>130046026</v>
      </c>
      <c r="H3791">
        <v>127052570</v>
      </c>
      <c r="I3791">
        <v>67494846</v>
      </c>
      <c r="J3791">
        <v>42890982</v>
      </c>
      <c r="K3791">
        <v>67764971</v>
      </c>
      <c r="L3791">
        <v>67085783</v>
      </c>
      <c r="M3791">
        <v>77544726</v>
      </c>
      <c r="N3791">
        <v>61019520</v>
      </c>
      <c r="O3791">
        <v>52488271</v>
      </c>
      <c r="P3791">
        <v>282</v>
      </c>
      <c r="Q3791" t="s">
        <v>7927</v>
      </c>
    </row>
    <row r="3792" spans="1:17" x14ac:dyDescent="0.3">
      <c r="A3792" t="s">
        <v>4664</v>
      </c>
      <c r="B3792" t="str">
        <f>"300035"</f>
        <v>300035</v>
      </c>
      <c r="C3792" t="s">
        <v>7928</v>
      </c>
      <c r="D3792" t="s">
        <v>1786</v>
      </c>
      <c r="F3792">
        <v>250670430</v>
      </c>
      <c r="G3792">
        <v>112478822</v>
      </c>
      <c r="H3792">
        <v>122012328</v>
      </c>
      <c r="I3792">
        <v>72504696</v>
      </c>
      <c r="J3792">
        <v>40635706</v>
      </c>
      <c r="K3792">
        <v>21084409</v>
      </c>
      <c r="L3792">
        <v>16860198</v>
      </c>
      <c r="M3792">
        <v>18567177</v>
      </c>
      <c r="N3792">
        <v>67844875</v>
      </c>
      <c r="O3792">
        <v>26307918</v>
      </c>
      <c r="P3792">
        <v>272</v>
      </c>
      <c r="Q3792" t="s">
        <v>7929</v>
      </c>
    </row>
    <row r="3793" spans="1:17" x14ac:dyDescent="0.3">
      <c r="A3793" t="s">
        <v>4664</v>
      </c>
      <c r="B3793" t="str">
        <f>"300036"</f>
        <v>300036</v>
      </c>
      <c r="C3793" t="s">
        <v>7930</v>
      </c>
      <c r="D3793" t="s">
        <v>1189</v>
      </c>
      <c r="F3793">
        <v>190422792</v>
      </c>
      <c r="G3793">
        <v>144770586</v>
      </c>
      <c r="H3793">
        <v>128524064</v>
      </c>
      <c r="I3793">
        <v>106084033</v>
      </c>
      <c r="J3793">
        <v>70037178</v>
      </c>
      <c r="K3793">
        <v>34866782</v>
      </c>
      <c r="L3793">
        <v>9792799</v>
      </c>
      <c r="M3793">
        <v>-8045047</v>
      </c>
      <c r="N3793">
        <v>8705116</v>
      </c>
      <c r="O3793">
        <v>3153165</v>
      </c>
      <c r="P3793">
        <v>545</v>
      </c>
      <c r="Q3793" t="s">
        <v>7931</v>
      </c>
    </row>
    <row r="3794" spans="1:17" x14ac:dyDescent="0.3">
      <c r="A3794" t="s">
        <v>4664</v>
      </c>
      <c r="B3794" t="str">
        <f>"300037"</f>
        <v>300037</v>
      </c>
      <c r="C3794" t="s">
        <v>7932</v>
      </c>
      <c r="D3794" t="s">
        <v>1786</v>
      </c>
      <c r="F3794">
        <v>867950020</v>
      </c>
      <c r="G3794">
        <v>373802841</v>
      </c>
      <c r="H3794">
        <v>239294858</v>
      </c>
      <c r="I3794">
        <v>207938193</v>
      </c>
      <c r="J3794">
        <v>203641427</v>
      </c>
      <c r="K3794">
        <v>189182389</v>
      </c>
      <c r="L3794">
        <v>78734104</v>
      </c>
      <c r="M3794">
        <v>99168397</v>
      </c>
      <c r="N3794">
        <v>86709405</v>
      </c>
      <c r="O3794">
        <v>93850280</v>
      </c>
      <c r="P3794">
        <v>830</v>
      </c>
      <c r="Q3794" t="s">
        <v>7933</v>
      </c>
    </row>
    <row r="3795" spans="1:17" x14ac:dyDescent="0.3">
      <c r="A3795" t="s">
        <v>4664</v>
      </c>
      <c r="B3795" t="str">
        <f>"300038"</f>
        <v>300038</v>
      </c>
      <c r="C3795" t="s">
        <v>7934</v>
      </c>
      <c r="D3795" t="s">
        <v>207</v>
      </c>
      <c r="F3795">
        <v>-183296708</v>
      </c>
      <c r="G3795">
        <v>16753717</v>
      </c>
      <c r="H3795">
        <v>501820301</v>
      </c>
      <c r="I3795">
        <v>554692760</v>
      </c>
      <c r="J3795">
        <v>318023627</v>
      </c>
      <c r="K3795">
        <v>70260938</v>
      </c>
      <c r="L3795">
        <v>35837073</v>
      </c>
      <c r="M3795">
        <v>33409194</v>
      </c>
      <c r="N3795">
        <v>25331933</v>
      </c>
      <c r="O3795">
        <v>22618206</v>
      </c>
      <c r="P3795">
        <v>263</v>
      </c>
      <c r="Q3795" t="s">
        <v>7935</v>
      </c>
    </row>
    <row r="3796" spans="1:17" x14ac:dyDescent="0.3">
      <c r="A3796" t="s">
        <v>4664</v>
      </c>
      <c r="B3796" t="str">
        <f>"300039"</f>
        <v>300039</v>
      </c>
      <c r="C3796" t="s">
        <v>7936</v>
      </c>
      <c r="D3796" t="s">
        <v>188</v>
      </c>
      <c r="F3796">
        <v>115498711</v>
      </c>
      <c r="G3796">
        <v>105737382</v>
      </c>
      <c r="H3796">
        <v>208297435</v>
      </c>
      <c r="I3796">
        <v>238451421</v>
      </c>
      <c r="J3796">
        <v>264522570</v>
      </c>
      <c r="K3796">
        <v>259944568</v>
      </c>
      <c r="L3796">
        <v>254465524</v>
      </c>
      <c r="M3796">
        <v>274476128</v>
      </c>
      <c r="N3796">
        <v>249185014</v>
      </c>
      <c r="O3796">
        <v>186316264</v>
      </c>
      <c r="P3796">
        <v>223</v>
      </c>
      <c r="Q3796" t="s">
        <v>7937</v>
      </c>
    </row>
    <row r="3797" spans="1:17" x14ac:dyDescent="0.3">
      <c r="A3797" t="s">
        <v>4664</v>
      </c>
      <c r="B3797" t="str">
        <f>"300040"</f>
        <v>300040</v>
      </c>
      <c r="C3797" t="s">
        <v>7938</v>
      </c>
      <c r="D3797" t="s">
        <v>610</v>
      </c>
      <c r="F3797">
        <v>110833389</v>
      </c>
      <c r="G3797">
        <v>56207987</v>
      </c>
      <c r="H3797">
        <v>42337691</v>
      </c>
      <c r="I3797">
        <v>54719052</v>
      </c>
      <c r="J3797">
        <v>98924334</v>
      </c>
      <c r="K3797">
        <v>41473383</v>
      </c>
      <c r="L3797">
        <v>-27473446</v>
      </c>
      <c r="M3797">
        <v>4689658</v>
      </c>
      <c r="N3797">
        <v>12083488</v>
      </c>
      <c r="O3797">
        <v>15961987</v>
      </c>
      <c r="P3797">
        <v>214</v>
      </c>
      <c r="Q3797" t="s">
        <v>7939</v>
      </c>
    </row>
    <row r="3798" spans="1:17" x14ac:dyDescent="0.3">
      <c r="A3798" t="s">
        <v>4664</v>
      </c>
      <c r="B3798" t="str">
        <f>"300041"</f>
        <v>300041</v>
      </c>
      <c r="C3798" t="s">
        <v>7940</v>
      </c>
      <c r="D3798" t="s">
        <v>1205</v>
      </c>
      <c r="F3798">
        <v>217711650</v>
      </c>
      <c r="G3798">
        <v>196630704</v>
      </c>
      <c r="H3798">
        <v>147224038</v>
      </c>
      <c r="I3798">
        <v>110336430</v>
      </c>
      <c r="J3798">
        <v>90530101</v>
      </c>
      <c r="K3798">
        <v>77735050</v>
      </c>
      <c r="L3798">
        <v>58624048</v>
      </c>
      <c r="M3798">
        <v>76491081</v>
      </c>
      <c r="N3798">
        <v>60869946</v>
      </c>
      <c r="O3798">
        <v>58378480</v>
      </c>
      <c r="P3798">
        <v>253</v>
      </c>
      <c r="Q3798" t="s">
        <v>7941</v>
      </c>
    </row>
    <row r="3799" spans="1:17" x14ac:dyDescent="0.3">
      <c r="A3799" t="s">
        <v>4664</v>
      </c>
      <c r="B3799" t="str">
        <f>"300042"</f>
        <v>300042</v>
      </c>
      <c r="C3799" t="s">
        <v>7942</v>
      </c>
      <c r="D3799" t="s">
        <v>236</v>
      </c>
      <c r="F3799">
        <v>64758936</v>
      </c>
      <c r="G3799">
        <v>55785002</v>
      </c>
      <c r="H3799">
        <v>51060913</v>
      </c>
      <c r="I3799">
        <v>42788132</v>
      </c>
      <c r="J3799">
        <v>36661035</v>
      </c>
      <c r="K3799">
        <v>33508603</v>
      </c>
      <c r="L3799">
        <v>18649005</v>
      </c>
      <c r="M3799">
        <v>20545180</v>
      </c>
      <c r="N3799">
        <v>8244554</v>
      </c>
      <c r="O3799">
        <v>13582882</v>
      </c>
      <c r="P3799">
        <v>116</v>
      </c>
      <c r="Q3799" t="s">
        <v>7943</v>
      </c>
    </row>
    <row r="3800" spans="1:17" x14ac:dyDescent="0.3">
      <c r="A3800" t="s">
        <v>4664</v>
      </c>
      <c r="B3800" t="str">
        <f>"300043"</f>
        <v>300043</v>
      </c>
      <c r="C3800" t="s">
        <v>7944</v>
      </c>
      <c r="D3800" t="s">
        <v>517</v>
      </c>
      <c r="F3800">
        <v>-249477086</v>
      </c>
      <c r="G3800">
        <v>27006889</v>
      </c>
      <c r="H3800">
        <v>339107778</v>
      </c>
      <c r="I3800">
        <v>212495429</v>
      </c>
      <c r="J3800">
        <v>245331754</v>
      </c>
      <c r="K3800">
        <v>371106093</v>
      </c>
      <c r="L3800">
        <v>247792255</v>
      </c>
      <c r="M3800">
        <v>149192755</v>
      </c>
      <c r="N3800">
        <v>95552466</v>
      </c>
      <c r="O3800">
        <v>76967340</v>
      </c>
      <c r="P3800">
        <v>182</v>
      </c>
      <c r="Q3800" t="s">
        <v>7945</v>
      </c>
    </row>
    <row r="3801" spans="1:17" x14ac:dyDescent="0.3">
      <c r="A3801" t="s">
        <v>4664</v>
      </c>
      <c r="B3801" t="str">
        <f>"300044"</f>
        <v>300044</v>
      </c>
      <c r="C3801" t="s">
        <v>7946</v>
      </c>
      <c r="D3801" t="s">
        <v>316</v>
      </c>
      <c r="F3801">
        <v>10474225</v>
      </c>
      <c r="G3801">
        <v>106742841</v>
      </c>
      <c r="H3801">
        <v>103499167</v>
      </c>
      <c r="I3801">
        <v>109306699</v>
      </c>
      <c r="J3801">
        <v>88659301</v>
      </c>
      <c r="K3801">
        <v>32975662</v>
      </c>
      <c r="L3801">
        <v>17891115</v>
      </c>
      <c r="M3801">
        <v>30526479</v>
      </c>
      <c r="N3801">
        <v>25986171</v>
      </c>
      <c r="O3801">
        <v>24012981</v>
      </c>
      <c r="P3801">
        <v>289</v>
      </c>
      <c r="Q3801" t="s">
        <v>7947</v>
      </c>
    </row>
    <row r="3802" spans="1:17" x14ac:dyDescent="0.3">
      <c r="A3802" t="s">
        <v>4664</v>
      </c>
      <c r="B3802" t="str">
        <f>"300045"</f>
        <v>300045</v>
      </c>
      <c r="C3802" t="s">
        <v>7948</v>
      </c>
      <c r="D3802" t="s">
        <v>1136</v>
      </c>
      <c r="F3802">
        <v>35729175</v>
      </c>
      <c r="G3802">
        <v>46127142</v>
      </c>
      <c r="H3802">
        <v>41304665</v>
      </c>
      <c r="I3802">
        <v>48343178</v>
      </c>
      <c r="J3802">
        <v>28005804</v>
      </c>
      <c r="K3802">
        <v>23637783</v>
      </c>
      <c r="L3802">
        <v>20600642</v>
      </c>
      <c r="M3802">
        <v>26725954</v>
      </c>
      <c r="N3802">
        <v>4281821</v>
      </c>
      <c r="O3802">
        <v>28401176</v>
      </c>
      <c r="P3802">
        <v>158</v>
      </c>
      <c r="Q3802" t="s">
        <v>7949</v>
      </c>
    </row>
    <row r="3803" spans="1:17" x14ac:dyDescent="0.3">
      <c r="A3803" t="s">
        <v>4664</v>
      </c>
      <c r="B3803" t="str">
        <f>"300046"</f>
        <v>300046</v>
      </c>
      <c r="C3803" t="s">
        <v>7950</v>
      </c>
      <c r="D3803" t="s">
        <v>795</v>
      </c>
      <c r="F3803">
        <v>55820239</v>
      </c>
      <c r="G3803">
        <v>31159942</v>
      </c>
      <c r="H3803">
        <v>72800469</v>
      </c>
      <c r="I3803">
        <v>74787873</v>
      </c>
      <c r="J3803">
        <v>53288253</v>
      </c>
      <c r="K3803">
        <v>28055058</v>
      </c>
      <c r="L3803">
        <v>18211409</v>
      </c>
      <c r="M3803">
        <v>34097876</v>
      </c>
      <c r="N3803">
        <v>32309925</v>
      </c>
      <c r="O3803">
        <v>49640797</v>
      </c>
      <c r="P3803">
        <v>225</v>
      </c>
      <c r="Q3803" t="s">
        <v>7951</v>
      </c>
    </row>
    <row r="3804" spans="1:17" x14ac:dyDescent="0.3">
      <c r="A3804" t="s">
        <v>4664</v>
      </c>
      <c r="B3804" t="str">
        <f>"300047"</f>
        <v>300047</v>
      </c>
      <c r="C3804" t="s">
        <v>7952</v>
      </c>
      <c r="D3804" t="s">
        <v>945</v>
      </c>
      <c r="F3804">
        <v>74630849</v>
      </c>
      <c r="G3804">
        <v>105025669</v>
      </c>
      <c r="H3804">
        <v>89026906</v>
      </c>
      <c r="I3804">
        <v>78227346</v>
      </c>
      <c r="J3804">
        <v>33077040</v>
      </c>
      <c r="K3804">
        <v>24075330</v>
      </c>
      <c r="L3804">
        <v>12401830</v>
      </c>
      <c r="M3804">
        <v>6033271</v>
      </c>
      <c r="N3804">
        <v>18665043</v>
      </c>
      <c r="O3804">
        <v>46422901</v>
      </c>
      <c r="P3804">
        <v>338</v>
      </c>
      <c r="Q3804" t="s">
        <v>7953</v>
      </c>
    </row>
    <row r="3805" spans="1:17" x14ac:dyDescent="0.3">
      <c r="A3805" t="s">
        <v>4664</v>
      </c>
      <c r="B3805" t="str">
        <f>"300048"</f>
        <v>300048</v>
      </c>
      <c r="C3805" t="s">
        <v>7954</v>
      </c>
      <c r="D3805" t="s">
        <v>2423</v>
      </c>
      <c r="F3805">
        <v>42953804</v>
      </c>
      <c r="G3805">
        <v>-280910605</v>
      </c>
      <c r="H3805">
        <v>21892656</v>
      </c>
      <c r="I3805">
        <v>21253633</v>
      </c>
      <c r="J3805">
        <v>50188740</v>
      </c>
      <c r="K3805">
        <v>144232219</v>
      </c>
      <c r="L3805">
        <v>27031529</v>
      </c>
      <c r="M3805">
        <v>22165101</v>
      </c>
      <c r="N3805">
        <v>53101332</v>
      </c>
      <c r="O3805">
        <v>91145639</v>
      </c>
      <c r="P3805">
        <v>119</v>
      </c>
      <c r="Q3805" t="s">
        <v>7955</v>
      </c>
    </row>
    <row r="3806" spans="1:17" x14ac:dyDescent="0.3">
      <c r="A3806" t="s">
        <v>4664</v>
      </c>
      <c r="B3806" t="str">
        <f>"300049"</f>
        <v>300049</v>
      </c>
      <c r="C3806" t="s">
        <v>7956</v>
      </c>
      <c r="D3806" t="s">
        <v>122</v>
      </c>
      <c r="F3806">
        <v>58173735</v>
      </c>
      <c r="G3806">
        <v>30526108</v>
      </c>
      <c r="H3806">
        <v>24060217</v>
      </c>
      <c r="I3806">
        <v>58571010</v>
      </c>
      <c r="J3806">
        <v>49064757</v>
      </c>
      <c r="K3806">
        <v>53373673</v>
      </c>
      <c r="L3806">
        <v>45048842</v>
      </c>
      <c r="M3806">
        <v>42481749</v>
      </c>
      <c r="N3806">
        <v>8288361</v>
      </c>
      <c r="O3806">
        <v>43225962</v>
      </c>
      <c r="P3806">
        <v>144</v>
      </c>
      <c r="Q3806" t="s">
        <v>7957</v>
      </c>
    </row>
    <row r="3807" spans="1:17" x14ac:dyDescent="0.3">
      <c r="A3807" t="s">
        <v>4664</v>
      </c>
      <c r="B3807" t="str">
        <f>"300050"</f>
        <v>300050</v>
      </c>
      <c r="C3807" t="s">
        <v>7958</v>
      </c>
      <c r="D3807" t="s">
        <v>654</v>
      </c>
      <c r="F3807">
        <v>-79739660</v>
      </c>
      <c r="G3807">
        <v>19577472</v>
      </c>
      <c r="H3807">
        <v>26904511</v>
      </c>
      <c r="I3807">
        <v>31838494</v>
      </c>
      <c r="J3807">
        <v>90077547</v>
      </c>
      <c r="K3807">
        <v>85037560</v>
      </c>
      <c r="L3807">
        <v>73259171</v>
      </c>
      <c r="M3807">
        <v>25690431</v>
      </c>
      <c r="N3807">
        <v>-26894219</v>
      </c>
      <c r="O3807">
        <v>22378093</v>
      </c>
      <c r="P3807">
        <v>164</v>
      </c>
      <c r="Q3807" t="s">
        <v>7959</v>
      </c>
    </row>
    <row r="3808" spans="1:17" x14ac:dyDescent="0.3">
      <c r="A3808" t="s">
        <v>4664</v>
      </c>
      <c r="B3808" t="str">
        <f>"300051"</f>
        <v>300051</v>
      </c>
      <c r="C3808" t="s">
        <v>7960</v>
      </c>
      <c r="D3808" t="s">
        <v>517</v>
      </c>
      <c r="F3808">
        <v>-7079497</v>
      </c>
      <c r="G3808">
        <v>-11005304</v>
      </c>
      <c r="H3808">
        <v>944052</v>
      </c>
      <c r="I3808">
        <v>20581680</v>
      </c>
      <c r="J3808">
        <v>55564548</v>
      </c>
      <c r="K3808">
        <v>57319495</v>
      </c>
      <c r="L3808">
        <v>-4748777</v>
      </c>
      <c r="M3808">
        <v>2620624</v>
      </c>
      <c r="N3808">
        <v>2432706</v>
      </c>
      <c r="O3808">
        <v>-9851946</v>
      </c>
      <c r="P3808">
        <v>104</v>
      </c>
      <c r="Q3808" t="s">
        <v>7961</v>
      </c>
    </row>
    <row r="3809" spans="1:17" x14ac:dyDescent="0.3">
      <c r="A3809" t="s">
        <v>4664</v>
      </c>
      <c r="B3809" t="str">
        <f>"300052"</f>
        <v>300052</v>
      </c>
      <c r="C3809" t="s">
        <v>7962</v>
      </c>
      <c r="D3809" t="s">
        <v>517</v>
      </c>
      <c r="F3809">
        <v>13565120</v>
      </c>
      <c r="G3809">
        <v>1633993</v>
      </c>
      <c r="H3809">
        <v>68641379</v>
      </c>
      <c r="I3809">
        <v>33084919</v>
      </c>
      <c r="J3809">
        <v>18874269</v>
      </c>
      <c r="K3809">
        <v>8416465</v>
      </c>
      <c r="L3809">
        <v>15663890</v>
      </c>
      <c r="M3809">
        <v>27913733</v>
      </c>
      <c r="N3809">
        <v>27279156</v>
      </c>
      <c r="O3809">
        <v>13168216</v>
      </c>
      <c r="P3809">
        <v>219</v>
      </c>
      <c r="Q3809" t="s">
        <v>7963</v>
      </c>
    </row>
    <row r="3810" spans="1:17" x14ac:dyDescent="0.3">
      <c r="A3810" t="s">
        <v>4664</v>
      </c>
      <c r="B3810" t="str">
        <f>"300053"</f>
        <v>300053</v>
      </c>
      <c r="C3810" t="s">
        <v>7964</v>
      </c>
      <c r="D3810" t="s">
        <v>461</v>
      </c>
      <c r="F3810">
        <v>43692602</v>
      </c>
      <c r="G3810">
        <v>49408973</v>
      </c>
      <c r="H3810">
        <v>75765965</v>
      </c>
      <c r="I3810">
        <v>91484756</v>
      </c>
      <c r="J3810">
        <v>90822260</v>
      </c>
      <c r="K3810">
        <v>36375284</v>
      </c>
      <c r="L3810">
        <v>36227609</v>
      </c>
      <c r="M3810">
        <v>16017830</v>
      </c>
      <c r="N3810">
        <v>24865417</v>
      </c>
      <c r="O3810">
        <v>26361973</v>
      </c>
      <c r="P3810">
        <v>264</v>
      </c>
      <c r="Q3810" t="s">
        <v>7965</v>
      </c>
    </row>
    <row r="3811" spans="1:17" x14ac:dyDescent="0.3">
      <c r="A3811" t="s">
        <v>4664</v>
      </c>
      <c r="B3811" t="str">
        <f>"300054"</f>
        <v>300054</v>
      </c>
      <c r="C3811" t="s">
        <v>7966</v>
      </c>
      <c r="D3811" t="s">
        <v>2399</v>
      </c>
      <c r="F3811">
        <v>150596325</v>
      </c>
      <c r="G3811">
        <v>240059223</v>
      </c>
      <c r="H3811">
        <v>176404279</v>
      </c>
      <c r="I3811">
        <v>229639983</v>
      </c>
      <c r="J3811">
        <v>227220944</v>
      </c>
      <c r="K3811">
        <v>173668408</v>
      </c>
      <c r="L3811">
        <v>114939666</v>
      </c>
      <c r="M3811">
        <v>94639612</v>
      </c>
      <c r="N3811">
        <v>47146997</v>
      </c>
      <c r="O3811">
        <v>38035135</v>
      </c>
      <c r="P3811">
        <v>367</v>
      </c>
      <c r="Q3811" t="s">
        <v>7967</v>
      </c>
    </row>
    <row r="3812" spans="1:17" x14ac:dyDescent="0.3">
      <c r="A3812" t="s">
        <v>4664</v>
      </c>
      <c r="B3812" t="str">
        <f>"300055"</f>
        <v>300055</v>
      </c>
      <c r="C3812" t="s">
        <v>7968</v>
      </c>
      <c r="D3812" t="s">
        <v>33</v>
      </c>
      <c r="F3812">
        <v>221133585</v>
      </c>
      <c r="G3812">
        <v>93630133</v>
      </c>
      <c r="H3812">
        <v>132671690</v>
      </c>
      <c r="I3812">
        <v>239552057</v>
      </c>
      <c r="J3812">
        <v>295951644</v>
      </c>
      <c r="K3812">
        <v>199003880</v>
      </c>
      <c r="L3812">
        <v>239461823</v>
      </c>
      <c r="M3812">
        <v>111347312</v>
      </c>
      <c r="N3812">
        <v>103559209</v>
      </c>
      <c r="O3812">
        <v>63056172</v>
      </c>
      <c r="P3812">
        <v>163</v>
      </c>
      <c r="Q3812" t="s">
        <v>7969</v>
      </c>
    </row>
    <row r="3813" spans="1:17" x14ac:dyDescent="0.3">
      <c r="A3813" t="s">
        <v>4664</v>
      </c>
      <c r="B3813" t="str">
        <f>"300056"</f>
        <v>300056</v>
      </c>
      <c r="C3813" t="s">
        <v>7970</v>
      </c>
      <c r="D3813" t="s">
        <v>663</v>
      </c>
      <c r="F3813">
        <v>-38593083</v>
      </c>
      <c r="G3813">
        <v>20032650</v>
      </c>
      <c r="H3813">
        <v>27918420</v>
      </c>
      <c r="I3813">
        <v>-39210515</v>
      </c>
      <c r="J3813">
        <v>-191548965</v>
      </c>
      <c r="K3813">
        <v>187526768</v>
      </c>
      <c r="L3813">
        <v>50679376</v>
      </c>
      <c r="M3813">
        <v>31351751</v>
      </c>
      <c r="N3813">
        <v>23225437</v>
      </c>
      <c r="O3813">
        <v>5416806</v>
      </c>
      <c r="P3813">
        <v>87</v>
      </c>
      <c r="Q3813" t="s">
        <v>7971</v>
      </c>
    </row>
    <row r="3814" spans="1:17" x14ac:dyDescent="0.3">
      <c r="A3814" t="s">
        <v>4664</v>
      </c>
      <c r="B3814" t="str">
        <f>"300057"</f>
        <v>300057</v>
      </c>
      <c r="C3814" t="s">
        <v>7972</v>
      </c>
      <c r="D3814" t="s">
        <v>504</v>
      </c>
      <c r="F3814">
        <v>22271315</v>
      </c>
      <c r="G3814">
        <v>50074791</v>
      </c>
      <c r="H3814">
        <v>84338885</v>
      </c>
      <c r="I3814">
        <v>71479387</v>
      </c>
      <c r="J3814">
        <v>69592666</v>
      </c>
      <c r="K3814">
        <v>50509703</v>
      </c>
      <c r="L3814">
        <v>41853115</v>
      </c>
      <c r="M3814">
        <v>93393396</v>
      </c>
      <c r="N3814">
        <v>98488558</v>
      </c>
      <c r="O3814">
        <v>84368177</v>
      </c>
      <c r="P3814">
        <v>438</v>
      </c>
      <c r="Q3814" t="s">
        <v>7973</v>
      </c>
    </row>
    <row r="3815" spans="1:17" x14ac:dyDescent="0.3">
      <c r="A3815" t="s">
        <v>4664</v>
      </c>
      <c r="B3815" t="str">
        <f>"300058"</f>
        <v>300058</v>
      </c>
      <c r="C3815" t="s">
        <v>7974</v>
      </c>
      <c r="D3815" t="s">
        <v>207</v>
      </c>
      <c r="F3815">
        <v>545819834</v>
      </c>
      <c r="G3815">
        <v>618122414</v>
      </c>
      <c r="H3815">
        <v>627998167</v>
      </c>
      <c r="I3815">
        <v>412819296</v>
      </c>
      <c r="J3815">
        <v>279039933</v>
      </c>
      <c r="K3815">
        <v>480871007</v>
      </c>
      <c r="L3815">
        <v>197563217</v>
      </c>
      <c r="M3815">
        <v>507661781</v>
      </c>
      <c r="N3815">
        <v>264748897</v>
      </c>
      <c r="O3815">
        <v>200872684</v>
      </c>
      <c r="P3815">
        <v>457</v>
      </c>
      <c r="Q3815" t="s">
        <v>7975</v>
      </c>
    </row>
    <row r="3816" spans="1:17" x14ac:dyDescent="0.3">
      <c r="A3816" t="s">
        <v>4664</v>
      </c>
      <c r="B3816" t="str">
        <f>"300059"</f>
        <v>300059</v>
      </c>
      <c r="C3816" t="s">
        <v>7976</v>
      </c>
      <c r="D3816" t="s">
        <v>80</v>
      </c>
      <c r="F3816">
        <v>6234404010</v>
      </c>
      <c r="G3816">
        <v>3397930965</v>
      </c>
      <c r="H3816">
        <v>1394525227</v>
      </c>
      <c r="I3816">
        <v>800873209</v>
      </c>
      <c r="J3816">
        <v>457586196</v>
      </c>
      <c r="K3816">
        <v>575032006</v>
      </c>
      <c r="L3816">
        <v>1475409775</v>
      </c>
      <c r="M3816">
        <v>62645847</v>
      </c>
      <c r="N3816">
        <v>-22953951</v>
      </c>
      <c r="O3816">
        <v>46254559</v>
      </c>
      <c r="P3816">
        <v>5893</v>
      </c>
      <c r="Q3816" t="s">
        <v>7977</v>
      </c>
    </row>
    <row r="3817" spans="1:17" x14ac:dyDescent="0.3">
      <c r="A3817" t="s">
        <v>4664</v>
      </c>
      <c r="B3817" t="str">
        <f>"300061"</f>
        <v>300061</v>
      </c>
      <c r="C3817" t="s">
        <v>7978</v>
      </c>
      <c r="D3817" t="s">
        <v>207</v>
      </c>
      <c r="F3817">
        <v>-21574912</v>
      </c>
      <c r="G3817">
        <v>-101479463</v>
      </c>
      <c r="H3817">
        <v>35660097</v>
      </c>
      <c r="I3817">
        <v>225199643</v>
      </c>
      <c r="J3817">
        <v>187116469</v>
      </c>
      <c r="K3817">
        <v>43259141</v>
      </c>
      <c r="L3817">
        <v>34745674</v>
      </c>
      <c r="M3817">
        <v>27218027</v>
      </c>
      <c r="N3817">
        <v>8792302</v>
      </c>
      <c r="O3817">
        <v>379667</v>
      </c>
      <c r="P3817">
        <v>120</v>
      </c>
      <c r="Q3817" t="s">
        <v>7979</v>
      </c>
    </row>
    <row r="3818" spans="1:17" x14ac:dyDescent="0.3">
      <c r="A3818" t="s">
        <v>4664</v>
      </c>
      <c r="B3818" t="str">
        <f>"300062"</f>
        <v>300062</v>
      </c>
      <c r="C3818" t="s">
        <v>7980</v>
      </c>
      <c r="D3818" t="s">
        <v>210</v>
      </c>
      <c r="F3818">
        <v>16838634</v>
      </c>
      <c r="G3818">
        <v>-4546119</v>
      </c>
      <c r="H3818">
        <v>40220037</v>
      </c>
      <c r="I3818">
        <v>18647730</v>
      </c>
      <c r="J3818">
        <v>11278667</v>
      </c>
      <c r="K3818">
        <v>58191579</v>
      </c>
      <c r="L3818">
        <v>22282298</v>
      </c>
      <c r="M3818">
        <v>27479784</v>
      </c>
      <c r="N3818">
        <v>33029688</v>
      </c>
      <c r="O3818">
        <v>30851840</v>
      </c>
      <c r="P3818">
        <v>125</v>
      </c>
      <c r="Q3818" t="s">
        <v>7981</v>
      </c>
    </row>
    <row r="3819" spans="1:17" x14ac:dyDescent="0.3">
      <c r="A3819" t="s">
        <v>4664</v>
      </c>
      <c r="B3819" t="str">
        <f>"300063"</f>
        <v>300063</v>
      </c>
      <c r="C3819" t="s">
        <v>7982</v>
      </c>
      <c r="D3819" t="s">
        <v>207</v>
      </c>
      <c r="F3819">
        <v>104913163</v>
      </c>
      <c r="G3819">
        <v>100171121</v>
      </c>
      <c r="H3819">
        <v>83968604</v>
      </c>
      <c r="I3819">
        <v>107134860</v>
      </c>
      <c r="J3819">
        <v>118012101</v>
      </c>
      <c r="K3819">
        <v>123342631</v>
      </c>
      <c r="L3819">
        <v>14342103</v>
      </c>
      <c r="M3819">
        <v>190636</v>
      </c>
      <c r="N3819">
        <v>11374176</v>
      </c>
      <c r="O3819">
        <v>12419010</v>
      </c>
      <c r="P3819">
        <v>109</v>
      </c>
      <c r="Q3819" t="s">
        <v>7983</v>
      </c>
    </row>
    <row r="3820" spans="1:17" x14ac:dyDescent="0.3">
      <c r="A3820" t="s">
        <v>4664</v>
      </c>
      <c r="B3820" t="str">
        <f>"300064"</f>
        <v>300064</v>
      </c>
      <c r="C3820" t="s">
        <v>7984</v>
      </c>
      <c r="D3820" t="s">
        <v>404</v>
      </c>
      <c r="F3820">
        <v>-596557796</v>
      </c>
      <c r="G3820">
        <v>-481007086</v>
      </c>
      <c r="H3820">
        <v>68194808</v>
      </c>
      <c r="I3820">
        <v>190698367</v>
      </c>
      <c r="J3820">
        <v>173616249</v>
      </c>
      <c r="K3820">
        <v>114490717</v>
      </c>
      <c r="L3820">
        <v>75826007</v>
      </c>
      <c r="M3820">
        <v>49679587</v>
      </c>
      <c r="N3820">
        <v>83447784</v>
      </c>
      <c r="O3820">
        <v>109278256</v>
      </c>
      <c r="P3820">
        <v>77</v>
      </c>
      <c r="Q3820" t="s">
        <v>7985</v>
      </c>
    </row>
    <row r="3821" spans="1:17" x14ac:dyDescent="0.3">
      <c r="A3821" t="s">
        <v>4664</v>
      </c>
      <c r="B3821" t="str">
        <f>"300065"</f>
        <v>300065</v>
      </c>
      <c r="C3821" t="s">
        <v>7986</v>
      </c>
      <c r="D3821" t="s">
        <v>167</v>
      </c>
      <c r="F3821">
        <v>9269652</v>
      </c>
      <c r="G3821">
        <v>36329713</v>
      </c>
      <c r="H3821">
        <v>91580101</v>
      </c>
      <c r="I3821">
        <v>85182872</v>
      </c>
      <c r="J3821">
        <v>73100370</v>
      </c>
      <c r="K3821">
        <v>50305149</v>
      </c>
      <c r="L3821">
        <v>14998225</v>
      </c>
      <c r="M3821">
        <v>5461469</v>
      </c>
      <c r="N3821">
        <v>3103965</v>
      </c>
      <c r="O3821">
        <v>9324666</v>
      </c>
      <c r="P3821">
        <v>152</v>
      </c>
      <c r="Q3821" t="s">
        <v>7987</v>
      </c>
    </row>
    <row r="3822" spans="1:17" x14ac:dyDescent="0.3">
      <c r="A3822" t="s">
        <v>4664</v>
      </c>
      <c r="B3822" t="str">
        <f>"300066"</f>
        <v>300066</v>
      </c>
      <c r="C3822" t="s">
        <v>7988</v>
      </c>
      <c r="D3822" t="s">
        <v>2551</v>
      </c>
      <c r="F3822">
        <v>134341696</v>
      </c>
      <c r="G3822">
        <v>142008892</v>
      </c>
      <c r="H3822">
        <v>118775419</v>
      </c>
      <c r="I3822">
        <v>82978387</v>
      </c>
      <c r="J3822">
        <v>63622858</v>
      </c>
      <c r="K3822">
        <v>113612591</v>
      </c>
      <c r="L3822">
        <v>108338302</v>
      </c>
      <c r="M3822">
        <v>93588118</v>
      </c>
      <c r="N3822">
        <v>71655401</v>
      </c>
      <c r="O3822">
        <v>54977544</v>
      </c>
      <c r="P3822">
        <v>190</v>
      </c>
      <c r="Q3822" t="s">
        <v>7989</v>
      </c>
    </row>
    <row r="3823" spans="1:17" x14ac:dyDescent="0.3">
      <c r="A3823" t="s">
        <v>4664</v>
      </c>
      <c r="B3823" t="str">
        <f>"300067"</f>
        <v>300067</v>
      </c>
      <c r="C3823" t="s">
        <v>7990</v>
      </c>
      <c r="D3823" t="s">
        <v>779</v>
      </c>
      <c r="F3823">
        <v>89155256</v>
      </c>
      <c r="G3823">
        <v>107872471</v>
      </c>
      <c r="H3823">
        <v>145668486</v>
      </c>
      <c r="I3823">
        <v>126362003</v>
      </c>
      <c r="J3823">
        <v>72629152</v>
      </c>
      <c r="K3823">
        <v>65675932</v>
      </c>
      <c r="L3823">
        <v>79786333</v>
      </c>
      <c r="M3823">
        <v>75245140</v>
      </c>
      <c r="N3823">
        <v>36954896</v>
      </c>
      <c r="O3823">
        <v>18049448</v>
      </c>
      <c r="P3823">
        <v>100</v>
      </c>
      <c r="Q3823" t="s">
        <v>7991</v>
      </c>
    </row>
    <row r="3824" spans="1:17" x14ac:dyDescent="0.3">
      <c r="A3824" t="s">
        <v>4664</v>
      </c>
      <c r="B3824" t="str">
        <f>"300068"</f>
        <v>300068</v>
      </c>
      <c r="C3824" t="s">
        <v>7992</v>
      </c>
      <c r="D3824" t="s">
        <v>555</v>
      </c>
      <c r="F3824">
        <v>-69286786</v>
      </c>
      <c r="G3824">
        <v>465501581</v>
      </c>
      <c r="H3824">
        <v>329201595</v>
      </c>
      <c r="I3824">
        <v>433789990</v>
      </c>
      <c r="J3824">
        <v>366523615</v>
      </c>
      <c r="K3824">
        <v>246328621</v>
      </c>
      <c r="L3824">
        <v>140663907</v>
      </c>
      <c r="M3824">
        <v>111057432</v>
      </c>
      <c r="N3824">
        <v>91781846</v>
      </c>
      <c r="O3824">
        <v>87356496</v>
      </c>
      <c r="P3824">
        <v>305</v>
      </c>
      <c r="Q3824" t="s">
        <v>7993</v>
      </c>
    </row>
    <row r="3825" spans="1:17" x14ac:dyDescent="0.3">
      <c r="A3825" t="s">
        <v>4664</v>
      </c>
      <c r="B3825" t="str">
        <f>"300069"</f>
        <v>300069</v>
      </c>
      <c r="C3825" t="s">
        <v>7994</v>
      </c>
      <c r="D3825" t="s">
        <v>1164</v>
      </c>
      <c r="F3825">
        <v>-6617149</v>
      </c>
      <c r="G3825">
        <v>-10963173</v>
      </c>
      <c r="H3825">
        <v>1205194</v>
      </c>
      <c r="I3825">
        <v>-12197044</v>
      </c>
      <c r="J3825">
        <v>20360578</v>
      </c>
      <c r="K3825">
        <v>22019849</v>
      </c>
      <c r="L3825">
        <v>8316639</v>
      </c>
      <c r="M3825">
        <v>17817914</v>
      </c>
      <c r="N3825">
        <v>22354399</v>
      </c>
      <c r="O3825">
        <v>19179820</v>
      </c>
      <c r="P3825">
        <v>57</v>
      </c>
      <c r="Q3825" t="s">
        <v>7995</v>
      </c>
    </row>
    <row r="3826" spans="1:17" x14ac:dyDescent="0.3">
      <c r="A3826" t="s">
        <v>4664</v>
      </c>
      <c r="B3826" t="str">
        <f>"300070"</f>
        <v>300070</v>
      </c>
      <c r="C3826" t="s">
        <v>7996</v>
      </c>
      <c r="D3826" t="s">
        <v>33</v>
      </c>
      <c r="F3826">
        <v>159390286</v>
      </c>
      <c r="G3826">
        <v>102197868</v>
      </c>
      <c r="H3826">
        <v>362360283</v>
      </c>
      <c r="I3826">
        <v>573314256</v>
      </c>
      <c r="J3826">
        <v>741101570</v>
      </c>
      <c r="K3826">
        <v>439426128</v>
      </c>
      <c r="L3826">
        <v>252997440</v>
      </c>
      <c r="M3826">
        <v>167032925</v>
      </c>
      <c r="N3826">
        <v>132630313</v>
      </c>
      <c r="O3826">
        <v>105933137</v>
      </c>
      <c r="P3826">
        <v>1163</v>
      </c>
      <c r="Q3826" t="s">
        <v>7997</v>
      </c>
    </row>
    <row r="3827" spans="1:17" x14ac:dyDescent="0.3">
      <c r="A3827" t="s">
        <v>4664</v>
      </c>
      <c r="B3827" t="str">
        <f>"300071"</f>
        <v>300071</v>
      </c>
      <c r="C3827" t="s">
        <v>7998</v>
      </c>
      <c r="D3827" t="s">
        <v>207</v>
      </c>
      <c r="F3827">
        <v>-82354681</v>
      </c>
      <c r="G3827">
        <v>-98709898</v>
      </c>
      <c r="H3827">
        <v>-48034517</v>
      </c>
      <c r="I3827">
        <v>43257853</v>
      </c>
      <c r="J3827">
        <v>135129046</v>
      </c>
      <c r="K3827">
        <v>125689169</v>
      </c>
      <c r="L3827">
        <v>80785442</v>
      </c>
      <c r="M3827">
        <v>44198797</v>
      </c>
      <c r="N3827">
        <v>35822494</v>
      </c>
      <c r="O3827">
        <v>23208444</v>
      </c>
      <c r="P3827">
        <v>84</v>
      </c>
      <c r="Q3827" t="s">
        <v>7999</v>
      </c>
    </row>
    <row r="3828" spans="1:17" x14ac:dyDescent="0.3">
      <c r="A3828" t="s">
        <v>4664</v>
      </c>
      <c r="B3828" t="str">
        <f>"300072"</f>
        <v>300072</v>
      </c>
      <c r="C3828" t="s">
        <v>8000</v>
      </c>
      <c r="D3828" t="s">
        <v>663</v>
      </c>
      <c r="F3828">
        <v>-397848116</v>
      </c>
      <c r="G3828">
        <v>-615227370</v>
      </c>
      <c r="H3828">
        <v>72321625</v>
      </c>
      <c r="I3828">
        <v>1243629246</v>
      </c>
      <c r="J3828">
        <v>1994903355</v>
      </c>
      <c r="K3828">
        <v>1215458756</v>
      </c>
      <c r="L3828">
        <v>583928669</v>
      </c>
      <c r="M3828">
        <v>280461418</v>
      </c>
      <c r="N3828">
        <v>122480112</v>
      </c>
      <c r="O3828">
        <v>101176241</v>
      </c>
      <c r="P3828">
        <v>1138</v>
      </c>
      <c r="Q3828" t="s">
        <v>8001</v>
      </c>
    </row>
    <row r="3829" spans="1:17" x14ac:dyDescent="0.3">
      <c r="A3829" t="s">
        <v>4664</v>
      </c>
      <c r="B3829" t="str">
        <f>"300073"</f>
        <v>300073</v>
      </c>
      <c r="C3829" t="s">
        <v>8002</v>
      </c>
      <c r="D3829" t="s">
        <v>1786</v>
      </c>
      <c r="F3829">
        <v>727473724</v>
      </c>
      <c r="G3829">
        <v>264597160</v>
      </c>
      <c r="H3829">
        <v>219670722</v>
      </c>
      <c r="I3829">
        <v>205331830</v>
      </c>
      <c r="J3829">
        <v>183336425</v>
      </c>
      <c r="K3829">
        <v>62718161</v>
      </c>
      <c r="L3829">
        <v>1900307</v>
      </c>
      <c r="M3829">
        <v>586992</v>
      </c>
      <c r="N3829">
        <v>4835459</v>
      </c>
      <c r="O3829">
        <v>5601078</v>
      </c>
      <c r="P3829">
        <v>826</v>
      </c>
      <c r="Q3829" t="s">
        <v>8003</v>
      </c>
    </row>
    <row r="3830" spans="1:17" x14ac:dyDescent="0.3">
      <c r="A3830" t="s">
        <v>4664</v>
      </c>
      <c r="B3830" t="str">
        <f>"300074"</f>
        <v>300074</v>
      </c>
      <c r="C3830" t="s">
        <v>8004</v>
      </c>
      <c r="D3830" t="s">
        <v>945</v>
      </c>
      <c r="F3830">
        <v>-17158048</v>
      </c>
      <c r="G3830">
        <v>2063939</v>
      </c>
      <c r="H3830">
        <v>5097421</v>
      </c>
      <c r="I3830">
        <v>-4382996</v>
      </c>
      <c r="J3830">
        <v>15667740</v>
      </c>
      <c r="K3830">
        <v>9725419</v>
      </c>
      <c r="L3830">
        <v>-6964667</v>
      </c>
      <c r="M3830">
        <v>48503239</v>
      </c>
      <c r="N3830">
        <v>59490490</v>
      </c>
      <c r="O3830">
        <v>27054128</v>
      </c>
      <c r="P3830">
        <v>162</v>
      </c>
      <c r="Q3830" t="s">
        <v>8005</v>
      </c>
    </row>
    <row r="3831" spans="1:17" x14ac:dyDescent="0.3">
      <c r="A3831" t="s">
        <v>4664</v>
      </c>
      <c r="B3831" t="str">
        <f>"300075"</f>
        <v>300075</v>
      </c>
      <c r="C3831" t="s">
        <v>8006</v>
      </c>
      <c r="D3831" t="s">
        <v>945</v>
      </c>
      <c r="F3831">
        <v>114786468</v>
      </c>
      <c r="G3831">
        <v>74104026</v>
      </c>
      <c r="H3831">
        <v>95504194</v>
      </c>
      <c r="I3831">
        <v>90664009</v>
      </c>
      <c r="J3831">
        <v>75992311</v>
      </c>
      <c r="K3831">
        <v>55945595</v>
      </c>
      <c r="L3831">
        <v>42324933</v>
      </c>
      <c r="M3831">
        <v>34220920</v>
      </c>
      <c r="N3831">
        <v>27458218</v>
      </c>
      <c r="O3831">
        <v>19311733</v>
      </c>
      <c r="P3831">
        <v>258</v>
      </c>
      <c r="Q3831" t="s">
        <v>8007</v>
      </c>
    </row>
    <row r="3832" spans="1:17" x14ac:dyDescent="0.3">
      <c r="A3832" t="s">
        <v>4664</v>
      </c>
      <c r="B3832" t="str">
        <f>"300076"</f>
        <v>300076</v>
      </c>
      <c r="C3832" t="s">
        <v>8008</v>
      </c>
      <c r="D3832" t="s">
        <v>1117</v>
      </c>
      <c r="F3832">
        <v>-9881925</v>
      </c>
      <c r="G3832">
        <v>12361311</v>
      </c>
      <c r="H3832">
        <v>18068917</v>
      </c>
      <c r="I3832">
        <v>33116265</v>
      </c>
      <c r="J3832">
        <v>-26128080</v>
      </c>
      <c r="K3832">
        <v>-1867722</v>
      </c>
      <c r="L3832">
        <v>7701260</v>
      </c>
      <c r="M3832">
        <v>15260995</v>
      </c>
      <c r="N3832">
        <v>13320776</v>
      </c>
      <c r="O3832">
        <v>21396918</v>
      </c>
      <c r="P3832">
        <v>93</v>
      </c>
      <c r="Q3832" t="s">
        <v>8009</v>
      </c>
    </row>
    <row r="3833" spans="1:17" x14ac:dyDescent="0.3">
      <c r="A3833" t="s">
        <v>4664</v>
      </c>
      <c r="B3833" t="str">
        <f>"300077"</f>
        <v>300077</v>
      </c>
      <c r="C3833" t="s">
        <v>8010</v>
      </c>
      <c r="D3833" t="s">
        <v>461</v>
      </c>
      <c r="F3833">
        <v>91286679</v>
      </c>
      <c r="G3833">
        <v>-6460751</v>
      </c>
      <c r="H3833">
        <v>-77676699</v>
      </c>
      <c r="I3833">
        <v>-24477395</v>
      </c>
      <c r="J3833">
        <v>50536884</v>
      </c>
      <c r="K3833">
        <v>47019128</v>
      </c>
      <c r="L3833">
        <v>64930803</v>
      </c>
      <c r="M3833">
        <v>5237972</v>
      </c>
      <c r="N3833">
        <v>10326189</v>
      </c>
      <c r="O3833">
        <v>43512129</v>
      </c>
      <c r="P3833">
        <v>3150</v>
      </c>
      <c r="Q3833" t="s">
        <v>8011</v>
      </c>
    </row>
    <row r="3834" spans="1:17" x14ac:dyDescent="0.3">
      <c r="A3834" t="s">
        <v>4664</v>
      </c>
      <c r="B3834" t="str">
        <f>"300078"</f>
        <v>300078</v>
      </c>
      <c r="C3834" t="s">
        <v>8012</v>
      </c>
      <c r="D3834" t="s">
        <v>316</v>
      </c>
      <c r="F3834">
        <v>55850322</v>
      </c>
      <c r="G3834">
        <v>77005870</v>
      </c>
      <c r="H3834">
        <v>121261563</v>
      </c>
      <c r="I3834">
        <v>108897113</v>
      </c>
      <c r="J3834">
        <v>108334886</v>
      </c>
      <c r="K3834">
        <v>100519249</v>
      </c>
      <c r="L3834">
        <v>75182700</v>
      </c>
      <c r="M3834">
        <v>56423819</v>
      </c>
      <c r="N3834">
        <v>68011603</v>
      </c>
      <c r="O3834">
        <v>56152968</v>
      </c>
      <c r="P3834">
        <v>296</v>
      </c>
      <c r="Q3834" t="s">
        <v>8013</v>
      </c>
    </row>
    <row r="3835" spans="1:17" x14ac:dyDescent="0.3">
      <c r="A3835" t="s">
        <v>4664</v>
      </c>
      <c r="B3835" t="str">
        <f>"300079"</f>
        <v>300079</v>
      </c>
      <c r="C3835" t="s">
        <v>8014</v>
      </c>
      <c r="D3835" t="s">
        <v>316</v>
      </c>
      <c r="F3835">
        <v>73479191</v>
      </c>
      <c r="G3835">
        <v>36299020</v>
      </c>
      <c r="H3835">
        <v>59642569</v>
      </c>
      <c r="I3835">
        <v>84129444</v>
      </c>
      <c r="J3835">
        <v>84097992</v>
      </c>
      <c r="K3835">
        <v>145010851</v>
      </c>
      <c r="L3835">
        <v>136564513</v>
      </c>
      <c r="M3835">
        <v>166517345</v>
      </c>
      <c r="N3835">
        <v>127612332</v>
      </c>
      <c r="O3835">
        <v>178647718</v>
      </c>
      <c r="P3835">
        <v>261</v>
      </c>
      <c r="Q3835" t="s">
        <v>8015</v>
      </c>
    </row>
    <row r="3836" spans="1:17" x14ac:dyDescent="0.3">
      <c r="A3836" t="s">
        <v>4664</v>
      </c>
      <c r="B3836" t="str">
        <f>"300080"</f>
        <v>300080</v>
      </c>
      <c r="C3836" t="s">
        <v>8016</v>
      </c>
      <c r="D3836" t="s">
        <v>404</v>
      </c>
      <c r="F3836">
        <v>-37905926</v>
      </c>
      <c r="G3836">
        <v>33912902</v>
      </c>
      <c r="H3836">
        <v>956141191</v>
      </c>
      <c r="I3836">
        <v>61805873</v>
      </c>
      <c r="J3836">
        <v>-302644838</v>
      </c>
      <c r="K3836">
        <v>3473593</v>
      </c>
      <c r="L3836">
        <v>-9159818</v>
      </c>
      <c r="M3836">
        <v>54941584</v>
      </c>
      <c r="N3836">
        <v>6913371</v>
      </c>
      <c r="O3836">
        <v>3024008</v>
      </c>
      <c r="P3836">
        <v>111</v>
      </c>
      <c r="Q3836" t="s">
        <v>8017</v>
      </c>
    </row>
    <row r="3837" spans="1:17" x14ac:dyDescent="0.3">
      <c r="A3837" t="s">
        <v>4664</v>
      </c>
      <c r="B3837" t="str">
        <f>"300081"</f>
        <v>300081</v>
      </c>
      <c r="C3837" t="s">
        <v>8018</v>
      </c>
      <c r="D3837" t="s">
        <v>5597</v>
      </c>
      <c r="F3837">
        <v>22942406</v>
      </c>
      <c r="G3837">
        <v>-56678274</v>
      </c>
      <c r="H3837">
        <v>107587449</v>
      </c>
      <c r="I3837">
        <v>206112356</v>
      </c>
      <c r="J3837">
        <v>78687480</v>
      </c>
      <c r="K3837">
        <v>-4282624</v>
      </c>
      <c r="L3837">
        <v>-6056897</v>
      </c>
      <c r="M3837">
        <v>-25462775</v>
      </c>
      <c r="N3837">
        <v>-8146940</v>
      </c>
      <c r="O3837">
        <v>-12434676</v>
      </c>
      <c r="P3837">
        <v>160</v>
      </c>
      <c r="Q3837" t="s">
        <v>8019</v>
      </c>
    </row>
    <row r="3838" spans="1:17" x14ac:dyDescent="0.3">
      <c r="A3838" t="s">
        <v>4664</v>
      </c>
      <c r="B3838" t="str">
        <f>"300082"</f>
        <v>300082</v>
      </c>
      <c r="C3838" t="s">
        <v>8020</v>
      </c>
      <c r="D3838" t="s">
        <v>1233</v>
      </c>
      <c r="F3838">
        <v>193348107</v>
      </c>
      <c r="G3838">
        <v>297874950</v>
      </c>
      <c r="H3838">
        <v>242496142</v>
      </c>
      <c r="I3838">
        <v>252361771</v>
      </c>
      <c r="J3838">
        <v>157958034</v>
      </c>
      <c r="K3838">
        <v>94628503</v>
      </c>
      <c r="L3838">
        <v>-93894634</v>
      </c>
      <c r="M3838">
        <v>91703690</v>
      </c>
      <c r="N3838">
        <v>60590271</v>
      </c>
      <c r="O3838">
        <v>85424037</v>
      </c>
      <c r="P3838">
        <v>176</v>
      </c>
      <c r="Q3838" t="s">
        <v>8021</v>
      </c>
    </row>
    <row r="3839" spans="1:17" x14ac:dyDescent="0.3">
      <c r="A3839" t="s">
        <v>4664</v>
      </c>
      <c r="B3839" t="str">
        <f>"300083"</f>
        <v>300083</v>
      </c>
      <c r="C3839" t="s">
        <v>8022</v>
      </c>
      <c r="D3839" t="s">
        <v>2423</v>
      </c>
      <c r="F3839">
        <v>409550340</v>
      </c>
      <c r="G3839">
        <v>176208155</v>
      </c>
      <c r="H3839">
        <v>-82843662</v>
      </c>
      <c r="I3839">
        <v>-101849015</v>
      </c>
      <c r="J3839">
        <v>418221691</v>
      </c>
      <c r="K3839">
        <v>79808977</v>
      </c>
      <c r="L3839">
        <v>-204811439</v>
      </c>
      <c r="M3839">
        <v>31009016</v>
      </c>
      <c r="N3839">
        <v>93966926</v>
      </c>
      <c r="O3839">
        <v>50539410</v>
      </c>
      <c r="P3839">
        <v>487</v>
      </c>
      <c r="Q3839" t="s">
        <v>8023</v>
      </c>
    </row>
    <row r="3840" spans="1:17" x14ac:dyDescent="0.3">
      <c r="A3840" t="s">
        <v>4664</v>
      </c>
      <c r="B3840" t="str">
        <f>"300084"</f>
        <v>300084</v>
      </c>
      <c r="C3840" t="s">
        <v>8024</v>
      </c>
      <c r="D3840" t="s">
        <v>395</v>
      </c>
      <c r="F3840">
        <v>-28490055</v>
      </c>
      <c r="G3840">
        <v>-600909668</v>
      </c>
      <c r="H3840">
        <v>-46759880</v>
      </c>
      <c r="I3840">
        <v>-24164146</v>
      </c>
      <c r="J3840">
        <v>2415906</v>
      </c>
      <c r="K3840">
        <v>2094027</v>
      </c>
      <c r="L3840">
        <v>-4112391</v>
      </c>
      <c r="M3840">
        <v>12434905</v>
      </c>
      <c r="N3840">
        <v>9748311</v>
      </c>
      <c r="O3840">
        <v>2773611</v>
      </c>
      <c r="P3840">
        <v>69</v>
      </c>
      <c r="Q3840" t="s">
        <v>8025</v>
      </c>
    </row>
    <row r="3841" spans="1:17" x14ac:dyDescent="0.3">
      <c r="A3841" t="s">
        <v>4664</v>
      </c>
      <c r="B3841" t="str">
        <f>"300085"</f>
        <v>300085</v>
      </c>
      <c r="C3841" t="s">
        <v>8026</v>
      </c>
      <c r="D3841" t="s">
        <v>945</v>
      </c>
      <c r="F3841">
        <v>-49135087</v>
      </c>
      <c r="G3841">
        <v>-28273348</v>
      </c>
      <c r="H3841">
        <v>1150928</v>
      </c>
      <c r="I3841">
        <v>3637003</v>
      </c>
      <c r="J3841">
        <v>26865691</v>
      </c>
      <c r="K3841">
        <v>50367860</v>
      </c>
      <c r="L3841">
        <v>40963648</v>
      </c>
      <c r="M3841">
        <v>3376933</v>
      </c>
      <c r="N3841">
        <v>5024676</v>
      </c>
      <c r="O3841">
        <v>9563504</v>
      </c>
      <c r="P3841">
        <v>255</v>
      </c>
      <c r="Q3841" t="s">
        <v>8027</v>
      </c>
    </row>
    <row r="3842" spans="1:17" x14ac:dyDescent="0.3">
      <c r="A3842" t="s">
        <v>4664</v>
      </c>
      <c r="B3842" t="str">
        <f>"300086"</f>
        <v>300086</v>
      </c>
      <c r="C3842" t="s">
        <v>8028</v>
      </c>
      <c r="D3842" t="s">
        <v>143</v>
      </c>
      <c r="F3842">
        <v>-41605514</v>
      </c>
      <c r="G3842">
        <v>2134002</v>
      </c>
      <c r="H3842">
        <v>1657286</v>
      </c>
      <c r="I3842">
        <v>45463381</v>
      </c>
      <c r="J3842">
        <v>41224197</v>
      </c>
      <c r="K3842">
        <v>32844732</v>
      </c>
      <c r="L3842">
        <v>31020529</v>
      </c>
      <c r="M3842">
        <v>36177206</v>
      </c>
      <c r="N3842">
        <v>20379754</v>
      </c>
      <c r="O3842">
        <v>17210205</v>
      </c>
      <c r="P3842">
        <v>106</v>
      </c>
      <c r="Q3842" t="s">
        <v>8029</v>
      </c>
    </row>
    <row r="3843" spans="1:17" x14ac:dyDescent="0.3">
      <c r="A3843" t="s">
        <v>4664</v>
      </c>
      <c r="B3843" t="str">
        <f>"300087"</f>
        <v>300087</v>
      </c>
      <c r="C3843" t="s">
        <v>8030</v>
      </c>
      <c r="D3843" t="s">
        <v>706</v>
      </c>
      <c r="F3843">
        <v>-959215</v>
      </c>
      <c r="G3843">
        <v>5122119</v>
      </c>
      <c r="H3843">
        <v>-28864693</v>
      </c>
      <c r="I3843">
        <v>-40450919</v>
      </c>
      <c r="J3843">
        <v>-27678674</v>
      </c>
      <c r="K3843">
        <v>-8794374</v>
      </c>
      <c r="L3843">
        <v>-11143436</v>
      </c>
      <c r="M3843">
        <v>-10077793</v>
      </c>
      <c r="N3843">
        <v>-13501270</v>
      </c>
      <c r="O3843">
        <v>8123880</v>
      </c>
      <c r="P3843">
        <v>231</v>
      </c>
      <c r="Q3843" t="s">
        <v>8031</v>
      </c>
    </row>
    <row r="3844" spans="1:17" x14ac:dyDescent="0.3">
      <c r="A3844" t="s">
        <v>4664</v>
      </c>
      <c r="B3844" t="str">
        <f>"300088"</f>
        <v>300088</v>
      </c>
      <c r="C3844" t="s">
        <v>8032</v>
      </c>
      <c r="D3844" t="s">
        <v>1117</v>
      </c>
      <c r="F3844">
        <v>799455871</v>
      </c>
      <c r="G3844">
        <v>796692062</v>
      </c>
      <c r="H3844">
        <v>712006670</v>
      </c>
      <c r="I3844">
        <v>608098884</v>
      </c>
      <c r="J3844">
        <v>457457337</v>
      </c>
      <c r="K3844">
        <v>230226314</v>
      </c>
      <c r="L3844">
        <v>171246987</v>
      </c>
      <c r="M3844">
        <v>167951064</v>
      </c>
      <c r="N3844">
        <v>216436442</v>
      </c>
      <c r="O3844">
        <v>151187894</v>
      </c>
      <c r="P3844">
        <v>950</v>
      </c>
      <c r="Q3844" t="s">
        <v>8033</v>
      </c>
    </row>
    <row r="3845" spans="1:17" x14ac:dyDescent="0.3">
      <c r="A3845" t="s">
        <v>4664</v>
      </c>
      <c r="B3845" t="str">
        <f>"300089"</f>
        <v>300089</v>
      </c>
      <c r="C3845" t="s">
        <v>8034</v>
      </c>
      <c r="D3845" t="s">
        <v>1336</v>
      </c>
      <c r="F3845">
        <v>-75550120</v>
      </c>
      <c r="G3845">
        <v>-87519531</v>
      </c>
      <c r="H3845">
        <v>-12986297</v>
      </c>
      <c r="I3845">
        <v>136729588</v>
      </c>
      <c r="J3845">
        <v>49936158</v>
      </c>
      <c r="K3845">
        <v>109471123</v>
      </c>
      <c r="L3845">
        <v>10353440</v>
      </c>
      <c r="M3845">
        <v>10291232</v>
      </c>
      <c r="N3845">
        <v>14076815</v>
      </c>
      <c r="O3845">
        <v>28144295</v>
      </c>
      <c r="P3845">
        <v>101</v>
      </c>
      <c r="Q3845" t="s">
        <v>8035</v>
      </c>
    </row>
    <row r="3846" spans="1:17" x14ac:dyDescent="0.3">
      <c r="A3846" t="s">
        <v>4664</v>
      </c>
      <c r="B3846" t="str">
        <f>"300090"</f>
        <v>300090</v>
      </c>
      <c r="C3846" t="s">
        <v>8036</v>
      </c>
      <c r="H3846">
        <v>-552492743</v>
      </c>
      <c r="I3846">
        <v>-209729620</v>
      </c>
      <c r="J3846">
        <v>3720189</v>
      </c>
      <c r="K3846">
        <v>165069261</v>
      </c>
      <c r="L3846">
        <v>161478923</v>
      </c>
      <c r="M3846">
        <v>132454608</v>
      </c>
      <c r="N3846">
        <v>101128730</v>
      </c>
      <c r="O3846">
        <v>58513975</v>
      </c>
      <c r="P3846">
        <v>72</v>
      </c>
      <c r="Q3846" t="s">
        <v>8037</v>
      </c>
    </row>
    <row r="3847" spans="1:17" x14ac:dyDescent="0.3">
      <c r="A3847" t="s">
        <v>4664</v>
      </c>
      <c r="B3847" t="str">
        <f>"300091"</f>
        <v>300091</v>
      </c>
      <c r="C3847" t="s">
        <v>8038</v>
      </c>
      <c r="D3847" t="s">
        <v>560</v>
      </c>
      <c r="F3847">
        <v>64508315</v>
      </c>
      <c r="G3847">
        <v>70335623</v>
      </c>
      <c r="H3847">
        <v>116721579</v>
      </c>
      <c r="I3847">
        <v>143203703</v>
      </c>
      <c r="J3847">
        <v>100440252</v>
      </c>
      <c r="K3847">
        <v>50198508</v>
      </c>
      <c r="L3847">
        <v>30470569</v>
      </c>
      <c r="M3847">
        <v>9005170</v>
      </c>
      <c r="N3847">
        <v>-13767461</v>
      </c>
      <c r="O3847">
        <v>23705087</v>
      </c>
      <c r="P3847">
        <v>101</v>
      </c>
      <c r="Q3847" t="s">
        <v>8039</v>
      </c>
    </row>
    <row r="3848" spans="1:17" x14ac:dyDescent="0.3">
      <c r="A3848" t="s">
        <v>4664</v>
      </c>
      <c r="B3848" t="str">
        <f>"300092"</f>
        <v>300092</v>
      </c>
      <c r="C3848" t="s">
        <v>8040</v>
      </c>
      <c r="D3848" t="s">
        <v>274</v>
      </c>
      <c r="F3848">
        <v>76523466</v>
      </c>
      <c r="G3848">
        <v>71167271</v>
      </c>
      <c r="H3848">
        <v>38781165</v>
      </c>
      <c r="I3848">
        <v>6716409</v>
      </c>
      <c r="J3848">
        <v>5065076</v>
      </c>
      <c r="K3848">
        <v>13434466</v>
      </c>
      <c r="L3848">
        <v>-5026958</v>
      </c>
      <c r="M3848">
        <v>1996693</v>
      </c>
      <c r="N3848">
        <v>-20506370</v>
      </c>
      <c r="O3848">
        <v>7455721</v>
      </c>
      <c r="P3848">
        <v>81</v>
      </c>
      <c r="Q3848" t="s">
        <v>8041</v>
      </c>
    </row>
    <row r="3849" spans="1:17" x14ac:dyDescent="0.3">
      <c r="A3849" t="s">
        <v>4664</v>
      </c>
      <c r="B3849" t="str">
        <f>"300093"</f>
        <v>300093</v>
      </c>
      <c r="C3849" t="s">
        <v>8042</v>
      </c>
      <c r="D3849" t="s">
        <v>666</v>
      </c>
      <c r="F3849">
        <v>1515067</v>
      </c>
      <c r="G3849">
        <v>-48731145</v>
      </c>
      <c r="H3849">
        <v>10361598</v>
      </c>
      <c r="I3849">
        <v>14308694</v>
      </c>
      <c r="J3849">
        <v>13816082</v>
      </c>
      <c r="K3849">
        <v>527839</v>
      </c>
      <c r="L3849">
        <v>8549031</v>
      </c>
      <c r="M3849">
        <v>17236961</v>
      </c>
      <c r="N3849">
        <v>24124910</v>
      </c>
      <c r="O3849">
        <v>29438623</v>
      </c>
      <c r="P3849">
        <v>80</v>
      </c>
      <c r="Q3849" t="s">
        <v>8043</v>
      </c>
    </row>
    <row r="3850" spans="1:17" x14ac:dyDescent="0.3">
      <c r="A3850" t="s">
        <v>4664</v>
      </c>
      <c r="B3850" t="str">
        <f>"300094"</f>
        <v>300094</v>
      </c>
      <c r="C3850" t="s">
        <v>8044</v>
      </c>
      <c r="D3850" t="s">
        <v>587</v>
      </c>
      <c r="F3850">
        <v>11198367</v>
      </c>
      <c r="G3850">
        <v>-135506879</v>
      </c>
      <c r="H3850">
        <v>18198450</v>
      </c>
      <c r="I3850">
        <v>226752990</v>
      </c>
      <c r="J3850">
        <v>112239720</v>
      </c>
      <c r="K3850">
        <v>62892603</v>
      </c>
      <c r="L3850">
        <v>3010199</v>
      </c>
      <c r="M3850">
        <v>29671807</v>
      </c>
      <c r="N3850">
        <v>26265122</v>
      </c>
      <c r="O3850">
        <v>-91771340</v>
      </c>
      <c r="P3850">
        <v>123</v>
      </c>
      <c r="Q3850" t="s">
        <v>8045</v>
      </c>
    </row>
    <row r="3851" spans="1:17" x14ac:dyDescent="0.3">
      <c r="A3851" t="s">
        <v>4664</v>
      </c>
      <c r="B3851" t="str">
        <f>"300095"</f>
        <v>300095</v>
      </c>
      <c r="C3851" t="s">
        <v>8046</v>
      </c>
      <c r="D3851" t="s">
        <v>274</v>
      </c>
      <c r="F3851">
        <v>173780780</v>
      </c>
      <c r="G3851">
        <v>137245349</v>
      </c>
      <c r="H3851">
        <v>55403222</v>
      </c>
      <c r="I3851">
        <v>41497112</v>
      </c>
      <c r="J3851">
        <v>40139412</v>
      </c>
      <c r="K3851">
        <v>35738091</v>
      </c>
      <c r="L3851">
        <v>48139846</v>
      </c>
      <c r="M3851">
        <v>32051668</v>
      </c>
      <c r="N3851">
        <v>21116302</v>
      </c>
      <c r="O3851">
        <v>22176263</v>
      </c>
      <c r="P3851">
        <v>128</v>
      </c>
      <c r="Q3851" t="s">
        <v>8047</v>
      </c>
    </row>
    <row r="3852" spans="1:17" x14ac:dyDescent="0.3">
      <c r="A3852" t="s">
        <v>4664</v>
      </c>
      <c r="B3852" t="str">
        <f>"300096"</f>
        <v>300096</v>
      </c>
      <c r="C3852" t="s">
        <v>8048</v>
      </c>
      <c r="D3852" t="s">
        <v>316</v>
      </c>
      <c r="F3852">
        <v>-105015306</v>
      </c>
      <c r="G3852">
        <v>-40181261</v>
      </c>
      <c r="H3852">
        <v>1161484</v>
      </c>
      <c r="I3852">
        <v>-17159191</v>
      </c>
      <c r="J3852">
        <v>-52530467</v>
      </c>
      <c r="K3852">
        <v>-9691160</v>
      </c>
      <c r="L3852">
        <v>13697711</v>
      </c>
      <c r="M3852">
        <v>23087231</v>
      </c>
      <c r="N3852">
        <v>22529972</v>
      </c>
      <c r="O3852">
        <v>37774980</v>
      </c>
      <c r="P3852">
        <v>169</v>
      </c>
      <c r="Q3852" t="s">
        <v>8049</v>
      </c>
    </row>
    <row r="3853" spans="1:17" x14ac:dyDescent="0.3">
      <c r="A3853" t="s">
        <v>4664</v>
      </c>
      <c r="B3853" t="str">
        <f>"300097"</f>
        <v>300097</v>
      </c>
      <c r="C3853" t="s">
        <v>8050</v>
      </c>
      <c r="D3853" t="s">
        <v>3450</v>
      </c>
      <c r="F3853">
        <v>-147480583</v>
      </c>
      <c r="G3853">
        <v>41622051</v>
      </c>
      <c r="H3853">
        <v>-90034818</v>
      </c>
      <c r="I3853">
        <v>140536267</v>
      </c>
      <c r="J3853">
        <v>165316041</v>
      </c>
      <c r="K3853">
        <v>46431314</v>
      </c>
      <c r="L3853">
        <v>7102775</v>
      </c>
      <c r="M3853">
        <v>20783096</v>
      </c>
      <c r="N3853">
        <v>23011344</v>
      </c>
      <c r="O3853">
        <v>2815585</v>
      </c>
      <c r="P3853">
        <v>203</v>
      </c>
      <c r="Q3853" t="s">
        <v>8051</v>
      </c>
    </row>
    <row r="3854" spans="1:17" x14ac:dyDescent="0.3">
      <c r="A3854" t="s">
        <v>4664</v>
      </c>
      <c r="B3854" t="str">
        <f>"300098"</f>
        <v>300098</v>
      </c>
      <c r="C3854" t="s">
        <v>8052</v>
      </c>
      <c r="D3854" t="s">
        <v>945</v>
      </c>
      <c r="F3854">
        <v>24554886</v>
      </c>
      <c r="G3854">
        <v>-115471030</v>
      </c>
      <c r="H3854">
        <v>60722928</v>
      </c>
      <c r="I3854">
        <v>393307091</v>
      </c>
      <c r="J3854">
        <v>290591912</v>
      </c>
      <c r="K3854">
        <v>200532965</v>
      </c>
      <c r="L3854">
        <v>60934892</v>
      </c>
      <c r="M3854">
        <v>50573724</v>
      </c>
      <c r="N3854">
        <v>18528896</v>
      </c>
      <c r="O3854">
        <v>-9015864</v>
      </c>
      <c r="P3854">
        <v>368</v>
      </c>
      <c r="Q3854" t="s">
        <v>8053</v>
      </c>
    </row>
    <row r="3855" spans="1:17" x14ac:dyDescent="0.3">
      <c r="A3855" t="s">
        <v>4664</v>
      </c>
      <c r="B3855" t="str">
        <f>"300099"</f>
        <v>300099</v>
      </c>
      <c r="C3855" t="s">
        <v>8054</v>
      </c>
      <c r="D3855" t="s">
        <v>395</v>
      </c>
      <c r="F3855">
        <v>135223054</v>
      </c>
      <c r="G3855">
        <v>19047359</v>
      </c>
      <c r="H3855">
        <v>8713831</v>
      </c>
      <c r="I3855">
        <v>24287644</v>
      </c>
      <c r="J3855">
        <v>23366144</v>
      </c>
      <c r="K3855">
        <v>-4675275</v>
      </c>
      <c r="L3855">
        <v>-6509619</v>
      </c>
      <c r="M3855">
        <v>12775586</v>
      </c>
      <c r="N3855">
        <v>54592773</v>
      </c>
      <c r="O3855">
        <v>59805798</v>
      </c>
      <c r="P3855">
        <v>134</v>
      </c>
      <c r="Q3855" t="s">
        <v>8055</v>
      </c>
    </row>
    <row r="3856" spans="1:17" x14ac:dyDescent="0.3">
      <c r="A3856" t="s">
        <v>4664</v>
      </c>
      <c r="B3856" t="str">
        <f>"300100"</f>
        <v>300100</v>
      </c>
      <c r="C3856" t="s">
        <v>8056</v>
      </c>
      <c r="D3856" t="s">
        <v>191</v>
      </c>
      <c r="F3856">
        <v>93990087</v>
      </c>
      <c r="G3856">
        <v>171487084</v>
      </c>
      <c r="H3856">
        <v>13708009</v>
      </c>
      <c r="I3856">
        <v>210596205</v>
      </c>
      <c r="J3856">
        <v>223909869</v>
      </c>
      <c r="K3856">
        <v>243276295</v>
      </c>
      <c r="L3856">
        <v>176013185</v>
      </c>
      <c r="M3856">
        <v>88328991</v>
      </c>
      <c r="N3856">
        <v>81688912</v>
      </c>
      <c r="O3856">
        <v>87301158</v>
      </c>
      <c r="P3856">
        <v>129</v>
      </c>
      <c r="Q3856" t="s">
        <v>8057</v>
      </c>
    </row>
    <row r="3857" spans="1:17" x14ac:dyDescent="0.3">
      <c r="A3857" t="s">
        <v>4664</v>
      </c>
      <c r="B3857" t="str">
        <f>"300101"</f>
        <v>300101</v>
      </c>
      <c r="C3857" t="s">
        <v>8058</v>
      </c>
      <c r="D3857" t="s">
        <v>1136</v>
      </c>
      <c r="F3857">
        <v>124441783</v>
      </c>
      <c r="G3857">
        <v>50872921</v>
      </c>
      <c r="H3857">
        <v>8207464</v>
      </c>
      <c r="I3857">
        <v>26581357</v>
      </c>
      <c r="J3857">
        <v>24122638</v>
      </c>
      <c r="K3857">
        <v>65438339</v>
      </c>
      <c r="L3857">
        <v>61563852</v>
      </c>
      <c r="M3857">
        <v>27529482</v>
      </c>
      <c r="N3857">
        <v>3101949</v>
      </c>
      <c r="O3857">
        <v>20432127</v>
      </c>
      <c r="P3857">
        <v>3120</v>
      </c>
      <c r="Q3857" t="s">
        <v>8059</v>
      </c>
    </row>
    <row r="3858" spans="1:17" x14ac:dyDescent="0.3">
      <c r="A3858" t="s">
        <v>4664</v>
      </c>
      <c r="B3858" t="str">
        <f>"300102"</f>
        <v>300102</v>
      </c>
      <c r="C3858" t="s">
        <v>8060</v>
      </c>
      <c r="D3858" t="s">
        <v>803</v>
      </c>
      <c r="F3858">
        <v>164617814</v>
      </c>
      <c r="G3858">
        <v>-240531993</v>
      </c>
      <c r="H3858">
        <v>-49709706</v>
      </c>
      <c r="I3858">
        <v>152402034</v>
      </c>
      <c r="J3858">
        <v>158322827</v>
      </c>
      <c r="K3858">
        <v>22485719</v>
      </c>
      <c r="L3858">
        <v>26916669</v>
      </c>
      <c r="M3858">
        <v>63653854</v>
      </c>
      <c r="N3858">
        <v>77446983</v>
      </c>
      <c r="O3858">
        <v>87220344</v>
      </c>
      <c r="P3858">
        <v>158</v>
      </c>
      <c r="Q3858" t="s">
        <v>8061</v>
      </c>
    </row>
    <row r="3859" spans="1:17" x14ac:dyDescent="0.3">
      <c r="A3859" t="s">
        <v>4664</v>
      </c>
      <c r="B3859" t="str">
        <f>"300103"</f>
        <v>300103</v>
      </c>
      <c r="C3859" t="s">
        <v>8062</v>
      </c>
      <c r="D3859" t="s">
        <v>741</v>
      </c>
      <c r="F3859">
        <v>20978906</v>
      </c>
      <c r="G3859">
        <v>56348311</v>
      </c>
      <c r="H3859">
        <v>34652067</v>
      </c>
      <c r="I3859">
        <v>30203048</v>
      </c>
      <c r="J3859">
        <v>29435151</v>
      </c>
      <c r="K3859">
        <v>20567321</v>
      </c>
      <c r="L3859">
        <v>32415239</v>
      </c>
      <c r="M3859">
        <v>43489659</v>
      </c>
      <c r="N3859">
        <v>52805078</v>
      </c>
      <c r="O3859">
        <v>32945891</v>
      </c>
      <c r="P3859">
        <v>53</v>
      </c>
      <c r="Q3859" t="s">
        <v>8063</v>
      </c>
    </row>
    <row r="3860" spans="1:17" x14ac:dyDescent="0.3">
      <c r="A3860" t="s">
        <v>4664</v>
      </c>
      <c r="B3860" t="str">
        <f>"300104"</f>
        <v>300104</v>
      </c>
      <c r="C3860" t="s">
        <v>8064</v>
      </c>
      <c r="H3860">
        <v>-10193501131</v>
      </c>
      <c r="I3860">
        <v>-1489483659</v>
      </c>
      <c r="J3860">
        <v>-1651607902</v>
      </c>
      <c r="K3860">
        <v>492989813.5</v>
      </c>
      <c r="L3860">
        <v>377047654.75999999</v>
      </c>
      <c r="M3860">
        <v>218151099.27000001</v>
      </c>
      <c r="N3860">
        <v>184308944.12</v>
      </c>
      <c r="O3860">
        <v>134094193.90000001</v>
      </c>
      <c r="P3860">
        <v>205</v>
      </c>
      <c r="Q3860" t="s">
        <v>8065</v>
      </c>
    </row>
    <row r="3861" spans="1:17" x14ac:dyDescent="0.3">
      <c r="A3861" t="s">
        <v>4664</v>
      </c>
      <c r="B3861" t="str">
        <f>"300105"</f>
        <v>300105</v>
      </c>
      <c r="C3861" t="s">
        <v>8066</v>
      </c>
      <c r="D3861" t="s">
        <v>470</v>
      </c>
      <c r="F3861">
        <v>-23632909</v>
      </c>
      <c r="G3861">
        <v>-16165268</v>
      </c>
      <c r="H3861">
        <v>-15681351</v>
      </c>
      <c r="I3861">
        <v>-5279133</v>
      </c>
      <c r="J3861">
        <v>2202283</v>
      </c>
      <c r="K3861">
        <v>-54100183</v>
      </c>
      <c r="L3861">
        <v>-53732493</v>
      </c>
      <c r="M3861">
        <v>74086582</v>
      </c>
      <c r="N3861">
        <v>52500027</v>
      </c>
      <c r="O3861">
        <v>81209455</v>
      </c>
      <c r="P3861">
        <v>56</v>
      </c>
      <c r="Q3861" t="s">
        <v>8067</v>
      </c>
    </row>
    <row r="3862" spans="1:17" x14ac:dyDescent="0.3">
      <c r="A3862" t="s">
        <v>4664</v>
      </c>
      <c r="B3862" t="str">
        <f>"300106"</f>
        <v>300106</v>
      </c>
      <c r="C3862" t="s">
        <v>8068</v>
      </c>
      <c r="D3862" t="s">
        <v>900</v>
      </c>
      <c r="F3862">
        <v>14427693</v>
      </c>
      <c r="G3862">
        <v>6372439</v>
      </c>
      <c r="H3862">
        <v>1241300</v>
      </c>
      <c r="I3862">
        <v>22981626</v>
      </c>
      <c r="J3862">
        <v>-80352631</v>
      </c>
      <c r="K3862">
        <v>-57726555</v>
      </c>
      <c r="L3862">
        <v>19209979</v>
      </c>
      <c r="M3862">
        <v>31217061</v>
      </c>
      <c r="N3862">
        <v>28095941</v>
      </c>
      <c r="O3862">
        <v>27483139</v>
      </c>
      <c r="P3862">
        <v>124</v>
      </c>
      <c r="Q3862" t="s">
        <v>8069</v>
      </c>
    </row>
    <row r="3863" spans="1:17" x14ac:dyDescent="0.3">
      <c r="A3863" t="s">
        <v>4664</v>
      </c>
      <c r="B3863" t="str">
        <f>"300107"</f>
        <v>300107</v>
      </c>
      <c r="C3863" t="s">
        <v>8070</v>
      </c>
      <c r="D3863" t="s">
        <v>779</v>
      </c>
      <c r="F3863">
        <v>8305511</v>
      </c>
      <c r="G3863">
        <v>56242918</v>
      </c>
      <c r="H3863">
        <v>282120105</v>
      </c>
      <c r="I3863">
        <v>493575392</v>
      </c>
      <c r="J3863">
        <v>34336441</v>
      </c>
      <c r="K3863">
        <v>16718652</v>
      </c>
      <c r="L3863">
        <v>14763601</v>
      </c>
      <c r="M3863">
        <v>37455046</v>
      </c>
      <c r="N3863">
        <v>22451913</v>
      </c>
      <c r="O3863">
        <v>14319181</v>
      </c>
      <c r="P3863">
        <v>239</v>
      </c>
      <c r="Q3863" t="s">
        <v>8071</v>
      </c>
    </row>
    <row r="3864" spans="1:17" x14ac:dyDescent="0.3">
      <c r="A3864" t="s">
        <v>4664</v>
      </c>
      <c r="B3864" t="str">
        <f>"300108"</f>
        <v>300108</v>
      </c>
      <c r="C3864" t="s">
        <v>8072</v>
      </c>
      <c r="D3864" t="s">
        <v>188</v>
      </c>
      <c r="F3864">
        <v>-306362091</v>
      </c>
      <c r="G3864">
        <v>-198631834</v>
      </c>
      <c r="H3864">
        <v>12162678</v>
      </c>
      <c r="I3864">
        <v>101606034</v>
      </c>
      <c r="J3864">
        <v>100601100</v>
      </c>
      <c r="K3864">
        <v>106843679</v>
      </c>
      <c r="L3864">
        <v>123698384</v>
      </c>
      <c r="M3864">
        <v>34858133</v>
      </c>
      <c r="N3864">
        <v>21562646</v>
      </c>
      <c r="O3864">
        <v>26553703</v>
      </c>
      <c r="P3864">
        <v>121</v>
      </c>
      <c r="Q3864" t="s">
        <v>8073</v>
      </c>
    </row>
    <row r="3865" spans="1:17" x14ac:dyDescent="0.3">
      <c r="A3865" t="s">
        <v>4664</v>
      </c>
      <c r="B3865" t="str">
        <f>"300109"</f>
        <v>300109</v>
      </c>
      <c r="C3865" t="s">
        <v>8074</v>
      </c>
      <c r="D3865" t="s">
        <v>386</v>
      </c>
      <c r="F3865">
        <v>100072481</v>
      </c>
      <c r="G3865">
        <v>76841973</v>
      </c>
      <c r="H3865">
        <v>104083860</v>
      </c>
      <c r="I3865">
        <v>80186839</v>
      </c>
      <c r="J3865">
        <v>75269464</v>
      </c>
      <c r="K3865">
        <v>64011623</v>
      </c>
      <c r="L3865">
        <v>39334068</v>
      </c>
      <c r="M3865">
        <v>23391553</v>
      </c>
      <c r="N3865">
        <v>16335437</v>
      </c>
      <c r="O3865">
        <v>16187739</v>
      </c>
      <c r="P3865">
        <v>122</v>
      </c>
      <c r="Q3865" t="s">
        <v>8075</v>
      </c>
    </row>
    <row r="3866" spans="1:17" x14ac:dyDescent="0.3">
      <c r="A3866" t="s">
        <v>4664</v>
      </c>
      <c r="B3866" t="str">
        <f>"300110"</f>
        <v>300110</v>
      </c>
      <c r="C3866" t="s">
        <v>8076</v>
      </c>
      <c r="D3866" t="s">
        <v>143</v>
      </c>
      <c r="F3866">
        <v>117293421</v>
      </c>
      <c r="G3866">
        <v>54098340</v>
      </c>
      <c r="H3866">
        <v>25504961</v>
      </c>
      <c r="I3866">
        <v>27853415</v>
      </c>
      <c r="J3866">
        <v>23159115</v>
      </c>
      <c r="K3866">
        <v>14047772</v>
      </c>
      <c r="L3866">
        <v>30629956</v>
      </c>
      <c r="M3866">
        <v>57655183</v>
      </c>
      <c r="N3866">
        <v>82783355</v>
      </c>
      <c r="O3866">
        <v>72321332</v>
      </c>
      <c r="P3866">
        <v>125</v>
      </c>
      <c r="Q3866" t="s">
        <v>8077</v>
      </c>
    </row>
    <row r="3867" spans="1:17" x14ac:dyDescent="0.3">
      <c r="A3867" t="s">
        <v>4664</v>
      </c>
      <c r="B3867" t="str">
        <f>"300111"</f>
        <v>300111</v>
      </c>
      <c r="C3867" t="s">
        <v>8078</v>
      </c>
      <c r="D3867" t="s">
        <v>356</v>
      </c>
      <c r="F3867">
        <v>1595275</v>
      </c>
      <c r="G3867">
        <v>23620671</v>
      </c>
      <c r="H3867">
        <v>-55364263</v>
      </c>
      <c r="I3867">
        <v>-262389312</v>
      </c>
      <c r="J3867">
        <v>13517003</v>
      </c>
      <c r="K3867">
        <v>49850199</v>
      </c>
      <c r="L3867">
        <v>28128072</v>
      </c>
      <c r="M3867">
        <v>-46041896</v>
      </c>
      <c r="N3867">
        <v>31666077</v>
      </c>
      <c r="O3867">
        <v>-132889490</v>
      </c>
      <c r="P3867">
        <v>124</v>
      </c>
      <c r="Q3867" t="s">
        <v>8079</v>
      </c>
    </row>
    <row r="3868" spans="1:17" x14ac:dyDescent="0.3">
      <c r="A3868" t="s">
        <v>4664</v>
      </c>
      <c r="B3868" t="str">
        <f>"300112"</f>
        <v>300112</v>
      </c>
      <c r="C3868" t="s">
        <v>8080</v>
      </c>
      <c r="D3868" t="s">
        <v>2551</v>
      </c>
      <c r="F3868">
        <v>80149781</v>
      </c>
      <c r="G3868">
        <v>58806019</v>
      </c>
      <c r="H3868">
        <v>50988583</v>
      </c>
      <c r="I3868">
        <v>45981278</v>
      </c>
      <c r="J3868">
        <v>44022825</v>
      </c>
      <c r="K3868">
        <v>19771560</v>
      </c>
      <c r="L3868">
        <v>16542477</v>
      </c>
      <c r="M3868">
        <v>23817318</v>
      </c>
      <c r="N3868">
        <v>29185753</v>
      </c>
      <c r="O3868">
        <v>20568035</v>
      </c>
      <c r="P3868">
        <v>123</v>
      </c>
      <c r="Q3868" t="s">
        <v>8081</v>
      </c>
    </row>
    <row r="3869" spans="1:17" x14ac:dyDescent="0.3">
      <c r="A3869" t="s">
        <v>4664</v>
      </c>
      <c r="B3869" t="str">
        <f>"300113"</f>
        <v>300113</v>
      </c>
      <c r="C3869" t="s">
        <v>8082</v>
      </c>
      <c r="D3869" t="s">
        <v>517</v>
      </c>
      <c r="F3869">
        <v>155052287</v>
      </c>
      <c r="G3869">
        <v>116755813</v>
      </c>
      <c r="H3869">
        <v>348794667</v>
      </c>
      <c r="I3869">
        <v>438326244</v>
      </c>
      <c r="J3869">
        <v>370900133</v>
      </c>
      <c r="K3869">
        <v>395981055</v>
      </c>
      <c r="L3869">
        <v>182160534</v>
      </c>
      <c r="M3869">
        <v>95842358</v>
      </c>
      <c r="N3869">
        <v>76418077</v>
      </c>
      <c r="O3869">
        <v>65012725</v>
      </c>
      <c r="P3869">
        <v>481</v>
      </c>
      <c r="Q3869" t="s">
        <v>8083</v>
      </c>
    </row>
    <row r="3870" spans="1:17" x14ac:dyDescent="0.3">
      <c r="A3870" t="s">
        <v>4664</v>
      </c>
      <c r="B3870" t="str">
        <f>"300114"</f>
        <v>300114</v>
      </c>
      <c r="C3870" t="s">
        <v>8084</v>
      </c>
      <c r="D3870" t="s">
        <v>1136</v>
      </c>
      <c r="F3870">
        <v>267387082</v>
      </c>
      <c r="G3870">
        <v>220969654</v>
      </c>
      <c r="H3870">
        <v>186109713</v>
      </c>
      <c r="I3870">
        <v>132765965</v>
      </c>
      <c r="J3870">
        <v>103063594</v>
      </c>
      <c r="K3870">
        <v>84934358</v>
      </c>
      <c r="L3870">
        <v>77006894</v>
      </c>
      <c r="M3870">
        <v>41204474</v>
      </c>
      <c r="N3870">
        <v>37009370</v>
      </c>
      <c r="O3870">
        <v>38802495</v>
      </c>
      <c r="P3870">
        <v>258</v>
      </c>
      <c r="Q3870" t="s">
        <v>8085</v>
      </c>
    </row>
    <row r="3871" spans="1:17" x14ac:dyDescent="0.3">
      <c r="A3871" t="s">
        <v>4664</v>
      </c>
      <c r="B3871" t="str">
        <f>"300115"</f>
        <v>300115</v>
      </c>
      <c r="C3871" t="s">
        <v>8086</v>
      </c>
      <c r="D3871" t="s">
        <v>313</v>
      </c>
      <c r="F3871">
        <v>156614852</v>
      </c>
      <c r="G3871">
        <v>412673826</v>
      </c>
      <c r="H3871">
        <v>188157066</v>
      </c>
      <c r="I3871">
        <v>177050937</v>
      </c>
      <c r="J3871">
        <v>540002472</v>
      </c>
      <c r="K3871">
        <v>488128048</v>
      </c>
      <c r="L3871">
        <v>321875457</v>
      </c>
      <c r="M3871">
        <v>197629981</v>
      </c>
      <c r="N3871">
        <v>151704402</v>
      </c>
      <c r="O3871">
        <v>139682383</v>
      </c>
      <c r="P3871">
        <v>870</v>
      </c>
      <c r="Q3871" t="s">
        <v>8087</v>
      </c>
    </row>
    <row r="3872" spans="1:17" x14ac:dyDescent="0.3">
      <c r="A3872" t="s">
        <v>4664</v>
      </c>
      <c r="B3872" t="str">
        <f>"300116"</f>
        <v>300116</v>
      </c>
      <c r="C3872" t="s">
        <v>8088</v>
      </c>
      <c r="D3872" t="s">
        <v>359</v>
      </c>
      <c r="F3872">
        <v>-80376711</v>
      </c>
      <c r="G3872">
        <v>-87406099</v>
      </c>
      <c r="H3872">
        <v>-2607023852</v>
      </c>
      <c r="I3872">
        <v>-2910777311</v>
      </c>
      <c r="J3872">
        <v>751595086</v>
      </c>
      <c r="K3872">
        <v>84337350</v>
      </c>
      <c r="L3872">
        <v>16352249</v>
      </c>
      <c r="M3872">
        <v>-3903739</v>
      </c>
      <c r="N3872">
        <v>-1682285</v>
      </c>
      <c r="O3872">
        <v>-8154160</v>
      </c>
      <c r="P3872">
        <v>173</v>
      </c>
      <c r="Q3872" t="s">
        <v>8089</v>
      </c>
    </row>
    <row r="3873" spans="1:17" x14ac:dyDescent="0.3">
      <c r="A3873" t="s">
        <v>4664</v>
      </c>
      <c r="B3873" t="str">
        <f>"300117"</f>
        <v>300117</v>
      </c>
      <c r="C3873" t="s">
        <v>8090</v>
      </c>
      <c r="D3873" t="s">
        <v>1986</v>
      </c>
      <c r="F3873">
        <v>-57590112</v>
      </c>
      <c r="G3873">
        <v>-52192224</v>
      </c>
      <c r="H3873">
        <v>362416903</v>
      </c>
      <c r="I3873">
        <v>60336541</v>
      </c>
      <c r="J3873">
        <v>73014821</v>
      </c>
      <c r="K3873">
        <v>49369266</v>
      </c>
      <c r="L3873">
        <v>44396519</v>
      </c>
      <c r="M3873">
        <v>43836096</v>
      </c>
      <c r="N3873">
        <v>41654264</v>
      </c>
      <c r="O3873">
        <v>41621220</v>
      </c>
      <c r="P3873">
        <v>179</v>
      </c>
      <c r="Q3873" t="s">
        <v>8091</v>
      </c>
    </row>
    <row r="3874" spans="1:17" x14ac:dyDescent="0.3">
      <c r="A3874" t="s">
        <v>4664</v>
      </c>
      <c r="B3874" t="str">
        <f>"300118"</f>
        <v>300118</v>
      </c>
      <c r="C3874" t="s">
        <v>8092</v>
      </c>
      <c r="D3874" t="s">
        <v>356</v>
      </c>
      <c r="F3874">
        <v>354065620</v>
      </c>
      <c r="G3874">
        <v>647622818</v>
      </c>
      <c r="H3874">
        <v>783419079</v>
      </c>
      <c r="I3874">
        <v>211089952</v>
      </c>
      <c r="J3874">
        <v>431185251</v>
      </c>
      <c r="K3874">
        <v>520469201</v>
      </c>
      <c r="L3874">
        <v>197933562</v>
      </c>
      <c r="M3874">
        <v>33024264</v>
      </c>
      <c r="N3874">
        <v>50862997</v>
      </c>
      <c r="O3874">
        <v>-78926367</v>
      </c>
      <c r="P3874">
        <v>443</v>
      </c>
      <c r="Q3874" t="s">
        <v>8093</v>
      </c>
    </row>
    <row r="3875" spans="1:17" x14ac:dyDescent="0.3">
      <c r="A3875" t="s">
        <v>4664</v>
      </c>
      <c r="B3875" t="str">
        <f>"300119"</f>
        <v>300119</v>
      </c>
      <c r="C3875" t="s">
        <v>8094</v>
      </c>
      <c r="D3875" t="s">
        <v>453</v>
      </c>
      <c r="F3875">
        <v>292192032</v>
      </c>
      <c r="G3875">
        <v>252268462</v>
      </c>
      <c r="H3875">
        <v>144653163</v>
      </c>
      <c r="I3875">
        <v>105944945</v>
      </c>
      <c r="J3875">
        <v>102424583</v>
      </c>
      <c r="K3875">
        <v>99132691</v>
      </c>
      <c r="L3875">
        <v>79302154</v>
      </c>
      <c r="M3875">
        <v>39304269</v>
      </c>
      <c r="N3875">
        <v>96625287</v>
      </c>
      <c r="O3875">
        <v>91592075</v>
      </c>
      <c r="P3875">
        <v>388</v>
      </c>
      <c r="Q3875" t="s">
        <v>8095</v>
      </c>
    </row>
    <row r="3876" spans="1:17" x14ac:dyDescent="0.3">
      <c r="A3876" t="s">
        <v>4664</v>
      </c>
      <c r="B3876" t="str">
        <f>"300120"</f>
        <v>300120</v>
      </c>
      <c r="C3876" t="s">
        <v>8096</v>
      </c>
      <c r="D3876" t="s">
        <v>1117</v>
      </c>
      <c r="F3876">
        <v>48841367</v>
      </c>
      <c r="G3876">
        <v>77823321</v>
      </c>
      <c r="H3876">
        <v>86156210</v>
      </c>
      <c r="I3876">
        <v>92290214</v>
      </c>
      <c r="J3876">
        <v>17112224</v>
      </c>
      <c r="K3876">
        <v>8776838</v>
      </c>
      <c r="L3876">
        <v>7431145</v>
      </c>
      <c r="M3876">
        <v>5418446</v>
      </c>
      <c r="N3876">
        <v>26288448</v>
      </c>
      <c r="O3876">
        <v>16981391</v>
      </c>
      <c r="P3876">
        <v>105</v>
      </c>
      <c r="Q3876" t="s">
        <v>8097</v>
      </c>
    </row>
    <row r="3877" spans="1:17" x14ac:dyDescent="0.3">
      <c r="A3877" t="s">
        <v>4664</v>
      </c>
      <c r="B3877" t="str">
        <f>"300121"</f>
        <v>300121</v>
      </c>
      <c r="C3877" t="s">
        <v>8098</v>
      </c>
      <c r="D3877" t="s">
        <v>3101</v>
      </c>
      <c r="F3877">
        <v>246092123</v>
      </c>
      <c r="G3877">
        <v>77652494</v>
      </c>
      <c r="H3877">
        <v>137621577</v>
      </c>
      <c r="I3877">
        <v>315542281</v>
      </c>
      <c r="J3877">
        <v>127932953</v>
      </c>
      <c r="K3877">
        <v>119815450</v>
      </c>
      <c r="L3877">
        <v>31077433</v>
      </c>
      <c r="M3877">
        <v>21662414</v>
      </c>
      <c r="N3877">
        <v>13897975</v>
      </c>
      <c r="O3877">
        <v>10371708</v>
      </c>
      <c r="P3877">
        <v>353</v>
      </c>
      <c r="Q3877" t="s">
        <v>8099</v>
      </c>
    </row>
    <row r="3878" spans="1:17" x14ac:dyDescent="0.3">
      <c r="A3878" t="s">
        <v>4664</v>
      </c>
      <c r="B3878" t="str">
        <f>"300122"</f>
        <v>300122</v>
      </c>
      <c r="C3878" t="s">
        <v>8100</v>
      </c>
      <c r="D3878" t="s">
        <v>1499</v>
      </c>
      <c r="F3878">
        <v>8403607789</v>
      </c>
      <c r="G3878">
        <v>2478595732</v>
      </c>
      <c r="H3878">
        <v>1762940521</v>
      </c>
      <c r="I3878">
        <v>1086588213</v>
      </c>
      <c r="J3878">
        <v>285234793</v>
      </c>
      <c r="K3878">
        <v>6761262</v>
      </c>
      <c r="L3878">
        <v>160495020</v>
      </c>
      <c r="M3878">
        <v>136906884</v>
      </c>
      <c r="N3878">
        <v>131528376</v>
      </c>
      <c r="O3878">
        <v>143732935</v>
      </c>
      <c r="P3878">
        <v>3426</v>
      </c>
      <c r="Q3878" t="s">
        <v>8101</v>
      </c>
    </row>
    <row r="3879" spans="1:17" x14ac:dyDescent="0.3">
      <c r="A3879" t="s">
        <v>4664</v>
      </c>
      <c r="B3879" t="str">
        <f>"300123"</f>
        <v>300123</v>
      </c>
      <c r="C3879" t="s">
        <v>8102</v>
      </c>
      <c r="D3879" t="s">
        <v>1136</v>
      </c>
      <c r="F3879">
        <v>10154470</v>
      </c>
      <c r="G3879">
        <v>50718536</v>
      </c>
      <c r="H3879">
        <v>129328449</v>
      </c>
      <c r="I3879">
        <v>87803232</v>
      </c>
      <c r="J3879">
        <v>18869380</v>
      </c>
      <c r="K3879">
        <v>9645573</v>
      </c>
      <c r="L3879">
        <v>3639907</v>
      </c>
      <c r="M3879">
        <v>23103337</v>
      </c>
      <c r="N3879">
        <v>43619382</v>
      </c>
      <c r="O3879">
        <v>36273488</v>
      </c>
      <c r="P3879">
        <v>232</v>
      </c>
      <c r="Q3879" t="s">
        <v>8103</v>
      </c>
    </row>
    <row r="3880" spans="1:17" x14ac:dyDescent="0.3">
      <c r="A3880" t="s">
        <v>4664</v>
      </c>
      <c r="B3880" t="str">
        <f>"300124"</f>
        <v>300124</v>
      </c>
      <c r="C3880" t="s">
        <v>8104</v>
      </c>
      <c r="D3880" t="s">
        <v>2423</v>
      </c>
      <c r="F3880">
        <v>2491882959</v>
      </c>
      <c r="G3880">
        <v>1498299053</v>
      </c>
      <c r="H3880">
        <v>646005278</v>
      </c>
      <c r="I3880">
        <v>794088455</v>
      </c>
      <c r="J3880">
        <v>723196881</v>
      </c>
      <c r="K3880">
        <v>688585327</v>
      </c>
      <c r="L3880">
        <v>586223222</v>
      </c>
      <c r="M3880">
        <v>464694782</v>
      </c>
      <c r="N3880">
        <v>403147130</v>
      </c>
      <c r="O3880">
        <v>241937924</v>
      </c>
      <c r="P3880">
        <v>2412</v>
      </c>
      <c r="Q3880" t="s">
        <v>8105</v>
      </c>
    </row>
    <row r="3881" spans="1:17" x14ac:dyDescent="0.3">
      <c r="A3881" t="s">
        <v>4664</v>
      </c>
      <c r="B3881" t="str">
        <f>"300125"</f>
        <v>300125</v>
      </c>
      <c r="C3881" t="s">
        <v>8106</v>
      </c>
      <c r="D3881" t="s">
        <v>86</v>
      </c>
      <c r="F3881">
        <v>-38665759</v>
      </c>
      <c r="G3881">
        <v>-7433331</v>
      </c>
      <c r="H3881">
        <v>6883615</v>
      </c>
      <c r="I3881">
        <v>25718856</v>
      </c>
      <c r="J3881">
        <v>1410362</v>
      </c>
      <c r="K3881">
        <v>-28365577</v>
      </c>
      <c r="L3881">
        <v>-29328793</v>
      </c>
      <c r="M3881">
        <v>-1691214</v>
      </c>
      <c r="N3881">
        <v>3547859</v>
      </c>
      <c r="O3881">
        <v>8545892</v>
      </c>
      <c r="P3881">
        <v>59</v>
      </c>
      <c r="Q3881" t="s">
        <v>8107</v>
      </c>
    </row>
    <row r="3882" spans="1:17" x14ac:dyDescent="0.3">
      <c r="A3882" t="s">
        <v>4664</v>
      </c>
      <c r="B3882" t="str">
        <f>"300126"</f>
        <v>300126</v>
      </c>
      <c r="C3882" t="s">
        <v>8108</v>
      </c>
      <c r="D3882" t="s">
        <v>560</v>
      </c>
      <c r="F3882">
        <v>13516462</v>
      </c>
      <c r="G3882">
        <v>19279297</v>
      </c>
      <c r="H3882">
        <v>5788162</v>
      </c>
      <c r="I3882">
        <v>-22465558</v>
      </c>
      <c r="J3882">
        <v>1849908</v>
      </c>
      <c r="K3882">
        <v>11070551</v>
      </c>
      <c r="L3882">
        <v>10434278</v>
      </c>
      <c r="M3882">
        <v>48706597</v>
      </c>
      <c r="N3882">
        <v>43265088</v>
      </c>
      <c r="O3882">
        <v>42713131</v>
      </c>
      <c r="P3882">
        <v>50</v>
      </c>
      <c r="Q3882" t="s">
        <v>8109</v>
      </c>
    </row>
    <row r="3883" spans="1:17" x14ac:dyDescent="0.3">
      <c r="A3883" t="s">
        <v>4664</v>
      </c>
      <c r="B3883" t="str">
        <f>"300127"</f>
        <v>300127</v>
      </c>
      <c r="C3883" t="s">
        <v>8110</v>
      </c>
      <c r="D3883" t="s">
        <v>808</v>
      </c>
      <c r="F3883">
        <v>149681007</v>
      </c>
      <c r="G3883">
        <v>109891516</v>
      </c>
      <c r="H3883">
        <v>110503823</v>
      </c>
      <c r="I3883">
        <v>123676613</v>
      </c>
      <c r="J3883">
        <v>148224177</v>
      </c>
      <c r="K3883">
        <v>83742002</v>
      </c>
      <c r="L3883">
        <v>65060816</v>
      </c>
      <c r="M3883">
        <v>53493577</v>
      </c>
      <c r="N3883">
        <v>38239463</v>
      </c>
      <c r="O3883">
        <v>66677021</v>
      </c>
      <c r="P3883">
        <v>205</v>
      </c>
      <c r="Q3883" t="s">
        <v>8111</v>
      </c>
    </row>
    <row r="3884" spans="1:17" x14ac:dyDescent="0.3">
      <c r="A3884" t="s">
        <v>4664</v>
      </c>
      <c r="B3884" t="str">
        <f>"300128"</f>
        <v>300128</v>
      </c>
      <c r="C3884" t="s">
        <v>8112</v>
      </c>
      <c r="D3884" t="s">
        <v>1117</v>
      </c>
      <c r="F3884">
        <v>-45929327</v>
      </c>
      <c r="G3884">
        <v>-5212035</v>
      </c>
      <c r="H3884">
        <v>14073845</v>
      </c>
      <c r="I3884">
        <v>-15247433</v>
      </c>
      <c r="J3884">
        <v>33154354</v>
      </c>
      <c r="K3884">
        <v>1395868</v>
      </c>
      <c r="L3884">
        <v>5064786</v>
      </c>
      <c r="M3884">
        <v>85778818</v>
      </c>
      <c r="N3884">
        <v>56067129</v>
      </c>
      <c r="O3884">
        <v>110811690</v>
      </c>
      <c r="P3884">
        <v>145</v>
      </c>
      <c r="Q3884" t="s">
        <v>8113</v>
      </c>
    </row>
    <row r="3885" spans="1:17" x14ac:dyDescent="0.3">
      <c r="A3885" t="s">
        <v>4664</v>
      </c>
      <c r="B3885" t="str">
        <f>"300129"</f>
        <v>300129</v>
      </c>
      <c r="C3885" t="s">
        <v>8114</v>
      </c>
      <c r="D3885" t="s">
        <v>950</v>
      </c>
      <c r="F3885">
        <v>205313099</v>
      </c>
      <c r="G3885">
        <v>226146609</v>
      </c>
      <c r="H3885">
        <v>134937062</v>
      </c>
      <c r="I3885">
        <v>21464623</v>
      </c>
      <c r="J3885">
        <v>153488113</v>
      </c>
      <c r="K3885">
        <v>159018946</v>
      </c>
      <c r="L3885">
        <v>120865235</v>
      </c>
      <c r="M3885">
        <v>76134290</v>
      </c>
      <c r="N3885">
        <v>65352404</v>
      </c>
      <c r="O3885">
        <v>53149994</v>
      </c>
      <c r="P3885">
        <v>183</v>
      </c>
      <c r="Q3885" t="s">
        <v>8115</v>
      </c>
    </row>
    <row r="3886" spans="1:17" x14ac:dyDescent="0.3">
      <c r="A3886" t="s">
        <v>4664</v>
      </c>
      <c r="B3886" t="str">
        <f>"300130"</f>
        <v>300130</v>
      </c>
      <c r="C3886" t="s">
        <v>8116</v>
      </c>
      <c r="D3886" t="s">
        <v>236</v>
      </c>
      <c r="F3886">
        <v>155694369</v>
      </c>
      <c r="G3886">
        <v>167654804</v>
      </c>
      <c r="H3886">
        <v>305086919</v>
      </c>
      <c r="I3886">
        <v>120944150</v>
      </c>
      <c r="J3886">
        <v>47235831</v>
      </c>
      <c r="K3886">
        <v>78745616</v>
      </c>
      <c r="L3886">
        <v>45456357</v>
      </c>
      <c r="M3886">
        <v>43917956</v>
      </c>
      <c r="N3886">
        <v>38402035</v>
      </c>
      <c r="O3886">
        <v>49243629</v>
      </c>
      <c r="P3886">
        <v>202</v>
      </c>
      <c r="Q3886" t="s">
        <v>8117</v>
      </c>
    </row>
    <row r="3887" spans="1:17" x14ac:dyDescent="0.3">
      <c r="A3887" t="s">
        <v>4664</v>
      </c>
      <c r="B3887" t="str">
        <f>"300131"</f>
        <v>300131</v>
      </c>
      <c r="C3887" t="s">
        <v>8118</v>
      </c>
      <c r="D3887" t="s">
        <v>313</v>
      </c>
      <c r="F3887">
        <v>36763394</v>
      </c>
      <c r="G3887">
        <v>285787518</v>
      </c>
      <c r="H3887">
        <v>156880943</v>
      </c>
      <c r="I3887">
        <v>159926341</v>
      </c>
      <c r="J3887">
        <v>124341412</v>
      </c>
      <c r="K3887">
        <v>146416893</v>
      </c>
      <c r="L3887">
        <v>27445278</v>
      </c>
      <c r="M3887">
        <v>17765874</v>
      </c>
      <c r="N3887">
        <v>-34694737</v>
      </c>
      <c r="O3887">
        <v>20319716</v>
      </c>
      <c r="P3887">
        <v>207</v>
      </c>
      <c r="Q3887" t="s">
        <v>8119</v>
      </c>
    </row>
    <row r="3888" spans="1:17" x14ac:dyDescent="0.3">
      <c r="A3888" t="s">
        <v>4664</v>
      </c>
      <c r="B3888" t="str">
        <f>"300132"</f>
        <v>300132</v>
      </c>
      <c r="C3888" t="s">
        <v>8120</v>
      </c>
      <c r="D3888" t="s">
        <v>5892</v>
      </c>
      <c r="F3888">
        <v>118644075</v>
      </c>
      <c r="G3888">
        <v>357890652</v>
      </c>
      <c r="H3888">
        <v>335427828</v>
      </c>
      <c r="I3888">
        <v>267424822</v>
      </c>
      <c r="J3888">
        <v>72503918</v>
      </c>
      <c r="K3888">
        <v>22444329</v>
      </c>
      <c r="L3888">
        <v>519478</v>
      </c>
      <c r="M3888">
        <v>48530908</v>
      </c>
      <c r="N3888">
        <v>36749565</v>
      </c>
      <c r="O3888">
        <v>40392163</v>
      </c>
      <c r="P3888">
        <v>399</v>
      </c>
      <c r="Q3888" t="s">
        <v>8121</v>
      </c>
    </row>
    <row r="3889" spans="1:17" x14ac:dyDescent="0.3">
      <c r="A3889" t="s">
        <v>4664</v>
      </c>
      <c r="B3889" t="str">
        <f>"300133"</f>
        <v>300133</v>
      </c>
      <c r="C3889" t="s">
        <v>8122</v>
      </c>
      <c r="D3889" t="s">
        <v>113</v>
      </c>
      <c r="F3889">
        <v>324035832</v>
      </c>
      <c r="G3889">
        <v>202854813</v>
      </c>
      <c r="H3889">
        <v>24244091</v>
      </c>
      <c r="I3889">
        <v>355697470</v>
      </c>
      <c r="J3889">
        <v>307981307</v>
      </c>
      <c r="K3889">
        <v>280169927</v>
      </c>
      <c r="L3889">
        <v>219683426</v>
      </c>
      <c r="M3889">
        <v>292057430</v>
      </c>
      <c r="N3889">
        <v>209092633</v>
      </c>
      <c r="O3889">
        <v>160220630</v>
      </c>
      <c r="P3889">
        <v>348</v>
      </c>
      <c r="Q3889" t="s">
        <v>8123</v>
      </c>
    </row>
    <row r="3890" spans="1:17" x14ac:dyDescent="0.3">
      <c r="A3890" t="s">
        <v>4664</v>
      </c>
      <c r="B3890" t="str">
        <f>"300134"</f>
        <v>300134</v>
      </c>
      <c r="C3890" t="s">
        <v>8124</v>
      </c>
      <c r="D3890" t="s">
        <v>1019</v>
      </c>
      <c r="F3890">
        <v>-76537412</v>
      </c>
      <c r="G3890">
        <v>28098653</v>
      </c>
      <c r="H3890">
        <v>48131257</v>
      </c>
      <c r="I3890">
        <v>-69586567</v>
      </c>
      <c r="J3890">
        <v>-366455402</v>
      </c>
      <c r="K3890">
        <v>47822670</v>
      </c>
      <c r="L3890">
        <v>67993141</v>
      </c>
      <c r="M3890">
        <v>482083166</v>
      </c>
      <c r="N3890">
        <v>5506622</v>
      </c>
      <c r="O3890">
        <v>-40233161</v>
      </c>
      <c r="P3890">
        <v>342</v>
      </c>
      <c r="Q3890" t="s">
        <v>8125</v>
      </c>
    </row>
    <row r="3891" spans="1:17" x14ac:dyDescent="0.3">
      <c r="A3891" t="s">
        <v>4664</v>
      </c>
      <c r="B3891" t="str">
        <f>"300135"</f>
        <v>300135</v>
      </c>
      <c r="C3891" t="s">
        <v>8126</v>
      </c>
      <c r="D3891" t="s">
        <v>1615</v>
      </c>
      <c r="F3891">
        <v>-9420895</v>
      </c>
      <c r="G3891">
        <v>3052942</v>
      </c>
      <c r="H3891">
        <v>38750272</v>
      </c>
      <c r="I3891">
        <v>37807627</v>
      </c>
      <c r="J3891">
        <v>32562399</v>
      </c>
      <c r="K3891">
        <v>30564989</v>
      </c>
      <c r="L3891">
        <v>51513823</v>
      </c>
      <c r="M3891">
        <v>50611702</v>
      </c>
      <c r="N3891">
        <v>80057880</v>
      </c>
      <c r="O3891">
        <v>88277179</v>
      </c>
      <c r="P3891">
        <v>49</v>
      </c>
      <c r="Q3891" t="s">
        <v>8127</v>
      </c>
    </row>
    <row r="3892" spans="1:17" x14ac:dyDescent="0.3">
      <c r="A3892" t="s">
        <v>4664</v>
      </c>
      <c r="B3892" t="str">
        <f>"300136"</f>
        <v>300136</v>
      </c>
      <c r="C3892" t="s">
        <v>8128</v>
      </c>
      <c r="D3892" t="s">
        <v>313</v>
      </c>
      <c r="F3892">
        <v>477916663</v>
      </c>
      <c r="G3892">
        <v>745976841</v>
      </c>
      <c r="H3892">
        <v>828023533</v>
      </c>
      <c r="I3892">
        <v>862275140</v>
      </c>
      <c r="J3892">
        <v>714965749</v>
      </c>
      <c r="K3892">
        <v>346401191</v>
      </c>
      <c r="L3892">
        <v>140296385</v>
      </c>
      <c r="M3892">
        <v>48903734</v>
      </c>
      <c r="N3892">
        <v>-47429712</v>
      </c>
      <c r="O3892">
        <v>21562277</v>
      </c>
      <c r="P3892">
        <v>2618</v>
      </c>
      <c r="Q3892" t="s">
        <v>8129</v>
      </c>
    </row>
    <row r="3893" spans="1:17" x14ac:dyDescent="0.3">
      <c r="A3893" t="s">
        <v>4664</v>
      </c>
      <c r="B3893" t="str">
        <f>"300137"</f>
        <v>300137</v>
      </c>
      <c r="C3893" t="s">
        <v>8130</v>
      </c>
      <c r="D3893" t="s">
        <v>1070</v>
      </c>
      <c r="F3893">
        <v>69987705</v>
      </c>
      <c r="G3893">
        <v>114862881</v>
      </c>
      <c r="H3893">
        <v>176368191</v>
      </c>
      <c r="I3893">
        <v>147237121</v>
      </c>
      <c r="J3893">
        <v>94517506</v>
      </c>
      <c r="K3893">
        <v>69980013</v>
      </c>
      <c r="L3893">
        <v>59028612</v>
      </c>
      <c r="M3893">
        <v>44055757</v>
      </c>
      <c r="N3893">
        <v>36367268</v>
      </c>
      <c r="O3893">
        <v>31371254</v>
      </c>
      <c r="P3893">
        <v>253</v>
      </c>
      <c r="Q3893" t="s">
        <v>8131</v>
      </c>
    </row>
    <row r="3894" spans="1:17" x14ac:dyDescent="0.3">
      <c r="A3894" t="s">
        <v>4664</v>
      </c>
      <c r="B3894" t="str">
        <f>"300138"</f>
        <v>300138</v>
      </c>
      <c r="C3894" t="s">
        <v>8132</v>
      </c>
      <c r="D3894" t="s">
        <v>445</v>
      </c>
      <c r="F3894">
        <v>259612832</v>
      </c>
      <c r="G3894">
        <v>205644154</v>
      </c>
      <c r="H3894">
        <v>147650792</v>
      </c>
      <c r="I3894">
        <v>127947053</v>
      </c>
      <c r="J3894">
        <v>115878734</v>
      </c>
      <c r="K3894">
        <v>79443498</v>
      </c>
      <c r="L3894">
        <v>49365109</v>
      </c>
      <c r="M3894">
        <v>12803415</v>
      </c>
      <c r="N3894">
        <v>2170039</v>
      </c>
      <c r="O3894">
        <v>40011728</v>
      </c>
      <c r="P3894">
        <v>264</v>
      </c>
      <c r="Q3894" t="s">
        <v>8133</v>
      </c>
    </row>
    <row r="3895" spans="1:17" x14ac:dyDescent="0.3">
      <c r="A3895" t="s">
        <v>4664</v>
      </c>
      <c r="B3895" t="str">
        <f>"300139"</f>
        <v>300139</v>
      </c>
      <c r="C3895" t="s">
        <v>8134</v>
      </c>
      <c r="D3895" t="s">
        <v>86</v>
      </c>
      <c r="F3895">
        <v>86277502</v>
      </c>
      <c r="G3895">
        <v>4308691</v>
      </c>
      <c r="H3895">
        <v>-41739425</v>
      </c>
      <c r="I3895">
        <v>21852142</v>
      </c>
      <c r="J3895">
        <v>-25165986</v>
      </c>
      <c r="K3895">
        <v>14646563</v>
      </c>
      <c r="L3895">
        <v>32820119</v>
      </c>
      <c r="M3895">
        <v>43281037</v>
      </c>
      <c r="N3895">
        <v>68397195</v>
      </c>
      <c r="O3895">
        <v>73616251</v>
      </c>
      <c r="P3895">
        <v>147</v>
      </c>
      <c r="Q3895" t="s">
        <v>8135</v>
      </c>
    </row>
    <row r="3896" spans="1:17" x14ac:dyDescent="0.3">
      <c r="A3896" t="s">
        <v>4664</v>
      </c>
      <c r="B3896" t="str">
        <f>"300140"</f>
        <v>300140</v>
      </c>
      <c r="C3896" t="s">
        <v>8136</v>
      </c>
      <c r="D3896" t="s">
        <v>1070</v>
      </c>
      <c r="F3896">
        <v>-63577505</v>
      </c>
      <c r="G3896">
        <v>-225498198</v>
      </c>
      <c r="H3896">
        <v>76878376</v>
      </c>
      <c r="I3896">
        <v>-26153092</v>
      </c>
      <c r="J3896">
        <v>27770762</v>
      </c>
      <c r="K3896">
        <v>-4060967</v>
      </c>
      <c r="L3896">
        <v>-2385710</v>
      </c>
      <c r="M3896">
        <v>4397042</v>
      </c>
      <c r="N3896">
        <v>8718199</v>
      </c>
      <c r="O3896">
        <v>6251962</v>
      </c>
      <c r="P3896">
        <v>103</v>
      </c>
      <c r="Q3896" t="s">
        <v>8137</v>
      </c>
    </row>
    <row r="3897" spans="1:17" x14ac:dyDescent="0.3">
      <c r="A3897" t="s">
        <v>4664</v>
      </c>
      <c r="B3897" t="str">
        <f>"300141"</f>
        <v>300141</v>
      </c>
      <c r="C3897" t="s">
        <v>8138</v>
      </c>
      <c r="D3897" t="s">
        <v>657</v>
      </c>
      <c r="F3897">
        <v>989821</v>
      </c>
      <c r="G3897">
        <v>-12466331</v>
      </c>
      <c r="H3897">
        <v>2354759</v>
      </c>
      <c r="I3897">
        <v>320245</v>
      </c>
      <c r="J3897">
        <v>13437984</v>
      </c>
      <c r="K3897">
        <v>15208000</v>
      </c>
      <c r="L3897">
        <v>14739369</v>
      </c>
      <c r="M3897">
        <v>37182730</v>
      </c>
      <c r="N3897">
        <v>39003334</v>
      </c>
      <c r="O3897">
        <v>31899756</v>
      </c>
      <c r="P3897">
        <v>91</v>
      </c>
      <c r="Q3897" t="s">
        <v>8139</v>
      </c>
    </row>
    <row r="3898" spans="1:17" x14ac:dyDescent="0.3">
      <c r="A3898" t="s">
        <v>4664</v>
      </c>
      <c r="B3898" t="str">
        <f>"300142"</f>
        <v>300142</v>
      </c>
      <c r="C3898" t="s">
        <v>8140</v>
      </c>
      <c r="D3898" t="s">
        <v>1499</v>
      </c>
      <c r="F3898">
        <v>364371092</v>
      </c>
      <c r="G3898">
        <v>435474938</v>
      </c>
      <c r="H3898">
        <v>120368432</v>
      </c>
      <c r="I3898">
        <v>91120594</v>
      </c>
      <c r="J3898">
        <v>-39314312</v>
      </c>
      <c r="K3898">
        <v>-233610584</v>
      </c>
      <c r="L3898">
        <v>-111674542</v>
      </c>
      <c r="M3898">
        <v>-149946003</v>
      </c>
      <c r="N3898">
        <v>36707386</v>
      </c>
      <c r="O3898">
        <v>155379639</v>
      </c>
      <c r="P3898">
        <v>1230</v>
      </c>
      <c r="Q3898" t="s">
        <v>8141</v>
      </c>
    </row>
    <row r="3899" spans="1:17" x14ac:dyDescent="0.3">
      <c r="A3899" t="s">
        <v>4664</v>
      </c>
      <c r="B3899" t="str">
        <f>"300143"</f>
        <v>300143</v>
      </c>
      <c r="C3899" t="s">
        <v>8142</v>
      </c>
      <c r="D3899" t="s">
        <v>1147</v>
      </c>
      <c r="F3899">
        <v>100342919</v>
      </c>
      <c r="G3899">
        <v>42528501</v>
      </c>
      <c r="H3899">
        <v>39037741</v>
      </c>
      <c r="I3899">
        <v>67722397</v>
      </c>
      <c r="J3899">
        <v>125911277</v>
      </c>
      <c r="K3899">
        <v>30928371</v>
      </c>
      <c r="L3899">
        <v>9709715</v>
      </c>
      <c r="M3899">
        <v>-30809067</v>
      </c>
      <c r="N3899">
        <v>-58956738</v>
      </c>
      <c r="O3899">
        <v>-5970436</v>
      </c>
      <c r="P3899">
        <v>150</v>
      </c>
      <c r="Q3899" t="s">
        <v>8143</v>
      </c>
    </row>
    <row r="3900" spans="1:17" x14ac:dyDescent="0.3">
      <c r="A3900" t="s">
        <v>4664</v>
      </c>
      <c r="B3900" t="str">
        <f>"300144"</f>
        <v>300144</v>
      </c>
      <c r="C3900" t="s">
        <v>8144</v>
      </c>
      <c r="D3900" t="s">
        <v>333</v>
      </c>
      <c r="F3900">
        <v>432525864</v>
      </c>
      <c r="G3900">
        <v>133751796</v>
      </c>
      <c r="H3900">
        <v>1270077683</v>
      </c>
      <c r="I3900">
        <v>1147451071</v>
      </c>
      <c r="J3900">
        <v>917908484</v>
      </c>
      <c r="K3900">
        <v>763792670</v>
      </c>
      <c r="L3900">
        <v>539179282</v>
      </c>
      <c r="M3900">
        <v>316338453</v>
      </c>
      <c r="N3900">
        <v>248094646</v>
      </c>
      <c r="O3900">
        <v>217590442</v>
      </c>
      <c r="P3900">
        <v>3022</v>
      </c>
      <c r="Q3900" t="s">
        <v>8145</v>
      </c>
    </row>
    <row r="3901" spans="1:17" x14ac:dyDescent="0.3">
      <c r="A3901" t="s">
        <v>4664</v>
      </c>
      <c r="B3901" t="str">
        <f>"300145"</f>
        <v>300145</v>
      </c>
      <c r="C3901" t="s">
        <v>8146</v>
      </c>
      <c r="D3901" t="s">
        <v>560</v>
      </c>
      <c r="F3901">
        <v>157940608</v>
      </c>
      <c r="G3901">
        <v>127674181</v>
      </c>
      <c r="H3901">
        <v>333980450</v>
      </c>
      <c r="I3901">
        <v>502787363</v>
      </c>
      <c r="J3901">
        <v>444407607</v>
      </c>
      <c r="K3901">
        <v>294510937</v>
      </c>
      <c r="L3901">
        <v>141626919</v>
      </c>
      <c r="M3901">
        <v>136374221</v>
      </c>
      <c r="N3901">
        <v>108607948</v>
      </c>
      <c r="O3901">
        <v>83223911</v>
      </c>
      <c r="P3901">
        <v>281</v>
      </c>
      <c r="Q3901" t="s">
        <v>8147</v>
      </c>
    </row>
    <row r="3902" spans="1:17" x14ac:dyDescent="0.3">
      <c r="A3902" t="s">
        <v>4664</v>
      </c>
      <c r="B3902" t="str">
        <f>"300146"</f>
        <v>300146</v>
      </c>
      <c r="C3902" t="s">
        <v>8148</v>
      </c>
      <c r="D3902" t="s">
        <v>838</v>
      </c>
      <c r="F3902">
        <v>1662868783</v>
      </c>
      <c r="G3902">
        <v>1466818851</v>
      </c>
      <c r="H3902">
        <v>1190940007</v>
      </c>
      <c r="I3902">
        <v>1058044668</v>
      </c>
      <c r="J3902">
        <v>803232333</v>
      </c>
      <c r="K3902">
        <v>567746461</v>
      </c>
      <c r="L3902">
        <v>584731399</v>
      </c>
      <c r="M3902">
        <v>478671498</v>
      </c>
      <c r="N3902">
        <v>353594846</v>
      </c>
      <c r="O3902">
        <v>241981276</v>
      </c>
      <c r="P3902">
        <v>2832</v>
      </c>
      <c r="Q3902" t="s">
        <v>8149</v>
      </c>
    </row>
    <row r="3903" spans="1:17" x14ac:dyDescent="0.3">
      <c r="A3903" t="s">
        <v>4664</v>
      </c>
      <c r="B3903" t="str">
        <f>"300147"</f>
        <v>300147</v>
      </c>
      <c r="C3903" t="s">
        <v>8150</v>
      </c>
      <c r="D3903" t="s">
        <v>188</v>
      </c>
      <c r="F3903">
        <v>16894395</v>
      </c>
      <c r="G3903">
        <v>147886620</v>
      </c>
      <c r="H3903">
        <v>92191832</v>
      </c>
      <c r="I3903">
        <v>91888154</v>
      </c>
      <c r="J3903">
        <v>70387757</v>
      </c>
      <c r="K3903">
        <v>76783238</v>
      </c>
      <c r="L3903">
        <v>145089178</v>
      </c>
      <c r="M3903">
        <v>151759479</v>
      </c>
      <c r="N3903">
        <v>107325297</v>
      </c>
      <c r="O3903">
        <v>80017759</v>
      </c>
      <c r="P3903">
        <v>166</v>
      </c>
      <c r="Q3903" t="s">
        <v>8151</v>
      </c>
    </row>
    <row r="3904" spans="1:17" x14ac:dyDescent="0.3">
      <c r="A3904" t="s">
        <v>4664</v>
      </c>
      <c r="B3904" t="str">
        <f>"300148"</f>
        <v>300148</v>
      </c>
      <c r="C3904" t="s">
        <v>8152</v>
      </c>
      <c r="D3904" t="s">
        <v>517</v>
      </c>
      <c r="F3904">
        <v>38711226</v>
      </c>
      <c r="G3904">
        <v>27585690</v>
      </c>
      <c r="H3904">
        <v>114377231</v>
      </c>
      <c r="I3904">
        <v>182222870</v>
      </c>
      <c r="J3904">
        <v>139241111</v>
      </c>
      <c r="K3904">
        <v>114851583</v>
      </c>
      <c r="L3904">
        <v>116385711</v>
      </c>
      <c r="M3904">
        <v>61462782</v>
      </c>
      <c r="N3904">
        <v>7998467</v>
      </c>
      <c r="O3904">
        <v>17620255</v>
      </c>
      <c r="P3904">
        <v>99</v>
      </c>
      <c r="Q3904" t="s">
        <v>8153</v>
      </c>
    </row>
    <row r="3905" spans="1:17" x14ac:dyDescent="0.3">
      <c r="A3905" t="s">
        <v>4664</v>
      </c>
      <c r="B3905" t="str">
        <f>"300149"</f>
        <v>300149</v>
      </c>
      <c r="C3905" t="s">
        <v>8154</v>
      </c>
      <c r="D3905" t="s">
        <v>1461</v>
      </c>
      <c r="F3905">
        <v>14833163</v>
      </c>
      <c r="G3905">
        <v>83306517</v>
      </c>
      <c r="H3905">
        <v>81171456</v>
      </c>
      <c r="I3905">
        <v>112369127</v>
      </c>
      <c r="J3905">
        <v>49723347</v>
      </c>
      <c r="K3905">
        <v>53924515</v>
      </c>
      <c r="L3905">
        <v>55094805</v>
      </c>
      <c r="M3905">
        <v>33468100</v>
      </c>
      <c r="N3905">
        <v>31077441</v>
      </c>
      <c r="O3905">
        <v>28868007</v>
      </c>
      <c r="P3905">
        <v>193</v>
      </c>
      <c r="Q3905" t="s">
        <v>8155</v>
      </c>
    </row>
    <row r="3906" spans="1:17" x14ac:dyDescent="0.3">
      <c r="A3906" t="s">
        <v>4664</v>
      </c>
      <c r="B3906" t="str">
        <f>"300150"</f>
        <v>300150</v>
      </c>
      <c r="C3906" t="s">
        <v>8156</v>
      </c>
      <c r="D3906" t="s">
        <v>316</v>
      </c>
      <c r="F3906">
        <v>-6323141</v>
      </c>
      <c r="G3906">
        <v>7564206</v>
      </c>
      <c r="H3906">
        <v>-908707</v>
      </c>
      <c r="I3906">
        <v>93782559</v>
      </c>
      <c r="J3906">
        <v>-21592330</v>
      </c>
      <c r="K3906">
        <v>-17937648</v>
      </c>
      <c r="L3906">
        <v>41545765</v>
      </c>
      <c r="M3906">
        <v>13558656</v>
      </c>
      <c r="N3906">
        <v>19322675</v>
      </c>
      <c r="O3906">
        <v>43302099</v>
      </c>
      <c r="P3906">
        <v>121</v>
      </c>
      <c r="Q3906" t="s">
        <v>8157</v>
      </c>
    </row>
    <row r="3907" spans="1:17" x14ac:dyDescent="0.3">
      <c r="A3907" t="s">
        <v>4664</v>
      </c>
      <c r="B3907" t="str">
        <f>"300151"</f>
        <v>300151</v>
      </c>
      <c r="C3907" t="s">
        <v>8158</v>
      </c>
      <c r="D3907" t="s">
        <v>741</v>
      </c>
      <c r="F3907">
        <v>91394383</v>
      </c>
      <c r="G3907">
        <v>146088654</v>
      </c>
      <c r="H3907">
        <v>51524353</v>
      </c>
      <c r="I3907">
        <v>43921418</v>
      </c>
      <c r="J3907">
        <v>24602745</v>
      </c>
      <c r="K3907">
        <v>29090870</v>
      </c>
      <c r="L3907">
        <v>27274565</v>
      </c>
      <c r="M3907">
        <v>42535984</v>
      </c>
      <c r="N3907">
        <v>27814576</v>
      </c>
      <c r="O3907">
        <v>28072530</v>
      </c>
      <c r="P3907">
        <v>155</v>
      </c>
      <c r="Q3907" t="s">
        <v>8159</v>
      </c>
    </row>
    <row r="3908" spans="1:17" x14ac:dyDescent="0.3">
      <c r="A3908" t="s">
        <v>4664</v>
      </c>
      <c r="B3908" t="str">
        <f>"300152"</f>
        <v>300152</v>
      </c>
      <c r="C3908" t="s">
        <v>8160</v>
      </c>
      <c r="D3908" t="s">
        <v>3548</v>
      </c>
      <c r="F3908">
        <v>-45941580</v>
      </c>
      <c r="G3908">
        <v>-34230267</v>
      </c>
      <c r="H3908">
        <v>92194030</v>
      </c>
      <c r="I3908">
        <v>-261434064</v>
      </c>
      <c r="J3908">
        <v>9372093</v>
      </c>
      <c r="K3908">
        <v>-30014398</v>
      </c>
      <c r="L3908">
        <v>22201739</v>
      </c>
      <c r="M3908">
        <v>36216929</v>
      </c>
      <c r="N3908">
        <v>40259157</v>
      </c>
      <c r="O3908">
        <v>67513540</v>
      </c>
      <c r="P3908">
        <v>92</v>
      </c>
      <c r="Q3908" t="s">
        <v>8161</v>
      </c>
    </row>
    <row r="3909" spans="1:17" x14ac:dyDescent="0.3">
      <c r="A3909" t="s">
        <v>4664</v>
      </c>
      <c r="B3909" t="str">
        <f>"300153"</f>
        <v>300153</v>
      </c>
      <c r="C3909" t="s">
        <v>8162</v>
      </c>
      <c r="D3909" t="s">
        <v>880</v>
      </c>
      <c r="F3909">
        <v>12457356</v>
      </c>
      <c r="G3909">
        <v>-37604693</v>
      </c>
      <c r="H3909">
        <v>-2284704</v>
      </c>
      <c r="I3909">
        <v>17602055</v>
      </c>
      <c r="J3909">
        <v>20517825</v>
      </c>
      <c r="K3909">
        <v>14506182</v>
      </c>
      <c r="L3909">
        <v>18490444</v>
      </c>
      <c r="M3909">
        <v>21376412</v>
      </c>
      <c r="N3909">
        <v>15354948</v>
      </c>
      <c r="O3909">
        <v>11231405</v>
      </c>
      <c r="P3909">
        <v>108</v>
      </c>
      <c r="Q3909" t="s">
        <v>8163</v>
      </c>
    </row>
    <row r="3910" spans="1:17" x14ac:dyDescent="0.3">
      <c r="A3910" t="s">
        <v>4664</v>
      </c>
      <c r="B3910" t="str">
        <f>"300154"</f>
        <v>300154</v>
      </c>
      <c r="C3910" t="s">
        <v>8164</v>
      </c>
      <c r="D3910" t="s">
        <v>560</v>
      </c>
      <c r="F3910">
        <v>79414519</v>
      </c>
      <c r="G3910">
        <v>60812586</v>
      </c>
      <c r="H3910">
        <v>91309502</v>
      </c>
      <c r="I3910">
        <v>84079529</v>
      </c>
      <c r="J3910">
        <v>67367224</v>
      </c>
      <c r="K3910">
        <v>73498781</v>
      </c>
      <c r="L3910">
        <v>79024707</v>
      </c>
      <c r="M3910">
        <v>92174683</v>
      </c>
      <c r="N3910">
        <v>74690832</v>
      </c>
      <c r="O3910">
        <v>65506654</v>
      </c>
      <c r="P3910">
        <v>82</v>
      </c>
      <c r="Q3910" t="s">
        <v>8165</v>
      </c>
    </row>
    <row r="3911" spans="1:17" x14ac:dyDescent="0.3">
      <c r="A3911" t="s">
        <v>4664</v>
      </c>
      <c r="B3911" t="str">
        <f>"300155"</f>
        <v>300155</v>
      </c>
      <c r="C3911" t="s">
        <v>8166</v>
      </c>
      <c r="D3911" t="s">
        <v>2953</v>
      </c>
      <c r="F3911">
        <v>46727601</v>
      </c>
      <c r="G3911">
        <v>65764704</v>
      </c>
      <c r="H3911">
        <v>52215441</v>
      </c>
      <c r="I3911">
        <v>29426153</v>
      </c>
      <c r="J3911">
        <v>5978901</v>
      </c>
      <c r="K3911">
        <v>13377995</v>
      </c>
      <c r="L3911">
        <v>29833316</v>
      </c>
      <c r="M3911">
        <v>70349654</v>
      </c>
      <c r="N3911">
        <v>64864386</v>
      </c>
      <c r="O3911">
        <v>43434973</v>
      </c>
      <c r="P3911">
        <v>68</v>
      </c>
      <c r="Q3911" t="s">
        <v>8167</v>
      </c>
    </row>
    <row r="3912" spans="1:17" x14ac:dyDescent="0.3">
      <c r="A3912" t="s">
        <v>4664</v>
      </c>
      <c r="B3912" t="str">
        <f>"300156"</f>
        <v>300156</v>
      </c>
      <c r="C3912" t="s">
        <v>8168</v>
      </c>
      <c r="H3912">
        <v>-979702802</v>
      </c>
      <c r="I3912">
        <v>-247181539</v>
      </c>
      <c r="J3912">
        <v>464473382</v>
      </c>
      <c r="K3912">
        <v>450689390</v>
      </c>
      <c r="L3912">
        <v>123878803</v>
      </c>
      <c r="M3912">
        <v>12661385</v>
      </c>
      <c r="N3912">
        <v>11578446</v>
      </c>
      <c r="O3912">
        <v>93190824</v>
      </c>
      <c r="P3912">
        <v>300</v>
      </c>
      <c r="Q3912" t="s">
        <v>8169</v>
      </c>
    </row>
    <row r="3913" spans="1:17" x14ac:dyDescent="0.3">
      <c r="A3913" t="s">
        <v>4664</v>
      </c>
      <c r="B3913" t="str">
        <f>"300157"</f>
        <v>300157</v>
      </c>
      <c r="C3913" t="s">
        <v>8170</v>
      </c>
      <c r="D3913" t="s">
        <v>762</v>
      </c>
      <c r="F3913">
        <v>-126667426</v>
      </c>
      <c r="G3913">
        <v>-116567097</v>
      </c>
      <c r="H3913">
        <v>-54270714</v>
      </c>
      <c r="I3913">
        <v>32038895</v>
      </c>
      <c r="J3913">
        <v>78515699</v>
      </c>
      <c r="K3913">
        <v>3712969</v>
      </c>
      <c r="L3913">
        <v>64496640</v>
      </c>
      <c r="M3913">
        <v>93529615</v>
      </c>
      <c r="N3913">
        <v>80514899</v>
      </c>
      <c r="O3913">
        <v>54144548</v>
      </c>
      <c r="P3913">
        <v>76</v>
      </c>
      <c r="Q3913" t="s">
        <v>8171</v>
      </c>
    </row>
    <row r="3914" spans="1:17" x14ac:dyDescent="0.3">
      <c r="A3914" t="s">
        <v>4664</v>
      </c>
      <c r="B3914" t="str">
        <f>"300158"</f>
        <v>300158</v>
      </c>
      <c r="C3914" t="s">
        <v>8172</v>
      </c>
      <c r="D3914" t="s">
        <v>143</v>
      </c>
      <c r="F3914">
        <v>323014194</v>
      </c>
      <c r="G3914">
        <v>207002431</v>
      </c>
      <c r="H3914">
        <v>142088723</v>
      </c>
      <c r="I3914">
        <v>61558267</v>
      </c>
      <c r="J3914">
        <v>242893580</v>
      </c>
      <c r="K3914">
        <v>102536226</v>
      </c>
      <c r="L3914">
        <v>50013803</v>
      </c>
      <c r="M3914">
        <v>40621981</v>
      </c>
      <c r="N3914">
        <v>58260283</v>
      </c>
      <c r="O3914">
        <v>64399367</v>
      </c>
      <c r="P3914">
        <v>176</v>
      </c>
      <c r="Q3914" t="s">
        <v>8173</v>
      </c>
    </row>
    <row r="3915" spans="1:17" x14ac:dyDescent="0.3">
      <c r="A3915" t="s">
        <v>4664</v>
      </c>
      <c r="B3915" t="str">
        <f>"300159"</f>
        <v>300159</v>
      </c>
      <c r="C3915" t="s">
        <v>8174</v>
      </c>
      <c r="D3915" t="s">
        <v>98</v>
      </c>
      <c r="F3915">
        <v>-512566010</v>
      </c>
      <c r="G3915">
        <v>-308943386</v>
      </c>
      <c r="H3915">
        <v>111684945</v>
      </c>
      <c r="I3915">
        <v>324911271</v>
      </c>
      <c r="J3915">
        <v>256680344</v>
      </c>
      <c r="K3915">
        <v>107217378</v>
      </c>
      <c r="L3915">
        <v>85517551</v>
      </c>
      <c r="M3915">
        <v>80981117</v>
      </c>
      <c r="N3915">
        <v>76928226</v>
      </c>
      <c r="O3915">
        <v>64816592</v>
      </c>
      <c r="P3915">
        <v>126</v>
      </c>
      <c r="Q3915" t="s">
        <v>8175</v>
      </c>
    </row>
    <row r="3916" spans="1:17" x14ac:dyDescent="0.3">
      <c r="A3916" t="s">
        <v>4664</v>
      </c>
      <c r="B3916" t="str">
        <f>"300160"</f>
        <v>300160</v>
      </c>
      <c r="C3916" t="s">
        <v>8176</v>
      </c>
      <c r="D3916" t="s">
        <v>1253</v>
      </c>
      <c r="F3916">
        <v>98816511</v>
      </c>
      <c r="G3916">
        <v>91866668</v>
      </c>
      <c r="H3916">
        <v>108759630</v>
      </c>
      <c r="I3916">
        <v>85000519</v>
      </c>
      <c r="J3916">
        <v>134918167</v>
      </c>
      <c r="K3916">
        <v>86590288</v>
      </c>
      <c r="L3916">
        <v>49411130</v>
      </c>
      <c r="M3916">
        <v>27918471</v>
      </c>
      <c r="N3916">
        <v>30485414</v>
      </c>
      <c r="O3916">
        <v>50225198</v>
      </c>
      <c r="P3916">
        <v>150</v>
      </c>
      <c r="Q3916" t="s">
        <v>8177</v>
      </c>
    </row>
    <row r="3917" spans="1:17" x14ac:dyDescent="0.3">
      <c r="A3917" t="s">
        <v>4664</v>
      </c>
      <c r="B3917" t="str">
        <f>"300161"</f>
        <v>300161</v>
      </c>
      <c r="C3917" t="s">
        <v>8178</v>
      </c>
      <c r="D3917" t="s">
        <v>2312</v>
      </c>
      <c r="F3917">
        <v>-29401269</v>
      </c>
      <c r="G3917">
        <v>36114643</v>
      </c>
      <c r="H3917">
        <v>-42255845</v>
      </c>
      <c r="I3917">
        <v>-59138483</v>
      </c>
      <c r="J3917">
        <v>6013307</v>
      </c>
      <c r="K3917">
        <v>-35235019</v>
      </c>
      <c r="L3917">
        <v>-52234363</v>
      </c>
      <c r="M3917">
        <v>1286212</v>
      </c>
      <c r="N3917">
        <v>1666289</v>
      </c>
      <c r="O3917">
        <v>12690226</v>
      </c>
      <c r="P3917">
        <v>159</v>
      </c>
      <c r="Q3917" t="s">
        <v>8179</v>
      </c>
    </row>
    <row r="3918" spans="1:17" x14ac:dyDescent="0.3">
      <c r="A3918" t="s">
        <v>4664</v>
      </c>
      <c r="B3918" t="str">
        <f>"300162"</f>
        <v>300162</v>
      </c>
      <c r="C3918" t="s">
        <v>8180</v>
      </c>
      <c r="D3918" t="s">
        <v>803</v>
      </c>
      <c r="F3918">
        <v>45103497</v>
      </c>
      <c r="G3918">
        <v>623219</v>
      </c>
      <c r="H3918">
        <v>41034377</v>
      </c>
      <c r="I3918">
        <v>14601856</v>
      </c>
      <c r="J3918">
        <v>23908121</v>
      </c>
      <c r="K3918">
        <v>41076131</v>
      </c>
      <c r="L3918">
        <v>28948499</v>
      </c>
      <c r="M3918">
        <v>25130570</v>
      </c>
      <c r="N3918">
        <v>16368762</v>
      </c>
      <c r="O3918">
        <v>26885774</v>
      </c>
      <c r="P3918">
        <v>76</v>
      </c>
      <c r="Q3918" t="s">
        <v>8181</v>
      </c>
    </row>
    <row r="3919" spans="1:17" x14ac:dyDescent="0.3">
      <c r="A3919" t="s">
        <v>4664</v>
      </c>
      <c r="B3919" t="str">
        <f>"300163"</f>
        <v>300163</v>
      </c>
      <c r="C3919" t="s">
        <v>8182</v>
      </c>
      <c r="D3919" t="s">
        <v>386</v>
      </c>
      <c r="F3919">
        <v>5806947</v>
      </c>
      <c r="G3919">
        <v>6832364</v>
      </c>
      <c r="H3919">
        <v>33063552</v>
      </c>
      <c r="I3919">
        <v>-149453374</v>
      </c>
      <c r="J3919">
        <v>2345127</v>
      </c>
      <c r="K3919">
        <v>45978893</v>
      </c>
      <c r="L3919">
        <v>14849700</v>
      </c>
      <c r="M3919">
        <v>20592121</v>
      </c>
      <c r="N3919">
        <v>17400168</v>
      </c>
      <c r="O3919">
        <v>21502992</v>
      </c>
      <c r="P3919">
        <v>75</v>
      </c>
      <c r="Q3919" t="s">
        <v>8183</v>
      </c>
    </row>
    <row r="3920" spans="1:17" x14ac:dyDescent="0.3">
      <c r="A3920" t="s">
        <v>4664</v>
      </c>
      <c r="B3920" t="str">
        <f>"300164"</f>
        <v>300164</v>
      </c>
      <c r="C3920" t="s">
        <v>8184</v>
      </c>
      <c r="D3920" t="s">
        <v>762</v>
      </c>
      <c r="F3920">
        <v>15388349</v>
      </c>
      <c r="G3920">
        <v>-128202800</v>
      </c>
      <c r="H3920">
        <v>81935922</v>
      </c>
      <c r="I3920">
        <v>103192540</v>
      </c>
      <c r="J3920">
        <v>10907460</v>
      </c>
      <c r="K3920">
        <v>8740923</v>
      </c>
      <c r="L3920">
        <v>-18602798</v>
      </c>
      <c r="M3920">
        <v>4258086</v>
      </c>
      <c r="N3920">
        <v>35687291</v>
      </c>
      <c r="O3920">
        <v>53018845</v>
      </c>
      <c r="P3920">
        <v>82</v>
      </c>
      <c r="Q3920" t="s">
        <v>8185</v>
      </c>
    </row>
    <row r="3921" spans="1:17" x14ac:dyDescent="0.3">
      <c r="A3921" t="s">
        <v>4664</v>
      </c>
      <c r="B3921" t="str">
        <f>"300165"</f>
        <v>300165</v>
      </c>
      <c r="C3921" t="s">
        <v>8186</v>
      </c>
      <c r="D3921" t="s">
        <v>2551</v>
      </c>
      <c r="F3921">
        <v>4132159</v>
      </c>
      <c r="G3921">
        <v>22751989</v>
      </c>
      <c r="H3921">
        <v>20119953</v>
      </c>
      <c r="I3921">
        <v>47884988</v>
      </c>
      <c r="J3921">
        <v>67200420</v>
      </c>
      <c r="K3921">
        <v>52678914</v>
      </c>
      <c r="L3921">
        <v>40526518</v>
      </c>
      <c r="M3921">
        <v>43065258</v>
      </c>
      <c r="N3921">
        <v>43310884</v>
      </c>
      <c r="O3921">
        <v>33519277</v>
      </c>
      <c r="P3921">
        <v>103</v>
      </c>
      <c r="Q3921" t="s">
        <v>8187</v>
      </c>
    </row>
    <row r="3922" spans="1:17" x14ac:dyDescent="0.3">
      <c r="A3922" t="s">
        <v>4664</v>
      </c>
      <c r="B3922" t="str">
        <f>"300166"</f>
        <v>300166</v>
      </c>
      <c r="C3922" t="s">
        <v>8188</v>
      </c>
      <c r="D3922" t="s">
        <v>316</v>
      </c>
      <c r="F3922">
        <v>211115568</v>
      </c>
      <c r="G3922">
        <v>184674307</v>
      </c>
      <c r="H3922">
        <v>184054324</v>
      </c>
      <c r="I3922">
        <v>182433758</v>
      </c>
      <c r="J3922">
        <v>157278947</v>
      </c>
      <c r="K3922">
        <v>120157521</v>
      </c>
      <c r="L3922">
        <v>84459332</v>
      </c>
      <c r="M3922">
        <v>50847504</v>
      </c>
      <c r="N3922">
        <v>42048154</v>
      </c>
      <c r="O3922">
        <v>37520745</v>
      </c>
      <c r="P3922">
        <v>461</v>
      </c>
      <c r="Q3922" t="s">
        <v>8189</v>
      </c>
    </row>
    <row r="3923" spans="1:17" x14ac:dyDescent="0.3">
      <c r="A3923" t="s">
        <v>4664</v>
      </c>
      <c r="B3923" t="str">
        <f>"300167"</f>
        <v>300167</v>
      </c>
      <c r="C3923" t="s">
        <v>8190</v>
      </c>
      <c r="D3923" t="s">
        <v>316</v>
      </c>
      <c r="F3923">
        <v>-73482906</v>
      </c>
      <c r="G3923">
        <v>-40139341</v>
      </c>
      <c r="H3923">
        <v>2246398</v>
      </c>
      <c r="I3923">
        <v>-30417758</v>
      </c>
      <c r="J3923">
        <v>-775605</v>
      </c>
      <c r="K3923">
        <v>-28909682</v>
      </c>
      <c r="L3923">
        <v>-16350317</v>
      </c>
      <c r="M3923">
        <v>1929076</v>
      </c>
      <c r="N3923">
        <v>1420386</v>
      </c>
      <c r="O3923">
        <v>8671491</v>
      </c>
      <c r="P3923">
        <v>131</v>
      </c>
      <c r="Q3923" t="s">
        <v>8191</v>
      </c>
    </row>
    <row r="3924" spans="1:17" x14ac:dyDescent="0.3">
      <c r="A3924" t="s">
        <v>4664</v>
      </c>
      <c r="B3924" t="str">
        <f>"300168"</f>
        <v>300168</v>
      </c>
      <c r="C3924" t="s">
        <v>8192</v>
      </c>
      <c r="D3924" t="s">
        <v>316</v>
      </c>
      <c r="F3924">
        <v>36785852</v>
      </c>
      <c r="G3924">
        <v>-244912733</v>
      </c>
      <c r="H3924">
        <v>42978552</v>
      </c>
      <c r="I3924">
        <v>151996688</v>
      </c>
      <c r="J3924">
        <v>111245551</v>
      </c>
      <c r="K3924">
        <v>87528307</v>
      </c>
      <c r="L3924">
        <v>75509808</v>
      </c>
      <c r="M3924">
        <v>64626444</v>
      </c>
      <c r="N3924">
        <v>49235665</v>
      </c>
      <c r="O3924">
        <v>37611369</v>
      </c>
      <c r="P3924">
        <v>368</v>
      </c>
      <c r="Q3924" t="s">
        <v>8193</v>
      </c>
    </row>
    <row r="3925" spans="1:17" x14ac:dyDescent="0.3">
      <c r="A3925" t="s">
        <v>4664</v>
      </c>
      <c r="B3925" t="str">
        <f>"300169"</f>
        <v>300169</v>
      </c>
      <c r="C3925" t="s">
        <v>8194</v>
      </c>
      <c r="D3925" t="s">
        <v>386</v>
      </c>
      <c r="F3925">
        <v>3384763</v>
      </c>
      <c r="G3925">
        <v>5028502</v>
      </c>
      <c r="H3925">
        <v>7596462</v>
      </c>
      <c r="I3925">
        <v>3782960</v>
      </c>
      <c r="J3925">
        <v>3375718</v>
      </c>
      <c r="K3925">
        <v>12434851</v>
      </c>
      <c r="L3925">
        <v>13267093</v>
      </c>
      <c r="M3925">
        <v>17167123</v>
      </c>
      <c r="N3925">
        <v>-9420214</v>
      </c>
      <c r="O3925">
        <v>46033013</v>
      </c>
      <c r="P3925">
        <v>68</v>
      </c>
      <c r="Q3925" t="s">
        <v>8195</v>
      </c>
    </row>
    <row r="3926" spans="1:17" x14ac:dyDescent="0.3">
      <c r="A3926" t="s">
        <v>4664</v>
      </c>
      <c r="B3926" t="str">
        <f>"300170"</f>
        <v>300170</v>
      </c>
      <c r="C3926" t="s">
        <v>8196</v>
      </c>
      <c r="D3926" t="s">
        <v>316</v>
      </c>
      <c r="F3926">
        <v>2020463</v>
      </c>
      <c r="G3926">
        <v>40912938</v>
      </c>
      <c r="H3926">
        <v>83836742</v>
      </c>
      <c r="I3926">
        <v>247285230</v>
      </c>
      <c r="J3926">
        <v>197553999</v>
      </c>
      <c r="K3926">
        <v>165779836</v>
      </c>
      <c r="L3926">
        <v>147176351</v>
      </c>
      <c r="M3926">
        <v>129385818</v>
      </c>
      <c r="N3926">
        <v>104455791</v>
      </c>
      <c r="O3926">
        <v>82551759</v>
      </c>
      <c r="P3926">
        <v>3197</v>
      </c>
      <c r="Q3926" t="s">
        <v>8197</v>
      </c>
    </row>
    <row r="3927" spans="1:17" x14ac:dyDescent="0.3">
      <c r="A3927" t="s">
        <v>4664</v>
      </c>
      <c r="B3927" t="str">
        <f>"300171"</f>
        <v>300171</v>
      </c>
      <c r="C3927" t="s">
        <v>8198</v>
      </c>
      <c r="D3927" t="s">
        <v>122</v>
      </c>
      <c r="F3927">
        <v>558179903</v>
      </c>
      <c r="G3927">
        <v>288184779</v>
      </c>
      <c r="H3927">
        <v>60628595</v>
      </c>
      <c r="I3927">
        <v>65738988</v>
      </c>
      <c r="J3927">
        <v>110566042</v>
      </c>
      <c r="K3927">
        <v>185522339</v>
      </c>
      <c r="L3927">
        <v>275101063</v>
      </c>
      <c r="M3927">
        <v>219818202</v>
      </c>
      <c r="N3927">
        <v>208193847</v>
      </c>
      <c r="O3927">
        <v>171387248</v>
      </c>
      <c r="P3927">
        <v>248</v>
      </c>
      <c r="Q3927" t="s">
        <v>8199</v>
      </c>
    </row>
    <row r="3928" spans="1:17" x14ac:dyDescent="0.3">
      <c r="A3928" t="s">
        <v>4664</v>
      </c>
      <c r="B3928" t="str">
        <f>"300172"</f>
        <v>300172</v>
      </c>
      <c r="C3928" t="s">
        <v>8200</v>
      </c>
      <c r="D3928" t="s">
        <v>33</v>
      </c>
      <c r="F3928">
        <v>79321963</v>
      </c>
      <c r="G3928">
        <v>106804185</v>
      </c>
      <c r="H3928">
        <v>101550627</v>
      </c>
      <c r="I3928">
        <v>98495682</v>
      </c>
      <c r="J3928">
        <v>79519945</v>
      </c>
      <c r="K3928">
        <v>74079180</v>
      </c>
      <c r="L3928">
        <v>61644534</v>
      </c>
      <c r="M3928">
        <v>45506766</v>
      </c>
      <c r="N3928">
        <v>37406289</v>
      </c>
      <c r="O3928">
        <v>32902537</v>
      </c>
      <c r="P3928">
        <v>110</v>
      </c>
      <c r="Q3928" t="s">
        <v>8201</v>
      </c>
    </row>
    <row r="3929" spans="1:17" x14ac:dyDescent="0.3">
      <c r="A3929" t="s">
        <v>4664</v>
      </c>
      <c r="B3929" t="str">
        <f>"300173"</f>
        <v>300173</v>
      </c>
      <c r="C3929" t="s">
        <v>8202</v>
      </c>
      <c r="D3929" t="s">
        <v>2423</v>
      </c>
      <c r="F3929">
        <v>19072553</v>
      </c>
      <c r="G3929">
        <v>8827612</v>
      </c>
      <c r="H3929">
        <v>3624062</v>
      </c>
      <c r="I3929">
        <v>26815940</v>
      </c>
      <c r="J3929">
        <v>53045108</v>
      </c>
      <c r="K3929">
        <v>48329031</v>
      </c>
      <c r="L3929">
        <v>42790704</v>
      </c>
      <c r="M3929">
        <v>3326665</v>
      </c>
      <c r="N3929">
        <v>21882081</v>
      </c>
      <c r="O3929">
        <v>25262220</v>
      </c>
      <c r="P3929">
        <v>61</v>
      </c>
      <c r="Q3929" t="s">
        <v>8203</v>
      </c>
    </row>
    <row r="3930" spans="1:17" x14ac:dyDescent="0.3">
      <c r="A3930" t="s">
        <v>4664</v>
      </c>
      <c r="B3930" t="str">
        <f>"300174"</f>
        <v>300174</v>
      </c>
      <c r="C3930" t="s">
        <v>8204</v>
      </c>
      <c r="D3930" t="s">
        <v>386</v>
      </c>
      <c r="F3930">
        <v>95930037</v>
      </c>
      <c r="G3930">
        <v>93297729</v>
      </c>
      <c r="H3930">
        <v>66951278</v>
      </c>
      <c r="I3930">
        <v>83284470</v>
      </c>
      <c r="J3930">
        <v>33384380</v>
      </c>
      <c r="K3930">
        <v>22434848</v>
      </c>
      <c r="L3930">
        <v>27776920</v>
      </c>
      <c r="M3930">
        <v>7375142</v>
      </c>
      <c r="N3930">
        <v>5394062</v>
      </c>
      <c r="O3930">
        <v>28579357</v>
      </c>
      <c r="P3930">
        <v>90</v>
      </c>
      <c r="Q3930" t="s">
        <v>8205</v>
      </c>
    </row>
    <row r="3931" spans="1:17" x14ac:dyDescent="0.3">
      <c r="A3931" t="s">
        <v>4664</v>
      </c>
      <c r="B3931" t="str">
        <f>"300175"</f>
        <v>300175</v>
      </c>
      <c r="C3931" t="s">
        <v>8206</v>
      </c>
      <c r="D3931" t="s">
        <v>574</v>
      </c>
      <c r="F3931">
        <v>-29745595</v>
      </c>
      <c r="G3931">
        <v>1571253</v>
      </c>
      <c r="H3931">
        <v>21705498</v>
      </c>
      <c r="I3931">
        <v>45703560</v>
      </c>
      <c r="J3931">
        <v>51323026</v>
      </c>
      <c r="K3931">
        <v>31250754</v>
      </c>
      <c r="L3931">
        <v>25090288</v>
      </c>
      <c r="M3931">
        <v>99725515</v>
      </c>
      <c r="N3931">
        <v>13667788</v>
      </c>
      <c r="O3931">
        <v>21938762</v>
      </c>
      <c r="P3931">
        <v>84</v>
      </c>
      <c r="Q3931" t="s">
        <v>8207</v>
      </c>
    </row>
    <row r="3932" spans="1:17" x14ac:dyDescent="0.3">
      <c r="A3932" t="s">
        <v>4664</v>
      </c>
      <c r="B3932" t="str">
        <f>"300176"</f>
        <v>300176</v>
      </c>
      <c r="C3932" t="s">
        <v>8208</v>
      </c>
      <c r="D3932" t="s">
        <v>348</v>
      </c>
      <c r="F3932">
        <v>-13815659</v>
      </c>
      <c r="G3932">
        <v>3474583</v>
      </c>
      <c r="H3932">
        <v>-254150355</v>
      </c>
      <c r="I3932">
        <v>387214786</v>
      </c>
      <c r="J3932">
        <v>280564367</v>
      </c>
      <c r="K3932">
        <v>32164158</v>
      </c>
      <c r="L3932">
        <v>15042071</v>
      </c>
      <c r="M3932">
        <v>12117021</v>
      </c>
      <c r="N3932">
        <v>22531938</v>
      </c>
      <c r="O3932">
        <v>33978050</v>
      </c>
      <c r="P3932">
        <v>151</v>
      </c>
      <c r="Q3932" t="s">
        <v>8209</v>
      </c>
    </row>
    <row r="3933" spans="1:17" x14ac:dyDescent="0.3">
      <c r="A3933" t="s">
        <v>4664</v>
      </c>
      <c r="B3933" t="str">
        <f>"300177"</f>
        <v>300177</v>
      </c>
      <c r="C3933" t="s">
        <v>8210</v>
      </c>
      <c r="D3933" t="s">
        <v>1136</v>
      </c>
      <c r="F3933">
        <v>46767777</v>
      </c>
      <c r="G3933">
        <v>85563830</v>
      </c>
      <c r="H3933">
        <v>40836148</v>
      </c>
      <c r="I3933">
        <v>74115477</v>
      </c>
      <c r="J3933">
        <v>40178362</v>
      </c>
      <c r="K3933">
        <v>21491194</v>
      </c>
      <c r="L3933">
        <v>14610363</v>
      </c>
      <c r="M3933">
        <v>66500053</v>
      </c>
      <c r="N3933">
        <v>57347918</v>
      </c>
      <c r="O3933">
        <v>44913374</v>
      </c>
      <c r="P3933">
        <v>232</v>
      </c>
      <c r="Q3933" t="s">
        <v>8211</v>
      </c>
    </row>
    <row r="3934" spans="1:17" x14ac:dyDescent="0.3">
      <c r="A3934" t="s">
        <v>4664</v>
      </c>
      <c r="B3934" t="str">
        <f>"300178"</f>
        <v>300178</v>
      </c>
      <c r="C3934" t="s">
        <v>8212</v>
      </c>
      <c r="D3934" t="s">
        <v>1120</v>
      </c>
      <c r="F3934">
        <v>-347665422</v>
      </c>
      <c r="G3934">
        <v>-427377294</v>
      </c>
      <c r="H3934">
        <v>-134466018</v>
      </c>
      <c r="I3934">
        <v>293912192</v>
      </c>
      <c r="J3934">
        <v>214042896</v>
      </c>
      <c r="K3934">
        <v>123658429</v>
      </c>
      <c r="L3934">
        <v>106377991</v>
      </c>
      <c r="M3934">
        <v>94369381</v>
      </c>
      <c r="N3934">
        <v>61514485</v>
      </c>
      <c r="O3934">
        <v>45471380</v>
      </c>
      <c r="P3934">
        <v>152</v>
      </c>
      <c r="Q3934" t="s">
        <v>8213</v>
      </c>
    </row>
    <row r="3935" spans="1:17" x14ac:dyDescent="0.3">
      <c r="A3935" t="s">
        <v>4664</v>
      </c>
      <c r="B3935" t="str">
        <f>"300179"</f>
        <v>300179</v>
      </c>
      <c r="C3935" t="s">
        <v>8214</v>
      </c>
      <c r="D3935" t="s">
        <v>404</v>
      </c>
      <c r="F3935">
        <v>70611808</v>
      </c>
      <c r="G3935">
        <v>46153968</v>
      </c>
      <c r="H3935">
        <v>87686501</v>
      </c>
      <c r="I3935">
        <v>55813311</v>
      </c>
      <c r="J3935">
        <v>64878189</v>
      </c>
      <c r="K3935">
        <v>14282623</v>
      </c>
      <c r="L3935">
        <v>30812730</v>
      </c>
      <c r="M3935">
        <v>29475405</v>
      </c>
      <c r="N3935">
        <v>24233131</v>
      </c>
      <c r="O3935">
        <v>26457580</v>
      </c>
      <c r="P3935">
        <v>166</v>
      </c>
      <c r="Q3935" t="s">
        <v>8215</v>
      </c>
    </row>
    <row r="3936" spans="1:17" x14ac:dyDescent="0.3">
      <c r="A3936" t="s">
        <v>4664</v>
      </c>
      <c r="B3936" t="str">
        <f>"300180"</f>
        <v>300180</v>
      </c>
      <c r="C3936" t="s">
        <v>8216</v>
      </c>
      <c r="D3936" t="s">
        <v>1192</v>
      </c>
      <c r="F3936">
        <v>156506857</v>
      </c>
      <c r="G3936">
        <v>158318227</v>
      </c>
      <c r="H3936">
        <v>103803140</v>
      </c>
      <c r="I3936">
        <v>277311938</v>
      </c>
      <c r="J3936">
        <v>195518796</v>
      </c>
      <c r="K3936">
        <v>74315349</v>
      </c>
      <c r="L3936">
        <v>116858111</v>
      </c>
      <c r="M3936">
        <v>82444938</v>
      </c>
      <c r="N3936">
        <v>69621454</v>
      </c>
      <c r="O3936">
        <v>62147019</v>
      </c>
      <c r="P3936">
        <v>141</v>
      </c>
      <c r="Q3936" t="s">
        <v>8217</v>
      </c>
    </row>
    <row r="3937" spans="1:17" x14ac:dyDescent="0.3">
      <c r="A3937" t="s">
        <v>4664</v>
      </c>
      <c r="B3937" t="str">
        <f>"300181"</f>
        <v>300181</v>
      </c>
      <c r="C3937" t="s">
        <v>8218</v>
      </c>
      <c r="D3937" t="s">
        <v>188</v>
      </c>
      <c r="F3937">
        <v>131517335</v>
      </c>
      <c r="G3937">
        <v>62369576</v>
      </c>
      <c r="H3937">
        <v>38697221</v>
      </c>
      <c r="I3937">
        <v>25702820</v>
      </c>
      <c r="J3937">
        <v>50981564</v>
      </c>
      <c r="K3937">
        <v>74206093</v>
      </c>
      <c r="L3937">
        <v>73445254</v>
      </c>
      <c r="M3937">
        <v>73309771</v>
      </c>
      <c r="N3937">
        <v>60208940</v>
      </c>
      <c r="O3937">
        <v>47033615</v>
      </c>
      <c r="P3937">
        <v>174</v>
      </c>
      <c r="Q3937" t="s">
        <v>8219</v>
      </c>
    </row>
    <row r="3938" spans="1:17" x14ac:dyDescent="0.3">
      <c r="A3938" t="s">
        <v>4664</v>
      </c>
      <c r="B3938" t="str">
        <f>"300182"</f>
        <v>300182</v>
      </c>
      <c r="C3938" t="s">
        <v>8220</v>
      </c>
      <c r="D3938" t="s">
        <v>113</v>
      </c>
      <c r="F3938">
        <v>461125924</v>
      </c>
      <c r="G3938">
        <v>204573366</v>
      </c>
      <c r="H3938">
        <v>306877666</v>
      </c>
      <c r="I3938">
        <v>792822320</v>
      </c>
      <c r="J3938">
        <v>771089530</v>
      </c>
      <c r="K3938">
        <v>613491891</v>
      </c>
      <c r="L3938">
        <v>259562476</v>
      </c>
      <c r="M3938">
        <v>84625309</v>
      </c>
      <c r="N3938">
        <v>71124344</v>
      </c>
      <c r="O3938">
        <v>66092848</v>
      </c>
      <c r="P3938">
        <v>514</v>
      </c>
      <c r="Q3938" t="s">
        <v>8221</v>
      </c>
    </row>
    <row r="3939" spans="1:17" x14ac:dyDescent="0.3">
      <c r="A3939" t="s">
        <v>4664</v>
      </c>
      <c r="B3939" t="str">
        <f>"300183"</f>
        <v>300183</v>
      </c>
      <c r="C3939" t="s">
        <v>8222</v>
      </c>
      <c r="D3939" t="s">
        <v>595</v>
      </c>
      <c r="F3939">
        <v>68621514</v>
      </c>
      <c r="G3939">
        <v>100415469</v>
      </c>
      <c r="H3939">
        <v>94028076</v>
      </c>
      <c r="I3939">
        <v>99367548</v>
      </c>
      <c r="J3939">
        <v>185657396</v>
      </c>
      <c r="K3939">
        <v>237429453</v>
      </c>
      <c r="L3939">
        <v>199932021</v>
      </c>
      <c r="M3939">
        <v>184122122</v>
      </c>
      <c r="N3939">
        <v>163393325</v>
      </c>
      <c r="O3939">
        <v>153951218</v>
      </c>
      <c r="P3939">
        <v>276</v>
      </c>
      <c r="Q3939" t="s">
        <v>8223</v>
      </c>
    </row>
    <row r="3940" spans="1:17" x14ac:dyDescent="0.3">
      <c r="A3940" t="s">
        <v>4664</v>
      </c>
      <c r="B3940" t="str">
        <f>"300184"</f>
        <v>300184</v>
      </c>
      <c r="C3940" t="s">
        <v>8224</v>
      </c>
      <c r="D3940" t="s">
        <v>651</v>
      </c>
      <c r="F3940">
        <v>261095299</v>
      </c>
      <c r="G3940">
        <v>154042546</v>
      </c>
      <c r="H3940">
        <v>238657014</v>
      </c>
      <c r="I3940">
        <v>307047720</v>
      </c>
      <c r="J3940">
        <v>267516324</v>
      </c>
      <c r="K3940">
        <v>36247246</v>
      </c>
      <c r="L3940">
        <v>26308627</v>
      </c>
      <c r="M3940">
        <v>13688243</v>
      </c>
      <c r="N3940">
        <v>15708631</v>
      </c>
      <c r="O3940">
        <v>12360235</v>
      </c>
      <c r="P3940">
        <v>252</v>
      </c>
      <c r="Q3940" t="s">
        <v>8225</v>
      </c>
    </row>
    <row r="3941" spans="1:17" x14ac:dyDescent="0.3">
      <c r="A3941" t="s">
        <v>4664</v>
      </c>
      <c r="B3941" t="str">
        <f>"300185"</f>
        <v>300185</v>
      </c>
      <c r="C3941" t="s">
        <v>8226</v>
      </c>
      <c r="D3941" t="s">
        <v>950</v>
      </c>
      <c r="F3941">
        <v>262391294</v>
      </c>
      <c r="G3941">
        <v>327013796</v>
      </c>
      <c r="H3941">
        <v>172301589</v>
      </c>
      <c r="I3941">
        <v>156299596</v>
      </c>
      <c r="J3941">
        <v>140729103</v>
      </c>
      <c r="K3941">
        <v>116322209</v>
      </c>
      <c r="L3941">
        <v>85385891</v>
      </c>
      <c r="M3941">
        <v>75609124</v>
      </c>
      <c r="N3941">
        <v>54511760</v>
      </c>
      <c r="O3941">
        <v>124532308</v>
      </c>
      <c r="P3941">
        <v>201</v>
      </c>
      <c r="Q3941" t="s">
        <v>8227</v>
      </c>
    </row>
    <row r="3942" spans="1:17" x14ac:dyDescent="0.3">
      <c r="A3942" t="s">
        <v>4664</v>
      </c>
      <c r="B3942" t="str">
        <f>"300186"</f>
        <v>300186</v>
      </c>
      <c r="C3942" t="s">
        <v>8228</v>
      </c>
      <c r="L3942">
        <v>120027873.14</v>
      </c>
      <c r="M3942">
        <v>60530189.259999998</v>
      </c>
      <c r="N3942">
        <v>120116013.64</v>
      </c>
      <c r="O3942">
        <v>116363151.56</v>
      </c>
      <c r="P3942">
        <v>5</v>
      </c>
      <c r="Q3942" t="s">
        <v>8229</v>
      </c>
    </row>
    <row r="3943" spans="1:17" x14ac:dyDescent="0.3">
      <c r="A3943" t="s">
        <v>4664</v>
      </c>
      <c r="B3943" t="str">
        <f>"300187"</f>
        <v>300187</v>
      </c>
      <c r="C3943" t="s">
        <v>8230</v>
      </c>
      <c r="D3943" t="s">
        <v>499</v>
      </c>
      <c r="F3943">
        <v>52600656</v>
      </c>
      <c r="G3943">
        <v>50976632</v>
      </c>
      <c r="H3943">
        <v>32490371</v>
      </c>
      <c r="I3943">
        <v>19860917</v>
      </c>
      <c r="J3943">
        <v>83590254</v>
      </c>
      <c r="K3943">
        <v>78814398</v>
      </c>
      <c r="L3943">
        <v>77895700</v>
      </c>
      <c r="M3943">
        <v>47084856</v>
      </c>
      <c r="N3943">
        <v>46497772</v>
      </c>
      <c r="O3943">
        <v>46287823</v>
      </c>
      <c r="P3943">
        <v>110</v>
      </c>
      <c r="Q3943" t="s">
        <v>8231</v>
      </c>
    </row>
    <row r="3944" spans="1:17" x14ac:dyDescent="0.3">
      <c r="A3944" t="s">
        <v>4664</v>
      </c>
      <c r="B3944" t="str">
        <f>"300188"</f>
        <v>300188</v>
      </c>
      <c r="C3944" t="s">
        <v>8232</v>
      </c>
      <c r="D3944" t="s">
        <v>945</v>
      </c>
      <c r="F3944">
        <v>33384796</v>
      </c>
      <c r="G3944">
        <v>69466465</v>
      </c>
      <c r="H3944">
        <v>-34147555</v>
      </c>
      <c r="I3944">
        <v>47372504</v>
      </c>
      <c r="J3944">
        <v>65768894</v>
      </c>
      <c r="K3944">
        <v>46024787</v>
      </c>
      <c r="L3944">
        <v>35592788</v>
      </c>
      <c r="M3944">
        <v>28276091</v>
      </c>
      <c r="N3944">
        <v>14160181</v>
      </c>
      <c r="O3944">
        <v>29441420</v>
      </c>
      <c r="P3944">
        <v>557</v>
      </c>
      <c r="Q3944" t="s">
        <v>8233</v>
      </c>
    </row>
    <row r="3945" spans="1:17" x14ac:dyDescent="0.3">
      <c r="A3945" t="s">
        <v>4664</v>
      </c>
      <c r="B3945" t="str">
        <f>"300189"</f>
        <v>300189</v>
      </c>
      <c r="C3945" t="s">
        <v>8234</v>
      </c>
      <c r="D3945" t="s">
        <v>706</v>
      </c>
      <c r="F3945">
        <v>-18531140</v>
      </c>
      <c r="G3945">
        <v>35149786</v>
      </c>
      <c r="H3945">
        <v>-87371787</v>
      </c>
      <c r="I3945">
        <v>34017385</v>
      </c>
      <c r="J3945">
        <v>-12572228</v>
      </c>
      <c r="K3945">
        <v>-24713813</v>
      </c>
      <c r="L3945">
        <v>4455669</v>
      </c>
      <c r="M3945">
        <v>-32406300</v>
      </c>
      <c r="N3945">
        <v>34252312</v>
      </c>
      <c r="O3945">
        <v>46519231</v>
      </c>
      <c r="P3945">
        <v>111</v>
      </c>
      <c r="Q3945" t="s">
        <v>8235</v>
      </c>
    </row>
    <row r="3946" spans="1:17" x14ac:dyDescent="0.3">
      <c r="A3946" t="s">
        <v>4664</v>
      </c>
      <c r="B3946" t="str">
        <f>"300190"</f>
        <v>300190</v>
      </c>
      <c r="C3946" t="s">
        <v>8236</v>
      </c>
      <c r="D3946" t="s">
        <v>3548</v>
      </c>
      <c r="F3946">
        <v>169331405</v>
      </c>
      <c r="G3946">
        <v>298462876</v>
      </c>
      <c r="H3946">
        <v>227696002</v>
      </c>
      <c r="I3946">
        <v>158224648</v>
      </c>
      <c r="J3946">
        <v>111886409</v>
      </c>
      <c r="K3946">
        <v>72160938</v>
      </c>
      <c r="L3946">
        <v>77447744</v>
      </c>
      <c r="M3946">
        <v>41999406</v>
      </c>
      <c r="N3946">
        <v>21140786</v>
      </c>
      <c r="O3946">
        <v>40143366</v>
      </c>
      <c r="P3946">
        <v>233</v>
      </c>
      <c r="Q3946" t="s">
        <v>8237</v>
      </c>
    </row>
    <row r="3947" spans="1:17" x14ac:dyDescent="0.3">
      <c r="A3947" t="s">
        <v>4664</v>
      </c>
      <c r="B3947" t="str">
        <f>"300191"</f>
        <v>300191</v>
      </c>
      <c r="C3947" t="s">
        <v>8238</v>
      </c>
      <c r="D3947" t="s">
        <v>762</v>
      </c>
      <c r="F3947">
        <v>25767591</v>
      </c>
      <c r="G3947">
        <v>4942897</v>
      </c>
      <c r="H3947">
        <v>8488111</v>
      </c>
      <c r="I3947">
        <v>10673951</v>
      </c>
      <c r="J3947">
        <v>-20283636</v>
      </c>
      <c r="K3947">
        <v>10280507</v>
      </c>
      <c r="L3947">
        <v>-17356146</v>
      </c>
      <c r="M3947">
        <v>19100879</v>
      </c>
      <c r="N3947">
        <v>57173963</v>
      </c>
      <c r="O3947">
        <v>51480872</v>
      </c>
      <c r="P3947">
        <v>75</v>
      </c>
      <c r="Q3947" t="s">
        <v>8239</v>
      </c>
    </row>
    <row r="3948" spans="1:17" x14ac:dyDescent="0.3">
      <c r="A3948" t="s">
        <v>4664</v>
      </c>
      <c r="B3948" t="str">
        <f>"300192"</f>
        <v>300192</v>
      </c>
      <c r="C3948" t="s">
        <v>8240</v>
      </c>
      <c r="D3948" t="s">
        <v>1336</v>
      </c>
      <c r="F3948">
        <v>68132186</v>
      </c>
      <c r="G3948">
        <v>118009722</v>
      </c>
      <c r="H3948">
        <v>67636064</v>
      </c>
      <c r="I3948">
        <v>36265965</v>
      </c>
      <c r="J3948">
        <v>15175727</v>
      </c>
      <c r="K3948">
        <v>28797166</v>
      </c>
      <c r="L3948">
        <v>22240428</v>
      </c>
      <c r="M3948">
        <v>27153877</v>
      </c>
      <c r="N3948">
        <v>28111197</v>
      </c>
      <c r="O3948">
        <v>35268752</v>
      </c>
      <c r="P3948">
        <v>182</v>
      </c>
      <c r="Q3948" t="s">
        <v>8241</v>
      </c>
    </row>
    <row r="3949" spans="1:17" x14ac:dyDescent="0.3">
      <c r="A3949" t="s">
        <v>4664</v>
      </c>
      <c r="B3949" t="str">
        <f>"300193"</f>
        <v>300193</v>
      </c>
      <c r="C3949" t="s">
        <v>8242</v>
      </c>
      <c r="D3949" t="s">
        <v>560</v>
      </c>
      <c r="F3949">
        <v>184495905</v>
      </c>
      <c r="G3949">
        <v>139658415</v>
      </c>
      <c r="H3949">
        <v>172072852</v>
      </c>
      <c r="I3949">
        <v>140872013</v>
      </c>
      <c r="J3949">
        <v>107521046</v>
      </c>
      <c r="K3949">
        <v>81951605</v>
      </c>
      <c r="L3949">
        <v>71426333</v>
      </c>
      <c r="M3949">
        <v>59502277</v>
      </c>
      <c r="N3949">
        <v>67618253</v>
      </c>
      <c r="O3949">
        <v>74112909</v>
      </c>
      <c r="P3949">
        <v>154</v>
      </c>
      <c r="Q3949" t="s">
        <v>8243</v>
      </c>
    </row>
    <row r="3950" spans="1:17" x14ac:dyDescent="0.3">
      <c r="A3950" t="s">
        <v>4664</v>
      </c>
      <c r="B3950" t="str">
        <f>"300194"</f>
        <v>300194</v>
      </c>
      <c r="C3950" t="s">
        <v>8244</v>
      </c>
      <c r="D3950" t="s">
        <v>143</v>
      </c>
      <c r="F3950">
        <v>178436551</v>
      </c>
      <c r="G3950">
        <v>195494286</v>
      </c>
      <c r="H3950">
        <v>225602817</v>
      </c>
      <c r="I3950">
        <v>228985895</v>
      </c>
      <c r="J3950">
        <v>237285504</v>
      </c>
      <c r="K3950">
        <v>156147526</v>
      </c>
      <c r="L3950">
        <v>50371739</v>
      </c>
      <c r="M3950">
        <v>39508786</v>
      </c>
      <c r="N3950">
        <v>28165874</v>
      </c>
      <c r="O3950">
        <v>77044113</v>
      </c>
      <c r="P3950">
        <v>149</v>
      </c>
      <c r="Q3950" t="s">
        <v>8245</v>
      </c>
    </row>
    <row r="3951" spans="1:17" x14ac:dyDescent="0.3">
      <c r="A3951" t="s">
        <v>4664</v>
      </c>
      <c r="B3951" t="str">
        <f>"300195"</f>
        <v>300195</v>
      </c>
      <c r="C3951" t="s">
        <v>8246</v>
      </c>
      <c r="D3951" t="s">
        <v>3388</v>
      </c>
      <c r="F3951">
        <v>68874312</v>
      </c>
      <c r="G3951">
        <v>38193628</v>
      </c>
      <c r="H3951">
        <v>51134736</v>
      </c>
      <c r="I3951">
        <v>120906929</v>
      </c>
      <c r="J3951">
        <v>120454599</v>
      </c>
      <c r="K3951">
        <v>88803551</v>
      </c>
      <c r="L3951">
        <v>118302694</v>
      </c>
      <c r="M3951">
        <v>117572227</v>
      </c>
      <c r="N3951">
        <v>107922644</v>
      </c>
      <c r="O3951">
        <v>126159743</v>
      </c>
      <c r="P3951">
        <v>90</v>
      </c>
      <c r="Q3951" t="s">
        <v>8247</v>
      </c>
    </row>
    <row r="3952" spans="1:17" x14ac:dyDescent="0.3">
      <c r="A3952" t="s">
        <v>4664</v>
      </c>
      <c r="B3952" t="str">
        <f>"300196"</f>
        <v>300196</v>
      </c>
      <c r="C3952" t="s">
        <v>8248</v>
      </c>
      <c r="D3952" t="s">
        <v>411</v>
      </c>
      <c r="F3952">
        <v>420853037</v>
      </c>
      <c r="G3952">
        <v>196204808</v>
      </c>
      <c r="H3952">
        <v>234654304</v>
      </c>
      <c r="I3952">
        <v>194609509</v>
      </c>
      <c r="J3952">
        <v>164412079</v>
      </c>
      <c r="K3952">
        <v>194182468</v>
      </c>
      <c r="L3952">
        <v>158275526</v>
      </c>
      <c r="M3952">
        <v>106719366</v>
      </c>
      <c r="N3952">
        <v>72434536</v>
      </c>
      <c r="O3952">
        <v>61825473</v>
      </c>
      <c r="P3952">
        <v>232</v>
      </c>
      <c r="Q3952" t="s">
        <v>8249</v>
      </c>
    </row>
    <row r="3953" spans="1:17" x14ac:dyDescent="0.3">
      <c r="A3953" t="s">
        <v>4664</v>
      </c>
      <c r="B3953" t="str">
        <f>"300197"</f>
        <v>300197</v>
      </c>
      <c r="C3953" t="s">
        <v>8250</v>
      </c>
      <c r="D3953" t="s">
        <v>2408</v>
      </c>
      <c r="F3953">
        <v>-239712209</v>
      </c>
      <c r="G3953">
        <v>-250723752</v>
      </c>
      <c r="H3953">
        <v>20730864</v>
      </c>
      <c r="I3953">
        <v>364138537</v>
      </c>
      <c r="J3953">
        <v>459315599</v>
      </c>
      <c r="K3953">
        <v>288412462</v>
      </c>
      <c r="L3953">
        <v>172705083</v>
      </c>
      <c r="M3953">
        <v>138886467</v>
      </c>
      <c r="N3953">
        <v>137612527</v>
      </c>
      <c r="O3953">
        <v>132479496</v>
      </c>
      <c r="P3953">
        <v>356</v>
      </c>
      <c r="Q3953" t="s">
        <v>8251</v>
      </c>
    </row>
    <row r="3954" spans="1:17" x14ac:dyDescent="0.3">
      <c r="A3954" t="s">
        <v>4664</v>
      </c>
      <c r="B3954" t="str">
        <f>"300198"</f>
        <v>300198</v>
      </c>
      <c r="C3954" t="s">
        <v>8252</v>
      </c>
      <c r="D3954" t="s">
        <v>3320</v>
      </c>
      <c r="F3954">
        <v>-25061046</v>
      </c>
      <c r="G3954">
        <v>43186969</v>
      </c>
      <c r="H3954">
        <v>363445518</v>
      </c>
      <c r="I3954">
        <v>5711993</v>
      </c>
      <c r="J3954">
        <v>35119301</v>
      </c>
      <c r="K3954">
        <v>32907147</v>
      </c>
      <c r="L3954">
        <v>13572303</v>
      </c>
      <c r="M3954">
        <v>40233152</v>
      </c>
      <c r="N3954">
        <v>80902786</v>
      </c>
      <c r="O3954">
        <v>72269293</v>
      </c>
      <c r="P3954">
        <v>82</v>
      </c>
      <c r="Q3954" t="s">
        <v>8253</v>
      </c>
    </row>
    <row r="3955" spans="1:17" x14ac:dyDescent="0.3">
      <c r="A3955" t="s">
        <v>4664</v>
      </c>
      <c r="B3955" t="str">
        <f>"300199"</f>
        <v>300199</v>
      </c>
      <c r="C3955" t="s">
        <v>8254</v>
      </c>
      <c r="D3955" t="s">
        <v>143</v>
      </c>
      <c r="F3955">
        <v>-118071682</v>
      </c>
      <c r="G3955">
        <v>55904191</v>
      </c>
      <c r="H3955">
        <v>-80044079</v>
      </c>
      <c r="I3955">
        <v>293579284</v>
      </c>
      <c r="J3955">
        <v>234355593</v>
      </c>
      <c r="K3955">
        <v>230112682</v>
      </c>
      <c r="L3955">
        <v>174244797</v>
      </c>
      <c r="M3955">
        <v>105261248</v>
      </c>
      <c r="N3955">
        <v>69685446</v>
      </c>
      <c r="O3955">
        <v>62125491</v>
      </c>
      <c r="P3955">
        <v>242</v>
      </c>
      <c r="Q3955" t="s">
        <v>8255</v>
      </c>
    </row>
    <row r="3956" spans="1:17" x14ac:dyDescent="0.3">
      <c r="A3956" t="s">
        <v>4664</v>
      </c>
      <c r="B3956" t="str">
        <f>"300200"</f>
        <v>300200</v>
      </c>
      <c r="C3956" t="s">
        <v>8256</v>
      </c>
      <c r="D3956" t="s">
        <v>528</v>
      </c>
      <c r="F3956">
        <v>145739452</v>
      </c>
      <c r="G3956">
        <v>177663283</v>
      </c>
      <c r="H3956">
        <v>139792830</v>
      </c>
      <c r="I3956">
        <v>66597033</v>
      </c>
      <c r="J3956">
        <v>47886037</v>
      </c>
      <c r="K3956">
        <v>51845723</v>
      </c>
      <c r="L3956">
        <v>42356973</v>
      </c>
      <c r="M3956">
        <v>34560348</v>
      </c>
      <c r="N3956">
        <v>38092477</v>
      </c>
      <c r="O3956">
        <v>48749503</v>
      </c>
      <c r="P3956">
        <v>160</v>
      </c>
      <c r="Q3956" t="s">
        <v>8257</v>
      </c>
    </row>
    <row r="3957" spans="1:17" x14ac:dyDescent="0.3">
      <c r="A3957" t="s">
        <v>4664</v>
      </c>
      <c r="B3957" t="str">
        <f>"300201"</f>
        <v>300201</v>
      </c>
      <c r="C3957" t="s">
        <v>8258</v>
      </c>
      <c r="D3957" t="s">
        <v>83</v>
      </c>
      <c r="F3957">
        <v>47830553</v>
      </c>
      <c r="G3957">
        <v>-274474138</v>
      </c>
      <c r="H3957">
        <v>26536758</v>
      </c>
      <c r="I3957">
        <v>54453274</v>
      </c>
      <c r="J3957">
        <v>75663348</v>
      </c>
      <c r="K3957">
        <v>35009537</v>
      </c>
      <c r="L3957">
        <v>7012656</v>
      </c>
      <c r="M3957">
        <v>4095476</v>
      </c>
      <c r="N3957">
        <v>1068134</v>
      </c>
      <c r="O3957">
        <v>11450479</v>
      </c>
      <c r="P3957">
        <v>77</v>
      </c>
      <c r="Q3957" t="s">
        <v>8259</v>
      </c>
    </row>
    <row r="3958" spans="1:17" x14ac:dyDescent="0.3">
      <c r="A3958" t="s">
        <v>4664</v>
      </c>
      <c r="B3958" t="str">
        <f>"300202"</f>
        <v>300202</v>
      </c>
      <c r="C3958" t="s">
        <v>8260</v>
      </c>
      <c r="D3958" t="s">
        <v>236</v>
      </c>
      <c r="F3958">
        <v>12543249</v>
      </c>
      <c r="G3958">
        <v>33175193</v>
      </c>
      <c r="H3958">
        <v>44896291</v>
      </c>
      <c r="I3958">
        <v>36206855</v>
      </c>
      <c r="J3958">
        <v>43312755</v>
      </c>
      <c r="K3958">
        <v>121843567</v>
      </c>
      <c r="L3958">
        <v>98072726</v>
      </c>
      <c r="M3958">
        <v>103675107</v>
      </c>
      <c r="N3958">
        <v>67888496</v>
      </c>
      <c r="O3958">
        <v>43119554</v>
      </c>
      <c r="P3958">
        <v>2978</v>
      </c>
      <c r="Q3958" t="s">
        <v>8261</v>
      </c>
    </row>
    <row r="3959" spans="1:17" x14ac:dyDescent="0.3">
      <c r="A3959" t="s">
        <v>4664</v>
      </c>
      <c r="B3959" t="str">
        <f>"300203"</f>
        <v>300203</v>
      </c>
      <c r="C3959" t="s">
        <v>8262</v>
      </c>
      <c r="D3959" t="s">
        <v>3548</v>
      </c>
      <c r="F3959">
        <v>-61265863</v>
      </c>
      <c r="G3959">
        <v>42238129</v>
      </c>
      <c r="H3959">
        <v>314957491</v>
      </c>
      <c r="I3959">
        <v>419724113</v>
      </c>
      <c r="J3959">
        <v>322026101</v>
      </c>
      <c r="K3959">
        <v>251945384</v>
      </c>
      <c r="L3959">
        <v>155097244</v>
      </c>
      <c r="M3959">
        <v>109971385</v>
      </c>
      <c r="N3959">
        <v>96216706</v>
      </c>
      <c r="O3959">
        <v>100379571</v>
      </c>
      <c r="P3959">
        <v>431</v>
      </c>
      <c r="Q3959" t="s">
        <v>8263</v>
      </c>
    </row>
    <row r="3960" spans="1:17" x14ac:dyDescent="0.3">
      <c r="A3960" t="s">
        <v>4664</v>
      </c>
      <c r="B3960" t="str">
        <f>"300204"</f>
        <v>300204</v>
      </c>
      <c r="C3960" t="s">
        <v>8264</v>
      </c>
      <c r="D3960" t="s">
        <v>1379</v>
      </c>
      <c r="F3960">
        <v>-125811196</v>
      </c>
      <c r="G3960">
        <v>-98228384</v>
      </c>
      <c r="H3960">
        <v>41104030</v>
      </c>
      <c r="I3960">
        <v>118850680</v>
      </c>
      <c r="J3960">
        <v>224003571</v>
      </c>
      <c r="K3960">
        <v>203013179</v>
      </c>
      <c r="L3960">
        <v>173110046</v>
      </c>
      <c r="M3960">
        <v>123575780</v>
      </c>
      <c r="N3960">
        <v>114793974</v>
      </c>
      <c r="O3960">
        <v>125318444</v>
      </c>
      <c r="P3960">
        <v>202</v>
      </c>
      <c r="Q3960" t="s">
        <v>8265</v>
      </c>
    </row>
    <row r="3961" spans="1:17" x14ac:dyDescent="0.3">
      <c r="A3961" t="s">
        <v>4664</v>
      </c>
      <c r="B3961" t="str">
        <f>"300205"</f>
        <v>300205</v>
      </c>
      <c r="C3961" t="s">
        <v>8266</v>
      </c>
      <c r="D3961" t="s">
        <v>786</v>
      </c>
      <c r="F3961">
        <v>-24745286</v>
      </c>
      <c r="G3961">
        <v>-43515509</v>
      </c>
      <c r="H3961">
        <v>180691132</v>
      </c>
      <c r="I3961">
        <v>76089678</v>
      </c>
      <c r="J3961">
        <v>33037506</v>
      </c>
      <c r="K3961">
        <v>30814315</v>
      </c>
      <c r="L3961">
        <v>6386887</v>
      </c>
      <c r="M3961">
        <v>44091000</v>
      </c>
      <c r="N3961">
        <v>68051748</v>
      </c>
      <c r="O3961">
        <v>10186958</v>
      </c>
      <c r="P3961">
        <v>222</v>
      </c>
      <c r="Q3961" t="s">
        <v>8267</v>
      </c>
    </row>
    <row r="3962" spans="1:17" x14ac:dyDescent="0.3">
      <c r="A3962" t="s">
        <v>4664</v>
      </c>
      <c r="B3962" t="str">
        <f>"300206"</f>
        <v>300206</v>
      </c>
      <c r="C3962" t="s">
        <v>8268</v>
      </c>
      <c r="D3962" t="s">
        <v>122</v>
      </c>
      <c r="F3962">
        <v>250813554</v>
      </c>
      <c r="G3962">
        <v>635941074</v>
      </c>
      <c r="H3962">
        <v>112928514</v>
      </c>
      <c r="I3962">
        <v>88806934</v>
      </c>
      <c r="J3962">
        <v>67382376</v>
      </c>
      <c r="K3962">
        <v>11111820</v>
      </c>
      <c r="L3962">
        <v>15369385</v>
      </c>
      <c r="M3962">
        <v>11299072</v>
      </c>
      <c r="N3962">
        <v>31070432</v>
      </c>
      <c r="O3962">
        <v>42156194</v>
      </c>
      <c r="P3962">
        <v>426</v>
      </c>
      <c r="Q3962" t="s">
        <v>8269</v>
      </c>
    </row>
    <row r="3963" spans="1:17" x14ac:dyDescent="0.3">
      <c r="A3963" t="s">
        <v>4664</v>
      </c>
      <c r="B3963" t="str">
        <f>"300207"</f>
        <v>300207</v>
      </c>
      <c r="C3963" t="s">
        <v>8270</v>
      </c>
      <c r="D3963" t="s">
        <v>359</v>
      </c>
      <c r="F3963">
        <v>669316932</v>
      </c>
      <c r="G3963">
        <v>472196512</v>
      </c>
      <c r="H3963">
        <v>502044902</v>
      </c>
      <c r="I3963">
        <v>429151303</v>
      </c>
      <c r="J3963">
        <v>302467901</v>
      </c>
      <c r="K3963">
        <v>286170280</v>
      </c>
      <c r="L3963">
        <v>211909688</v>
      </c>
      <c r="M3963">
        <v>87953755</v>
      </c>
      <c r="N3963">
        <v>44039005</v>
      </c>
      <c r="O3963">
        <v>41755468</v>
      </c>
      <c r="P3963">
        <v>1012</v>
      </c>
      <c r="Q3963" t="s">
        <v>8271</v>
      </c>
    </row>
    <row r="3964" spans="1:17" x14ac:dyDescent="0.3">
      <c r="A3964" t="s">
        <v>4664</v>
      </c>
      <c r="B3964" t="str">
        <f>"300208"</f>
        <v>300208</v>
      </c>
      <c r="C3964" t="s">
        <v>8272</v>
      </c>
      <c r="D3964" t="s">
        <v>110</v>
      </c>
      <c r="F3964">
        <v>-12893672</v>
      </c>
      <c r="G3964">
        <v>-15199651</v>
      </c>
      <c r="H3964">
        <v>-61785428</v>
      </c>
      <c r="I3964">
        <v>259145918</v>
      </c>
      <c r="J3964">
        <v>313135805</v>
      </c>
      <c r="K3964">
        <v>209719631</v>
      </c>
      <c r="L3964">
        <v>277697533</v>
      </c>
      <c r="M3964">
        <v>45524869</v>
      </c>
      <c r="N3964">
        <v>2958358</v>
      </c>
      <c r="O3964">
        <v>37785538</v>
      </c>
      <c r="P3964">
        <v>144</v>
      </c>
      <c r="Q3964" t="s">
        <v>8273</v>
      </c>
    </row>
    <row r="3965" spans="1:17" x14ac:dyDescent="0.3">
      <c r="A3965" t="s">
        <v>4664</v>
      </c>
      <c r="B3965" t="str">
        <f>"300209"</f>
        <v>300209</v>
      </c>
      <c r="C3965" t="s">
        <v>8274</v>
      </c>
      <c r="D3965" t="s">
        <v>945</v>
      </c>
      <c r="F3965">
        <v>-1155686949</v>
      </c>
      <c r="G3965">
        <v>72774237</v>
      </c>
      <c r="H3965">
        <v>160224819</v>
      </c>
      <c r="I3965">
        <v>-21483650</v>
      </c>
      <c r="J3965">
        <v>72726902</v>
      </c>
      <c r="K3965">
        <v>52933412</v>
      </c>
      <c r="L3965">
        <v>5188984</v>
      </c>
      <c r="M3965">
        <v>4386848</v>
      </c>
      <c r="N3965">
        <v>3067968</v>
      </c>
      <c r="O3965">
        <v>3316007</v>
      </c>
      <c r="P3965">
        <v>143</v>
      </c>
      <c r="Q3965" t="s">
        <v>8275</v>
      </c>
    </row>
    <row r="3966" spans="1:17" x14ac:dyDescent="0.3">
      <c r="A3966" t="s">
        <v>4664</v>
      </c>
      <c r="B3966" t="str">
        <f>"300210"</f>
        <v>300210</v>
      </c>
      <c r="C3966" t="s">
        <v>8276</v>
      </c>
      <c r="D3966" t="s">
        <v>1070</v>
      </c>
      <c r="F3966">
        <v>-42627104</v>
      </c>
      <c r="G3966">
        <v>41106571</v>
      </c>
      <c r="H3966">
        <v>-59221815</v>
      </c>
      <c r="I3966">
        <v>25165635</v>
      </c>
      <c r="J3966">
        <v>52386803</v>
      </c>
      <c r="K3966">
        <v>50903893</v>
      </c>
      <c r="L3966">
        <v>58040416</v>
      </c>
      <c r="M3966">
        <v>65917588</v>
      </c>
      <c r="N3966">
        <v>69255433</v>
      </c>
      <c r="O3966">
        <v>59933657</v>
      </c>
      <c r="P3966">
        <v>50</v>
      </c>
      <c r="Q3966" t="s">
        <v>8277</v>
      </c>
    </row>
    <row r="3967" spans="1:17" x14ac:dyDescent="0.3">
      <c r="A3967" t="s">
        <v>4664</v>
      </c>
      <c r="B3967" t="str">
        <f>"300211"</f>
        <v>300211</v>
      </c>
      <c r="C3967" t="s">
        <v>8278</v>
      </c>
      <c r="D3967" t="s">
        <v>654</v>
      </c>
      <c r="F3967">
        <v>16241726</v>
      </c>
      <c r="G3967">
        <v>7805176</v>
      </c>
      <c r="H3967">
        <v>3496896</v>
      </c>
      <c r="I3967">
        <v>2835170</v>
      </c>
      <c r="J3967">
        <v>3810874</v>
      </c>
      <c r="K3967">
        <v>8370963</v>
      </c>
      <c r="L3967">
        <v>7581305</v>
      </c>
      <c r="M3967">
        <v>14981192</v>
      </c>
      <c r="N3967">
        <v>18447749</v>
      </c>
      <c r="O3967">
        <v>17444014</v>
      </c>
      <c r="P3967">
        <v>63</v>
      </c>
      <c r="Q3967" t="s">
        <v>8279</v>
      </c>
    </row>
    <row r="3968" spans="1:17" x14ac:dyDescent="0.3">
      <c r="A3968" t="s">
        <v>4664</v>
      </c>
      <c r="B3968" t="str">
        <f>"300212"</f>
        <v>300212</v>
      </c>
      <c r="C3968" t="s">
        <v>8280</v>
      </c>
      <c r="D3968" t="s">
        <v>316</v>
      </c>
      <c r="F3968">
        <v>147829432</v>
      </c>
      <c r="G3968">
        <v>145249492</v>
      </c>
      <c r="H3968">
        <v>204114322</v>
      </c>
      <c r="I3968">
        <v>110546065</v>
      </c>
      <c r="J3968">
        <v>84861160</v>
      </c>
      <c r="K3968">
        <v>83314014</v>
      </c>
      <c r="L3968">
        <v>63674386</v>
      </c>
      <c r="M3968">
        <v>54935966</v>
      </c>
      <c r="N3968">
        <v>30376226</v>
      </c>
      <c r="O3968">
        <v>25998751</v>
      </c>
      <c r="P3968">
        <v>389</v>
      </c>
      <c r="Q3968" t="s">
        <v>8281</v>
      </c>
    </row>
    <row r="3969" spans="1:17" x14ac:dyDescent="0.3">
      <c r="A3969" t="s">
        <v>4664</v>
      </c>
      <c r="B3969" t="str">
        <f>"300213"</f>
        <v>300213</v>
      </c>
      <c r="C3969" t="s">
        <v>8282</v>
      </c>
      <c r="D3969" t="s">
        <v>595</v>
      </c>
      <c r="F3969">
        <v>59714879</v>
      </c>
      <c r="G3969">
        <v>95934527</v>
      </c>
      <c r="H3969">
        <v>86126966</v>
      </c>
      <c r="I3969">
        <v>67402130</v>
      </c>
      <c r="J3969">
        <v>58343786</v>
      </c>
      <c r="K3969">
        <v>73291865</v>
      </c>
      <c r="L3969">
        <v>57449195</v>
      </c>
      <c r="M3969">
        <v>50194269</v>
      </c>
      <c r="N3969">
        <v>25988465</v>
      </c>
      <c r="O3969">
        <v>12400822</v>
      </c>
      <c r="P3969">
        <v>187</v>
      </c>
      <c r="Q3969" t="s">
        <v>8283</v>
      </c>
    </row>
    <row r="3970" spans="1:17" x14ac:dyDescent="0.3">
      <c r="A3970" t="s">
        <v>4664</v>
      </c>
      <c r="B3970" t="str">
        <f>"300214"</f>
        <v>300214</v>
      </c>
      <c r="C3970" t="s">
        <v>8284</v>
      </c>
      <c r="D3970" t="s">
        <v>1192</v>
      </c>
      <c r="F3970">
        <v>133378173</v>
      </c>
      <c r="G3970">
        <v>180772464</v>
      </c>
      <c r="H3970">
        <v>117396268</v>
      </c>
      <c r="I3970">
        <v>85820056</v>
      </c>
      <c r="J3970">
        <v>77281904</v>
      </c>
      <c r="K3970">
        <v>66538686</v>
      </c>
      <c r="L3970">
        <v>81541263</v>
      </c>
      <c r="M3970">
        <v>37999569</v>
      </c>
      <c r="N3970">
        <v>49980884</v>
      </c>
      <c r="O3970">
        <v>93593762</v>
      </c>
      <c r="P3970">
        <v>107</v>
      </c>
      <c r="Q3970" t="s">
        <v>8285</v>
      </c>
    </row>
    <row r="3971" spans="1:17" x14ac:dyDescent="0.3">
      <c r="A3971" t="s">
        <v>4664</v>
      </c>
      <c r="B3971" t="str">
        <f>"300215"</f>
        <v>300215</v>
      </c>
      <c r="C3971" t="s">
        <v>8286</v>
      </c>
      <c r="D3971" t="s">
        <v>2499</v>
      </c>
      <c r="F3971">
        <v>145359931</v>
      </c>
      <c r="G3971">
        <v>57757423</v>
      </c>
      <c r="H3971">
        <v>116949931</v>
      </c>
      <c r="I3971">
        <v>91830742</v>
      </c>
      <c r="J3971">
        <v>89272244</v>
      </c>
      <c r="K3971">
        <v>49520407</v>
      </c>
      <c r="L3971">
        <v>6833252</v>
      </c>
      <c r="M3971">
        <v>59949008</v>
      </c>
      <c r="N3971">
        <v>149096482</v>
      </c>
      <c r="O3971">
        <v>102417512</v>
      </c>
      <c r="P3971">
        <v>178</v>
      </c>
      <c r="Q3971" t="s">
        <v>8287</v>
      </c>
    </row>
    <row r="3972" spans="1:17" x14ac:dyDescent="0.3">
      <c r="A3972" t="s">
        <v>4664</v>
      </c>
      <c r="B3972" t="str">
        <f>"300216"</f>
        <v>300216</v>
      </c>
      <c r="C3972" t="s">
        <v>8288</v>
      </c>
      <c r="H3972">
        <v>-473274584</v>
      </c>
      <c r="I3972">
        <v>-403556147</v>
      </c>
      <c r="J3972">
        <v>-191111933</v>
      </c>
      <c r="K3972">
        <v>18854048</v>
      </c>
      <c r="L3972">
        <v>57296993</v>
      </c>
      <c r="M3972">
        <v>52549810</v>
      </c>
      <c r="N3972">
        <v>44668410</v>
      </c>
      <c r="O3972">
        <v>43100315</v>
      </c>
      <c r="P3972">
        <v>53</v>
      </c>
      <c r="Q3972" t="s">
        <v>8289</v>
      </c>
    </row>
    <row r="3973" spans="1:17" x14ac:dyDescent="0.3">
      <c r="A3973" t="s">
        <v>4664</v>
      </c>
      <c r="B3973" t="str">
        <f>"300217"</f>
        <v>300217</v>
      </c>
      <c r="C3973" t="s">
        <v>8290</v>
      </c>
      <c r="D3973" t="s">
        <v>1253</v>
      </c>
      <c r="F3973">
        <v>81438232</v>
      </c>
      <c r="G3973">
        <v>58106945</v>
      </c>
      <c r="H3973">
        <v>68116227</v>
      </c>
      <c r="I3973">
        <v>132532191</v>
      </c>
      <c r="J3973">
        <v>62963401</v>
      </c>
      <c r="K3973">
        <v>42037719</v>
      </c>
      <c r="L3973">
        <v>66448699</v>
      </c>
      <c r="M3973">
        <v>72033100</v>
      </c>
      <c r="N3973">
        <v>58506422</v>
      </c>
      <c r="O3973">
        <v>82740826</v>
      </c>
      <c r="P3973">
        <v>160</v>
      </c>
      <c r="Q3973" t="s">
        <v>8291</v>
      </c>
    </row>
    <row r="3974" spans="1:17" x14ac:dyDescent="0.3">
      <c r="A3974" t="s">
        <v>4664</v>
      </c>
      <c r="B3974" t="str">
        <f>"300218"</f>
        <v>300218</v>
      </c>
      <c r="C3974" t="s">
        <v>8292</v>
      </c>
      <c r="D3974" t="s">
        <v>1192</v>
      </c>
      <c r="F3974">
        <v>98631520</v>
      </c>
      <c r="G3974">
        <v>17045811</v>
      </c>
      <c r="H3974">
        <v>51114233</v>
      </c>
      <c r="I3974">
        <v>3276910</v>
      </c>
      <c r="J3974">
        <v>-2859915</v>
      </c>
      <c r="K3974">
        <v>48187655</v>
      </c>
      <c r="L3974">
        <v>44002998</v>
      </c>
      <c r="M3974">
        <v>45660245</v>
      </c>
      <c r="N3974">
        <v>55652581</v>
      </c>
      <c r="O3974">
        <v>39700740</v>
      </c>
      <c r="P3974">
        <v>108</v>
      </c>
      <c r="Q3974" t="s">
        <v>8293</v>
      </c>
    </row>
    <row r="3975" spans="1:17" x14ac:dyDescent="0.3">
      <c r="A3975" t="s">
        <v>4664</v>
      </c>
      <c r="B3975" t="str">
        <f>"300219"</f>
        <v>300219</v>
      </c>
      <c r="C3975" t="s">
        <v>8294</v>
      </c>
      <c r="D3975" t="s">
        <v>803</v>
      </c>
      <c r="F3975">
        <v>216525524</v>
      </c>
      <c r="G3975">
        <v>63246130</v>
      </c>
      <c r="H3975">
        <v>-723264238</v>
      </c>
      <c r="I3975">
        <v>352669075</v>
      </c>
      <c r="J3975">
        <v>259621182</v>
      </c>
      <c r="K3975">
        <v>193325287</v>
      </c>
      <c r="L3975">
        <v>103267213</v>
      </c>
      <c r="M3975">
        <v>54862478</v>
      </c>
      <c r="N3975">
        <v>36504800</v>
      </c>
      <c r="O3975">
        <v>45235273</v>
      </c>
      <c r="P3975">
        <v>135</v>
      </c>
      <c r="Q3975" t="s">
        <v>8295</v>
      </c>
    </row>
    <row r="3976" spans="1:17" x14ac:dyDescent="0.3">
      <c r="A3976" t="s">
        <v>4664</v>
      </c>
      <c r="B3976" t="str">
        <f>"300220"</f>
        <v>300220</v>
      </c>
      <c r="C3976" t="s">
        <v>8296</v>
      </c>
      <c r="D3976" t="s">
        <v>3784</v>
      </c>
      <c r="F3976">
        <v>-18784367</v>
      </c>
      <c r="G3976">
        <v>-2058573</v>
      </c>
      <c r="H3976">
        <v>16091199</v>
      </c>
      <c r="I3976">
        <v>9759937</v>
      </c>
      <c r="J3976">
        <v>14128346</v>
      </c>
      <c r="K3976">
        <v>7402764</v>
      </c>
      <c r="L3976">
        <v>5718145</v>
      </c>
      <c r="M3976">
        <v>9715259</v>
      </c>
      <c r="N3976">
        <v>9758155</v>
      </c>
      <c r="O3976">
        <v>14257307</v>
      </c>
      <c r="P3976">
        <v>91</v>
      </c>
      <c r="Q3976" t="s">
        <v>8297</v>
      </c>
    </row>
    <row r="3977" spans="1:17" x14ac:dyDescent="0.3">
      <c r="A3977" t="s">
        <v>4664</v>
      </c>
      <c r="B3977" t="str">
        <f>"300221"</f>
        <v>300221</v>
      </c>
      <c r="C3977" t="s">
        <v>8298</v>
      </c>
      <c r="D3977" t="s">
        <v>341</v>
      </c>
      <c r="F3977">
        <v>68995130</v>
      </c>
      <c r="G3977">
        <v>74997798</v>
      </c>
      <c r="H3977">
        <v>37979806</v>
      </c>
      <c r="I3977">
        <v>30589753</v>
      </c>
      <c r="J3977">
        <v>153082483</v>
      </c>
      <c r="K3977">
        <v>148262470</v>
      </c>
      <c r="L3977">
        <v>34002916</v>
      </c>
      <c r="M3977">
        <v>19527901</v>
      </c>
      <c r="N3977">
        <v>11800784</v>
      </c>
      <c r="O3977">
        <v>34397804</v>
      </c>
      <c r="P3977">
        <v>173</v>
      </c>
      <c r="Q3977" t="s">
        <v>8299</v>
      </c>
    </row>
    <row r="3978" spans="1:17" x14ac:dyDescent="0.3">
      <c r="A3978" t="s">
        <v>4664</v>
      </c>
      <c r="B3978" t="str">
        <f>"300222"</f>
        <v>300222</v>
      </c>
      <c r="C3978" t="s">
        <v>8300</v>
      </c>
      <c r="D3978" t="s">
        <v>610</v>
      </c>
      <c r="F3978">
        <v>131157293</v>
      </c>
      <c r="G3978">
        <v>41059956</v>
      </c>
      <c r="H3978">
        <v>4583085</v>
      </c>
      <c r="I3978">
        <v>223616458</v>
      </c>
      <c r="J3978">
        <v>198577291</v>
      </c>
      <c r="K3978">
        <v>168385056</v>
      </c>
      <c r="L3978">
        <v>86597562</v>
      </c>
      <c r="M3978">
        <v>42064880</v>
      </c>
      <c r="N3978">
        <v>6472921</v>
      </c>
      <c r="O3978">
        <v>22701944</v>
      </c>
      <c r="P3978">
        <v>221</v>
      </c>
      <c r="Q3978" t="s">
        <v>8301</v>
      </c>
    </row>
    <row r="3979" spans="1:17" x14ac:dyDescent="0.3">
      <c r="A3979" t="s">
        <v>4664</v>
      </c>
      <c r="B3979" t="str">
        <f>"300223"</f>
        <v>300223</v>
      </c>
      <c r="C3979" t="s">
        <v>8302</v>
      </c>
      <c r="D3979" t="s">
        <v>461</v>
      </c>
      <c r="F3979">
        <v>635301609</v>
      </c>
      <c r="G3979">
        <v>22420910</v>
      </c>
      <c r="H3979">
        <v>64918102</v>
      </c>
      <c r="I3979">
        <v>20793742</v>
      </c>
      <c r="J3979">
        <v>6879569</v>
      </c>
      <c r="K3979">
        <v>8145254</v>
      </c>
      <c r="L3979">
        <v>38720734</v>
      </c>
      <c r="M3979">
        <v>-1292323</v>
      </c>
      <c r="N3979">
        <v>20415637</v>
      </c>
      <c r="O3979">
        <v>40445401</v>
      </c>
      <c r="P3979">
        <v>612</v>
      </c>
      <c r="Q3979" t="s">
        <v>8303</v>
      </c>
    </row>
    <row r="3980" spans="1:17" x14ac:dyDescent="0.3">
      <c r="A3980" t="s">
        <v>4664</v>
      </c>
      <c r="B3980" t="str">
        <f>"300224"</f>
        <v>300224</v>
      </c>
      <c r="C3980" t="s">
        <v>8304</v>
      </c>
      <c r="D3980" t="s">
        <v>808</v>
      </c>
      <c r="F3980">
        <v>183562648</v>
      </c>
      <c r="G3980">
        <v>97246388</v>
      </c>
      <c r="H3980">
        <v>83999818</v>
      </c>
      <c r="I3980">
        <v>57547422</v>
      </c>
      <c r="J3980">
        <v>3500884</v>
      </c>
      <c r="K3980">
        <v>112291862</v>
      </c>
      <c r="L3980">
        <v>141620296</v>
      </c>
      <c r="M3980">
        <v>88128392</v>
      </c>
      <c r="N3980">
        <v>63595468</v>
      </c>
      <c r="O3980">
        <v>134116648</v>
      </c>
      <c r="P3980">
        <v>198</v>
      </c>
      <c r="Q3980" t="s">
        <v>8305</v>
      </c>
    </row>
    <row r="3981" spans="1:17" x14ac:dyDescent="0.3">
      <c r="A3981" t="s">
        <v>4664</v>
      </c>
      <c r="B3981" t="str">
        <f>"300225"</f>
        <v>300225</v>
      </c>
      <c r="C3981" t="s">
        <v>8306</v>
      </c>
      <c r="D3981" t="s">
        <v>2570</v>
      </c>
      <c r="F3981">
        <v>-59160569</v>
      </c>
      <c r="G3981">
        <v>65606060</v>
      </c>
      <c r="H3981">
        <v>25667886</v>
      </c>
      <c r="I3981">
        <v>7640085</v>
      </c>
      <c r="J3981">
        <v>36511987</v>
      </c>
      <c r="K3981">
        <v>49712507</v>
      </c>
      <c r="L3981">
        <v>46245447</v>
      </c>
      <c r="M3981">
        <v>63898543</v>
      </c>
      <c r="N3981">
        <v>58192304</v>
      </c>
      <c r="O3981">
        <v>42894117</v>
      </c>
      <c r="P3981">
        <v>94</v>
      </c>
      <c r="Q3981" t="s">
        <v>8307</v>
      </c>
    </row>
    <row r="3982" spans="1:17" x14ac:dyDescent="0.3">
      <c r="A3982" t="s">
        <v>4664</v>
      </c>
      <c r="B3982" t="str">
        <f>"300226"</f>
        <v>300226</v>
      </c>
      <c r="C3982" t="s">
        <v>8308</v>
      </c>
      <c r="D3982" t="s">
        <v>945</v>
      </c>
      <c r="F3982">
        <v>157617887</v>
      </c>
      <c r="G3982">
        <v>149828459</v>
      </c>
      <c r="H3982">
        <v>143385477</v>
      </c>
      <c r="I3982">
        <v>96748268</v>
      </c>
      <c r="J3982">
        <v>33916760</v>
      </c>
      <c r="K3982">
        <v>16017110</v>
      </c>
      <c r="L3982">
        <v>-183995718</v>
      </c>
      <c r="M3982">
        <v>6336989</v>
      </c>
      <c r="N3982">
        <v>16823665</v>
      </c>
      <c r="O3982">
        <v>22342888</v>
      </c>
      <c r="P3982">
        <v>253</v>
      </c>
      <c r="Q3982" t="s">
        <v>8309</v>
      </c>
    </row>
    <row r="3983" spans="1:17" x14ac:dyDescent="0.3">
      <c r="A3983" t="s">
        <v>4664</v>
      </c>
      <c r="B3983" t="str">
        <f>"300227"</f>
        <v>300227</v>
      </c>
      <c r="C3983" t="s">
        <v>8310</v>
      </c>
      <c r="D3983" t="s">
        <v>3784</v>
      </c>
      <c r="F3983">
        <v>88220167</v>
      </c>
      <c r="G3983">
        <v>80533548</v>
      </c>
      <c r="H3983">
        <v>59135547</v>
      </c>
      <c r="I3983">
        <v>61677899</v>
      </c>
      <c r="J3983">
        <v>49370885</v>
      </c>
      <c r="K3983">
        <v>11128669</v>
      </c>
      <c r="L3983">
        <v>38903165</v>
      </c>
      <c r="M3983">
        <v>19316845</v>
      </c>
      <c r="N3983">
        <v>14902706</v>
      </c>
      <c r="O3983">
        <v>14190454</v>
      </c>
      <c r="P3983">
        <v>220</v>
      </c>
      <c r="Q3983" t="s">
        <v>8311</v>
      </c>
    </row>
    <row r="3984" spans="1:17" x14ac:dyDescent="0.3">
      <c r="A3984" t="s">
        <v>4664</v>
      </c>
      <c r="B3984" t="str">
        <f>"300228"</f>
        <v>300228</v>
      </c>
      <c r="C3984" t="s">
        <v>8312</v>
      </c>
      <c r="D3984" t="s">
        <v>274</v>
      </c>
      <c r="F3984">
        <v>38700252</v>
      </c>
      <c r="G3984">
        <v>60315404</v>
      </c>
      <c r="H3984">
        <v>5838835</v>
      </c>
      <c r="I3984">
        <v>-39956694</v>
      </c>
      <c r="J3984">
        <v>50559424</v>
      </c>
      <c r="K3984">
        <v>-107305087</v>
      </c>
      <c r="L3984">
        <v>24668057</v>
      </c>
      <c r="M3984">
        <v>181255060</v>
      </c>
      <c r="N3984">
        <v>165391538</v>
      </c>
      <c r="O3984">
        <v>79697828</v>
      </c>
      <c r="P3984">
        <v>128</v>
      </c>
      <c r="Q3984" t="s">
        <v>8313</v>
      </c>
    </row>
    <row r="3985" spans="1:17" x14ac:dyDescent="0.3">
      <c r="A3985" t="s">
        <v>4664</v>
      </c>
      <c r="B3985" t="str">
        <f>"300229"</f>
        <v>300229</v>
      </c>
      <c r="C3985" t="s">
        <v>8314</v>
      </c>
      <c r="D3985" t="s">
        <v>945</v>
      </c>
      <c r="F3985">
        <v>99293942</v>
      </c>
      <c r="G3985">
        <v>90270414</v>
      </c>
      <c r="H3985">
        <v>62834048</v>
      </c>
      <c r="I3985">
        <v>44597159</v>
      </c>
      <c r="J3985">
        <v>62046219</v>
      </c>
      <c r="K3985">
        <v>42885879</v>
      </c>
      <c r="L3985">
        <v>42739504</v>
      </c>
      <c r="M3985">
        <v>35255561</v>
      </c>
      <c r="N3985">
        <v>36543640</v>
      </c>
      <c r="O3985">
        <v>31696247</v>
      </c>
      <c r="P3985">
        <v>209</v>
      </c>
      <c r="Q3985" t="s">
        <v>8315</v>
      </c>
    </row>
    <row r="3986" spans="1:17" x14ac:dyDescent="0.3">
      <c r="A3986" t="s">
        <v>4664</v>
      </c>
      <c r="B3986" t="str">
        <f>"300230"</f>
        <v>300230</v>
      </c>
      <c r="C3986" t="s">
        <v>8316</v>
      </c>
      <c r="D3986" t="s">
        <v>1192</v>
      </c>
      <c r="F3986">
        <v>158721287</v>
      </c>
      <c r="G3986">
        <v>166905037</v>
      </c>
      <c r="H3986">
        <v>232760207</v>
      </c>
      <c r="I3986">
        <v>353244759</v>
      </c>
      <c r="J3986">
        <v>218105132</v>
      </c>
      <c r="K3986">
        <v>93770095</v>
      </c>
      <c r="L3986">
        <v>65227641</v>
      </c>
      <c r="M3986">
        <v>39657445</v>
      </c>
      <c r="N3986">
        <v>37749721</v>
      </c>
      <c r="O3986">
        <v>35342322</v>
      </c>
      <c r="P3986">
        <v>169</v>
      </c>
      <c r="Q3986" t="s">
        <v>8317</v>
      </c>
    </row>
    <row r="3987" spans="1:17" x14ac:dyDescent="0.3">
      <c r="A3987" t="s">
        <v>4664</v>
      </c>
      <c r="B3987" t="str">
        <f>"300231"</f>
        <v>300231</v>
      </c>
      <c r="C3987" t="s">
        <v>8318</v>
      </c>
      <c r="D3987" t="s">
        <v>316</v>
      </c>
      <c r="F3987">
        <v>143890326</v>
      </c>
      <c r="G3987">
        <v>137495091</v>
      </c>
      <c r="H3987">
        <v>115572676</v>
      </c>
      <c r="I3987">
        <v>100259302</v>
      </c>
      <c r="J3987">
        <v>89754276</v>
      </c>
      <c r="K3987">
        <v>88692800</v>
      </c>
      <c r="L3987">
        <v>60175755</v>
      </c>
      <c r="M3987">
        <v>41182242</v>
      </c>
      <c r="N3987">
        <v>31895880</v>
      </c>
      <c r="O3987">
        <v>27250961</v>
      </c>
      <c r="P3987">
        <v>264</v>
      </c>
      <c r="Q3987" t="s">
        <v>8319</v>
      </c>
    </row>
    <row r="3988" spans="1:17" x14ac:dyDescent="0.3">
      <c r="A3988" t="s">
        <v>4664</v>
      </c>
      <c r="B3988" t="str">
        <f>"300232"</f>
        <v>300232</v>
      </c>
      <c r="C3988" t="s">
        <v>8320</v>
      </c>
      <c r="D3988" t="s">
        <v>803</v>
      </c>
      <c r="F3988">
        <v>207309198</v>
      </c>
      <c r="G3988">
        <v>154027420</v>
      </c>
      <c r="H3988">
        <v>402848227</v>
      </c>
      <c r="I3988">
        <v>323591544</v>
      </c>
      <c r="J3988">
        <v>214830526</v>
      </c>
      <c r="K3988">
        <v>128514008</v>
      </c>
      <c r="L3988">
        <v>95537503</v>
      </c>
      <c r="M3988">
        <v>41778768</v>
      </c>
      <c r="N3988">
        <v>26029442</v>
      </c>
      <c r="O3988">
        <v>18329385</v>
      </c>
      <c r="P3988">
        <v>922</v>
      </c>
      <c r="Q3988" t="s">
        <v>8321</v>
      </c>
    </row>
    <row r="3989" spans="1:17" x14ac:dyDescent="0.3">
      <c r="A3989" t="s">
        <v>4664</v>
      </c>
      <c r="B3989" t="str">
        <f>"300233"</f>
        <v>300233</v>
      </c>
      <c r="C3989" t="s">
        <v>8322</v>
      </c>
      <c r="D3989" t="s">
        <v>143</v>
      </c>
      <c r="F3989">
        <v>120339441</v>
      </c>
      <c r="G3989">
        <v>207683730</v>
      </c>
      <c r="H3989">
        <v>434902726</v>
      </c>
      <c r="I3989">
        <v>235010442</v>
      </c>
      <c r="J3989">
        <v>176769696</v>
      </c>
      <c r="K3989">
        <v>98597913</v>
      </c>
      <c r="L3989">
        <v>127863729</v>
      </c>
      <c r="M3989">
        <v>76198615</v>
      </c>
      <c r="N3989">
        <v>41015513</v>
      </c>
      <c r="O3989">
        <v>26989152</v>
      </c>
      <c r="P3989">
        <v>202</v>
      </c>
      <c r="Q3989" t="s">
        <v>8323</v>
      </c>
    </row>
    <row r="3990" spans="1:17" x14ac:dyDescent="0.3">
      <c r="A3990" t="s">
        <v>4664</v>
      </c>
      <c r="B3990" t="str">
        <f>"300234"</f>
        <v>300234</v>
      </c>
      <c r="C3990" t="s">
        <v>8324</v>
      </c>
      <c r="D3990" t="s">
        <v>722</v>
      </c>
      <c r="F3990">
        <v>48539940</v>
      </c>
      <c r="G3990">
        <v>64692882</v>
      </c>
      <c r="H3990">
        <v>58883376</v>
      </c>
      <c r="I3990">
        <v>-2145584</v>
      </c>
      <c r="J3990">
        <v>1992218</v>
      </c>
      <c r="K3990">
        <v>25416155</v>
      </c>
      <c r="L3990">
        <v>65349012</v>
      </c>
      <c r="M3990">
        <v>85340491</v>
      </c>
      <c r="N3990">
        <v>32417034</v>
      </c>
      <c r="O3990">
        <v>22002403</v>
      </c>
      <c r="P3990">
        <v>111</v>
      </c>
      <c r="Q3990" t="s">
        <v>8325</v>
      </c>
    </row>
    <row r="3991" spans="1:17" x14ac:dyDescent="0.3">
      <c r="A3991" t="s">
        <v>4664</v>
      </c>
      <c r="B3991" t="str">
        <f>"300235"</f>
        <v>300235</v>
      </c>
      <c r="C3991" t="s">
        <v>8326</v>
      </c>
      <c r="D3991" t="s">
        <v>945</v>
      </c>
      <c r="F3991">
        <v>25376143</v>
      </c>
      <c r="G3991">
        <v>38017140</v>
      </c>
      <c r="H3991">
        <v>39401127</v>
      </c>
      <c r="I3991">
        <v>20928162</v>
      </c>
      <c r="J3991">
        <v>11751294</v>
      </c>
      <c r="K3991">
        <v>18174994</v>
      </c>
      <c r="L3991">
        <v>23397951</v>
      </c>
      <c r="M3991">
        <v>24056729</v>
      </c>
      <c r="N3991">
        <v>23565457</v>
      </c>
      <c r="O3991">
        <v>19105971</v>
      </c>
      <c r="P3991">
        <v>114</v>
      </c>
      <c r="Q3991" t="s">
        <v>8327</v>
      </c>
    </row>
    <row r="3992" spans="1:17" x14ac:dyDescent="0.3">
      <c r="A3992" t="s">
        <v>4664</v>
      </c>
      <c r="B3992" t="str">
        <f>"300236"</f>
        <v>300236</v>
      </c>
      <c r="C3992" t="s">
        <v>8328</v>
      </c>
      <c r="D3992" t="s">
        <v>2399</v>
      </c>
      <c r="F3992">
        <v>84924212</v>
      </c>
      <c r="G3992">
        <v>176874206</v>
      </c>
      <c r="H3992">
        <v>289557569</v>
      </c>
      <c r="I3992">
        <v>-2546873</v>
      </c>
      <c r="J3992">
        <v>57230686</v>
      </c>
      <c r="K3992">
        <v>42281752</v>
      </c>
      <c r="L3992">
        <v>37852336</v>
      </c>
      <c r="M3992">
        <v>48130207</v>
      </c>
      <c r="N3992">
        <v>21916206</v>
      </c>
      <c r="O3992">
        <v>27512264</v>
      </c>
      <c r="P3992">
        <v>413</v>
      </c>
      <c r="Q3992" t="s">
        <v>8329</v>
      </c>
    </row>
    <row r="3993" spans="1:17" x14ac:dyDescent="0.3">
      <c r="A3993" t="s">
        <v>4664</v>
      </c>
      <c r="B3993" t="str">
        <f>"300237"</f>
        <v>300237</v>
      </c>
      <c r="C3993" t="s">
        <v>8330</v>
      </c>
      <c r="D3993" t="s">
        <v>2408</v>
      </c>
      <c r="F3993">
        <v>-160475372</v>
      </c>
      <c r="G3993">
        <v>4336461</v>
      </c>
      <c r="H3993">
        <v>129443156</v>
      </c>
      <c r="I3993">
        <v>386926889</v>
      </c>
      <c r="J3993">
        <v>366928178</v>
      </c>
      <c r="K3993">
        <v>242615225</v>
      </c>
      <c r="L3993">
        <v>100982506</v>
      </c>
      <c r="M3993">
        <v>37679759</v>
      </c>
      <c r="N3993">
        <v>26937792</v>
      </c>
      <c r="O3993">
        <v>20702461</v>
      </c>
      <c r="P3993">
        <v>315</v>
      </c>
      <c r="Q3993" t="s">
        <v>8331</v>
      </c>
    </row>
    <row r="3994" spans="1:17" x14ac:dyDescent="0.3">
      <c r="A3994" t="s">
        <v>4664</v>
      </c>
      <c r="B3994" t="str">
        <f>"300238"</f>
        <v>300238</v>
      </c>
      <c r="C3994" t="s">
        <v>8332</v>
      </c>
      <c r="D3994" t="s">
        <v>1077</v>
      </c>
      <c r="F3994">
        <v>59778770</v>
      </c>
      <c r="G3994">
        <v>36860813</v>
      </c>
      <c r="H3994">
        <v>14039688</v>
      </c>
      <c r="I3994">
        <v>25267437</v>
      </c>
      <c r="J3994">
        <v>50256069</v>
      </c>
      <c r="K3994">
        <v>30747919</v>
      </c>
      <c r="L3994">
        <v>31061735</v>
      </c>
      <c r="M3994">
        <v>28417350</v>
      </c>
      <c r="N3994">
        <v>24499995</v>
      </c>
      <c r="O3994">
        <v>27394983</v>
      </c>
      <c r="P3994">
        <v>195</v>
      </c>
      <c r="Q3994" t="s">
        <v>8333</v>
      </c>
    </row>
    <row r="3995" spans="1:17" x14ac:dyDescent="0.3">
      <c r="A3995" t="s">
        <v>4664</v>
      </c>
      <c r="B3995" t="str">
        <f>"300239"</f>
        <v>300239</v>
      </c>
      <c r="C3995" t="s">
        <v>8334</v>
      </c>
      <c r="D3995" t="s">
        <v>1379</v>
      </c>
      <c r="F3995">
        <v>13744661</v>
      </c>
      <c r="G3995">
        <v>10548261</v>
      </c>
      <c r="H3995">
        <v>25872173</v>
      </c>
      <c r="I3995">
        <v>22784781</v>
      </c>
      <c r="J3995">
        <v>15577187</v>
      </c>
      <c r="K3995">
        <v>13043307</v>
      </c>
      <c r="L3995">
        <v>5221669</v>
      </c>
      <c r="M3995">
        <v>3189408</v>
      </c>
      <c r="N3995">
        <v>33792622</v>
      </c>
      <c r="O3995">
        <v>23470004</v>
      </c>
      <c r="P3995">
        <v>107</v>
      </c>
      <c r="Q3995" t="s">
        <v>8335</v>
      </c>
    </row>
    <row r="3996" spans="1:17" x14ac:dyDescent="0.3">
      <c r="A3996" t="s">
        <v>4664</v>
      </c>
      <c r="B3996" t="str">
        <f>"300240"</f>
        <v>300240</v>
      </c>
      <c r="C3996" t="s">
        <v>8336</v>
      </c>
      <c r="D3996" t="s">
        <v>3098</v>
      </c>
      <c r="F3996">
        <v>162365397</v>
      </c>
      <c r="G3996">
        <v>20847368</v>
      </c>
      <c r="H3996">
        <v>24314928</v>
      </c>
      <c r="I3996">
        <v>39195084</v>
      </c>
      <c r="J3996">
        <v>64566473</v>
      </c>
      <c r="K3996">
        <v>61884059</v>
      </c>
      <c r="L3996">
        <v>36388504</v>
      </c>
      <c r="M3996">
        <v>32273021</v>
      </c>
      <c r="N3996">
        <v>44675363</v>
      </c>
      <c r="O3996">
        <v>73153957</v>
      </c>
      <c r="P3996">
        <v>67</v>
      </c>
      <c r="Q3996" t="s">
        <v>8337</v>
      </c>
    </row>
    <row r="3997" spans="1:17" x14ac:dyDescent="0.3">
      <c r="A3997" t="s">
        <v>4664</v>
      </c>
      <c r="B3997" t="str">
        <f>"300241"</f>
        <v>300241</v>
      </c>
      <c r="C3997" t="s">
        <v>8338</v>
      </c>
      <c r="D3997" t="s">
        <v>803</v>
      </c>
      <c r="F3997">
        <v>50602463</v>
      </c>
      <c r="G3997">
        <v>42062472</v>
      </c>
      <c r="H3997">
        <v>33472180</v>
      </c>
      <c r="I3997">
        <v>100048692</v>
      </c>
      <c r="J3997">
        <v>86476252</v>
      </c>
      <c r="K3997">
        <v>47945006</v>
      </c>
      <c r="L3997">
        <v>27625088</v>
      </c>
      <c r="M3997">
        <v>40182845</v>
      </c>
      <c r="N3997">
        <v>45413243</v>
      </c>
      <c r="O3997">
        <v>36207613</v>
      </c>
      <c r="P3997">
        <v>170</v>
      </c>
      <c r="Q3997" t="s">
        <v>8339</v>
      </c>
    </row>
    <row r="3998" spans="1:17" x14ac:dyDescent="0.3">
      <c r="A3998" t="s">
        <v>4664</v>
      </c>
      <c r="B3998" t="str">
        <f>"300242"</f>
        <v>300242</v>
      </c>
      <c r="C3998" t="s">
        <v>8340</v>
      </c>
      <c r="D3998" t="s">
        <v>207</v>
      </c>
      <c r="F3998">
        <v>33948973</v>
      </c>
      <c r="G3998">
        <v>7143385</v>
      </c>
      <c r="H3998">
        <v>23094793</v>
      </c>
      <c r="I3998">
        <v>33190388</v>
      </c>
      <c r="J3998">
        <v>153817575</v>
      </c>
      <c r="K3998">
        <v>147493614</v>
      </c>
      <c r="L3998">
        <v>17431078</v>
      </c>
      <c r="M3998">
        <v>1802526</v>
      </c>
      <c r="N3998">
        <v>-17706776</v>
      </c>
      <c r="O3998">
        <v>4233752</v>
      </c>
      <c r="P3998">
        <v>95</v>
      </c>
      <c r="Q3998" t="s">
        <v>8341</v>
      </c>
    </row>
    <row r="3999" spans="1:17" x14ac:dyDescent="0.3">
      <c r="A3999" t="s">
        <v>4664</v>
      </c>
      <c r="B3999" t="str">
        <f>"300243"</f>
        <v>300243</v>
      </c>
      <c r="C3999" t="s">
        <v>8342</v>
      </c>
      <c r="D3999" t="s">
        <v>1192</v>
      </c>
      <c r="F3999">
        <v>87486313</v>
      </c>
      <c r="G3999">
        <v>60452395</v>
      </c>
      <c r="H3999">
        <v>57735102</v>
      </c>
      <c r="I3999">
        <v>80983544</v>
      </c>
      <c r="J3999">
        <v>22827756</v>
      </c>
      <c r="K3999">
        <v>22706355</v>
      </c>
      <c r="L3999">
        <v>33366083</v>
      </c>
      <c r="M3999">
        <v>27958726</v>
      </c>
      <c r="N3999">
        <v>23921660</v>
      </c>
      <c r="O3999">
        <v>30656601</v>
      </c>
      <c r="P3999">
        <v>103</v>
      </c>
      <c r="Q3999" t="s">
        <v>8343</v>
      </c>
    </row>
    <row r="4000" spans="1:17" x14ac:dyDescent="0.3">
      <c r="A4000" t="s">
        <v>4664</v>
      </c>
      <c r="B4000" t="str">
        <f>"300244"</f>
        <v>300244</v>
      </c>
      <c r="C4000" t="s">
        <v>8344</v>
      </c>
      <c r="D4000" t="s">
        <v>2565</v>
      </c>
      <c r="F4000">
        <v>1232732701</v>
      </c>
      <c r="G4000">
        <v>899354586</v>
      </c>
      <c r="H4000">
        <v>351738497</v>
      </c>
      <c r="I4000">
        <v>291983424</v>
      </c>
      <c r="J4000">
        <v>249893504</v>
      </c>
      <c r="K4000">
        <v>188132107</v>
      </c>
      <c r="L4000">
        <v>124958979</v>
      </c>
      <c r="M4000">
        <v>88880265</v>
      </c>
      <c r="N4000">
        <v>61785422</v>
      </c>
      <c r="O4000">
        <v>41750066</v>
      </c>
      <c r="P4000">
        <v>1268</v>
      </c>
      <c r="Q4000" t="s">
        <v>8345</v>
      </c>
    </row>
    <row r="4001" spans="1:17" x14ac:dyDescent="0.3">
      <c r="A4001" t="s">
        <v>4664</v>
      </c>
      <c r="B4001" t="str">
        <f>"300245"</f>
        <v>300245</v>
      </c>
      <c r="C4001" t="s">
        <v>8346</v>
      </c>
      <c r="D4001" t="s">
        <v>316</v>
      </c>
      <c r="F4001">
        <v>18528703</v>
      </c>
      <c r="G4001">
        <v>21903694</v>
      </c>
      <c r="H4001">
        <v>29099283</v>
      </c>
      <c r="I4001">
        <v>50060255</v>
      </c>
      <c r="J4001">
        <v>51895225</v>
      </c>
      <c r="K4001">
        <v>49915252</v>
      </c>
      <c r="L4001">
        <v>35849658</v>
      </c>
      <c r="M4001">
        <v>41513271</v>
      </c>
      <c r="N4001">
        <v>37302069</v>
      </c>
      <c r="O4001">
        <v>31997385</v>
      </c>
      <c r="P4001">
        <v>128</v>
      </c>
      <c r="Q4001" t="s">
        <v>8347</v>
      </c>
    </row>
    <row r="4002" spans="1:17" x14ac:dyDescent="0.3">
      <c r="A4002" t="s">
        <v>4664</v>
      </c>
      <c r="B4002" t="str">
        <f>"300246"</f>
        <v>300246</v>
      </c>
      <c r="C4002" t="s">
        <v>8348</v>
      </c>
      <c r="D4002" t="s">
        <v>122</v>
      </c>
      <c r="F4002">
        <v>69395742</v>
      </c>
      <c r="G4002">
        <v>314873259</v>
      </c>
      <c r="H4002">
        <v>55457577</v>
      </c>
      <c r="I4002">
        <v>49834383</v>
      </c>
      <c r="J4002">
        <v>56055621</v>
      </c>
      <c r="K4002">
        <v>51124808</v>
      </c>
      <c r="L4002">
        <v>25960507</v>
      </c>
      <c r="M4002">
        <v>22521744</v>
      </c>
      <c r="N4002">
        <v>26018712</v>
      </c>
      <c r="O4002">
        <v>24777621</v>
      </c>
      <c r="P4002">
        <v>511</v>
      </c>
      <c r="Q4002" t="s">
        <v>8349</v>
      </c>
    </row>
    <row r="4003" spans="1:17" x14ac:dyDescent="0.3">
      <c r="A4003" t="s">
        <v>4664</v>
      </c>
      <c r="B4003" t="str">
        <f>"300247"</f>
        <v>300247</v>
      </c>
      <c r="C4003" t="s">
        <v>8350</v>
      </c>
      <c r="D4003" t="s">
        <v>3015</v>
      </c>
      <c r="F4003">
        <v>30252953</v>
      </c>
      <c r="G4003">
        <v>-34064268</v>
      </c>
      <c r="H4003">
        <v>-15054998</v>
      </c>
      <c r="I4003">
        <v>45490852</v>
      </c>
      <c r="J4003">
        <v>50190927</v>
      </c>
      <c r="K4003">
        <v>32987944</v>
      </c>
      <c r="L4003">
        <v>13290871</v>
      </c>
      <c r="M4003">
        <v>11448597</v>
      </c>
      <c r="N4003">
        <v>10807898</v>
      </c>
      <c r="O4003">
        <v>12469205</v>
      </c>
      <c r="P4003">
        <v>107</v>
      </c>
      <c r="Q4003" t="s">
        <v>8351</v>
      </c>
    </row>
    <row r="4004" spans="1:17" x14ac:dyDescent="0.3">
      <c r="A4004" t="s">
        <v>4664</v>
      </c>
      <c r="B4004" t="str">
        <f>"300248"</f>
        <v>300248</v>
      </c>
      <c r="C4004" t="s">
        <v>8352</v>
      </c>
      <c r="D4004" t="s">
        <v>236</v>
      </c>
      <c r="F4004">
        <v>32395315</v>
      </c>
      <c r="G4004">
        <v>68182205</v>
      </c>
      <c r="H4004">
        <v>53477656</v>
      </c>
      <c r="I4004">
        <v>19346026</v>
      </c>
      <c r="J4004">
        <v>46242372</v>
      </c>
      <c r="K4004">
        <v>30959997</v>
      </c>
      <c r="L4004">
        <v>23276139</v>
      </c>
      <c r="M4004">
        <v>18319689</v>
      </c>
      <c r="N4004">
        <v>8730862</v>
      </c>
      <c r="O4004">
        <v>24473577</v>
      </c>
      <c r="P4004">
        <v>209</v>
      </c>
      <c r="Q4004" t="s">
        <v>8353</v>
      </c>
    </row>
    <row r="4005" spans="1:17" x14ac:dyDescent="0.3">
      <c r="A4005" t="s">
        <v>4664</v>
      </c>
      <c r="B4005" t="str">
        <f>"300249"</f>
        <v>300249</v>
      </c>
      <c r="C4005" t="s">
        <v>8354</v>
      </c>
      <c r="D4005" t="s">
        <v>236</v>
      </c>
      <c r="F4005">
        <v>31245306</v>
      </c>
      <c r="G4005">
        <v>-65032932</v>
      </c>
      <c r="H4005">
        <v>24244954</v>
      </c>
      <c r="I4005">
        <v>60151095</v>
      </c>
      <c r="J4005">
        <v>36270189</v>
      </c>
      <c r="K4005">
        <v>21773643</v>
      </c>
      <c r="L4005">
        <v>-9754859</v>
      </c>
      <c r="M4005">
        <v>4913182</v>
      </c>
      <c r="N4005">
        <v>8080069</v>
      </c>
      <c r="O4005">
        <v>20191863</v>
      </c>
      <c r="P4005">
        <v>195</v>
      </c>
      <c r="Q4005" t="s">
        <v>8355</v>
      </c>
    </row>
    <row r="4006" spans="1:17" x14ac:dyDescent="0.3">
      <c r="A4006" t="s">
        <v>4664</v>
      </c>
      <c r="B4006" t="str">
        <f>"300250"</f>
        <v>300250</v>
      </c>
      <c r="C4006" t="s">
        <v>8356</v>
      </c>
      <c r="D4006" t="s">
        <v>316</v>
      </c>
      <c r="F4006">
        <v>38490210</v>
      </c>
      <c r="G4006">
        <v>16489455</v>
      </c>
      <c r="H4006">
        <v>43010745</v>
      </c>
      <c r="I4006">
        <v>59052864</v>
      </c>
      <c r="J4006">
        <v>52682025</v>
      </c>
      <c r="K4006">
        <v>74348000</v>
      </c>
      <c r="L4006">
        <v>23732804</v>
      </c>
      <c r="M4006">
        <v>20460158</v>
      </c>
      <c r="N4006">
        <v>21995348</v>
      </c>
      <c r="O4006">
        <v>19166135</v>
      </c>
      <c r="P4006">
        <v>159</v>
      </c>
      <c r="Q4006" t="s">
        <v>8357</v>
      </c>
    </row>
    <row r="4007" spans="1:17" x14ac:dyDescent="0.3">
      <c r="A4007" t="s">
        <v>4664</v>
      </c>
      <c r="B4007" t="str">
        <f>"300251"</f>
        <v>300251</v>
      </c>
      <c r="C4007" t="s">
        <v>8358</v>
      </c>
      <c r="D4007" t="s">
        <v>113</v>
      </c>
      <c r="F4007">
        <v>552876027</v>
      </c>
      <c r="G4007">
        <v>63720217</v>
      </c>
      <c r="H4007">
        <v>1109354265</v>
      </c>
      <c r="I4007">
        <v>2285379149</v>
      </c>
      <c r="J4007">
        <v>628375823</v>
      </c>
      <c r="K4007">
        <v>580342621</v>
      </c>
      <c r="L4007">
        <v>183335756</v>
      </c>
      <c r="M4007">
        <v>196597160</v>
      </c>
      <c r="N4007">
        <v>238575996</v>
      </c>
      <c r="O4007">
        <v>136292024</v>
      </c>
      <c r="P4007">
        <v>807</v>
      </c>
      <c r="Q4007" t="s">
        <v>8359</v>
      </c>
    </row>
    <row r="4008" spans="1:17" x14ac:dyDescent="0.3">
      <c r="A4008" t="s">
        <v>4664</v>
      </c>
      <c r="B4008" t="str">
        <f>"300252"</f>
        <v>300252</v>
      </c>
      <c r="C4008" t="s">
        <v>8360</v>
      </c>
      <c r="D4008" t="s">
        <v>1136</v>
      </c>
      <c r="F4008">
        <v>36310239</v>
      </c>
      <c r="G4008">
        <v>29943416</v>
      </c>
      <c r="H4008">
        <v>36890141</v>
      </c>
      <c r="I4008">
        <v>111265631</v>
      </c>
      <c r="J4008">
        <v>121938280</v>
      </c>
      <c r="K4008">
        <v>150493458</v>
      </c>
      <c r="L4008">
        <v>97996525</v>
      </c>
      <c r="M4008">
        <v>65506993</v>
      </c>
      <c r="N4008">
        <v>22413748</v>
      </c>
      <c r="O4008">
        <v>27293298</v>
      </c>
      <c r="P4008">
        <v>217</v>
      </c>
      <c r="Q4008" t="s">
        <v>8361</v>
      </c>
    </row>
    <row r="4009" spans="1:17" x14ac:dyDescent="0.3">
      <c r="A4009" t="s">
        <v>4664</v>
      </c>
      <c r="B4009" t="str">
        <f>"300253"</f>
        <v>300253</v>
      </c>
      <c r="C4009" t="s">
        <v>8362</v>
      </c>
      <c r="D4009" t="s">
        <v>945</v>
      </c>
      <c r="F4009">
        <v>259722370</v>
      </c>
      <c r="G4009">
        <v>203367941</v>
      </c>
      <c r="H4009">
        <v>272939355</v>
      </c>
      <c r="I4009">
        <v>192582230</v>
      </c>
      <c r="J4009">
        <v>133623917</v>
      </c>
      <c r="K4009">
        <v>458965159</v>
      </c>
      <c r="L4009">
        <v>89602620</v>
      </c>
      <c r="M4009">
        <v>68728746</v>
      </c>
      <c r="N4009">
        <v>49263670</v>
      </c>
      <c r="O4009">
        <v>33655298</v>
      </c>
      <c r="P4009">
        <v>935</v>
      </c>
      <c r="Q4009" t="s">
        <v>8363</v>
      </c>
    </row>
    <row r="4010" spans="1:17" x14ac:dyDescent="0.3">
      <c r="A4010" t="s">
        <v>4664</v>
      </c>
      <c r="B4010" t="str">
        <f>"300254"</f>
        <v>300254</v>
      </c>
      <c r="C4010" t="s">
        <v>8364</v>
      </c>
      <c r="D4010" t="s">
        <v>143</v>
      </c>
      <c r="F4010">
        <v>-5387498</v>
      </c>
      <c r="G4010">
        <v>-123727816</v>
      </c>
      <c r="H4010">
        <v>43602810</v>
      </c>
      <c r="I4010">
        <v>21847210</v>
      </c>
      <c r="J4010">
        <v>23982751</v>
      </c>
      <c r="K4010">
        <v>29073897</v>
      </c>
      <c r="L4010">
        <v>30285294</v>
      </c>
      <c r="M4010">
        <v>31367881</v>
      </c>
      <c r="N4010">
        <v>20273034</v>
      </c>
      <c r="O4010">
        <v>17074238</v>
      </c>
      <c r="P4010">
        <v>82</v>
      </c>
      <c r="Q4010" t="s">
        <v>8365</v>
      </c>
    </row>
    <row r="4011" spans="1:17" x14ac:dyDescent="0.3">
      <c r="A4011" t="s">
        <v>4664</v>
      </c>
      <c r="B4011" t="str">
        <f>"300255"</f>
        <v>300255</v>
      </c>
      <c r="C4011" t="s">
        <v>8366</v>
      </c>
      <c r="D4011" t="s">
        <v>143</v>
      </c>
      <c r="F4011">
        <v>207086054</v>
      </c>
      <c r="G4011">
        <v>204621888</v>
      </c>
      <c r="H4011">
        <v>194234607</v>
      </c>
      <c r="I4011">
        <v>160979928</v>
      </c>
      <c r="J4011">
        <v>132838657</v>
      </c>
      <c r="K4011">
        <v>100337502</v>
      </c>
      <c r="L4011">
        <v>86118651</v>
      </c>
      <c r="M4011">
        <v>72547970</v>
      </c>
      <c r="N4011">
        <v>68623541</v>
      </c>
      <c r="O4011">
        <v>58098833</v>
      </c>
      <c r="P4011">
        <v>175</v>
      </c>
      <c r="Q4011" t="s">
        <v>8367</v>
      </c>
    </row>
    <row r="4012" spans="1:17" x14ac:dyDescent="0.3">
      <c r="A4012" t="s">
        <v>4664</v>
      </c>
      <c r="B4012" t="str">
        <f>"300256"</f>
        <v>300256</v>
      </c>
      <c r="C4012" t="s">
        <v>8368</v>
      </c>
      <c r="D4012" t="s">
        <v>313</v>
      </c>
      <c r="F4012">
        <v>-1488665681</v>
      </c>
      <c r="G4012">
        <v>115252536</v>
      </c>
      <c r="H4012">
        <v>22339679</v>
      </c>
      <c r="I4012">
        <v>72007858</v>
      </c>
      <c r="J4012">
        <v>63562095</v>
      </c>
      <c r="K4012">
        <v>90416466</v>
      </c>
      <c r="L4012">
        <v>56918881</v>
      </c>
      <c r="M4012">
        <v>1429322</v>
      </c>
      <c r="N4012">
        <v>-56763120</v>
      </c>
      <c r="O4012">
        <v>11238577</v>
      </c>
      <c r="P4012">
        <v>206</v>
      </c>
      <c r="Q4012" t="s">
        <v>8369</v>
      </c>
    </row>
    <row r="4013" spans="1:17" x14ac:dyDescent="0.3">
      <c r="A4013" t="s">
        <v>4664</v>
      </c>
      <c r="B4013" t="str">
        <f>"300257"</f>
        <v>300257</v>
      </c>
      <c r="C4013" t="s">
        <v>8370</v>
      </c>
      <c r="D4013" t="s">
        <v>560</v>
      </c>
      <c r="F4013">
        <v>229942738</v>
      </c>
      <c r="G4013">
        <v>194174848</v>
      </c>
      <c r="H4013">
        <v>91443986</v>
      </c>
      <c r="I4013">
        <v>90269012</v>
      </c>
      <c r="J4013">
        <v>64338104</v>
      </c>
      <c r="K4013">
        <v>75494949</v>
      </c>
      <c r="L4013">
        <v>171090296</v>
      </c>
      <c r="M4013">
        <v>282630845</v>
      </c>
      <c r="N4013">
        <v>252113066</v>
      </c>
      <c r="O4013">
        <v>243401711</v>
      </c>
      <c r="P4013">
        <v>147</v>
      </c>
      <c r="Q4013" t="s">
        <v>8371</v>
      </c>
    </row>
    <row r="4014" spans="1:17" x14ac:dyDescent="0.3">
      <c r="A4014" t="s">
        <v>4664</v>
      </c>
      <c r="B4014" t="str">
        <f>"300258"</f>
        <v>300258</v>
      </c>
      <c r="C4014" t="s">
        <v>8372</v>
      </c>
      <c r="D4014" t="s">
        <v>348</v>
      </c>
      <c r="F4014">
        <v>132863531</v>
      </c>
      <c r="G4014">
        <v>103075324</v>
      </c>
      <c r="H4014">
        <v>166275707</v>
      </c>
      <c r="I4014">
        <v>229342097</v>
      </c>
      <c r="J4014">
        <v>182489588</v>
      </c>
      <c r="K4014">
        <v>136751557</v>
      </c>
      <c r="L4014">
        <v>100895156</v>
      </c>
      <c r="M4014">
        <v>90593105</v>
      </c>
      <c r="N4014">
        <v>87656038</v>
      </c>
      <c r="O4014">
        <v>84893657</v>
      </c>
      <c r="P4014">
        <v>330</v>
      </c>
      <c r="Q4014" t="s">
        <v>8373</v>
      </c>
    </row>
    <row r="4015" spans="1:17" x14ac:dyDescent="0.3">
      <c r="A4015" t="s">
        <v>4664</v>
      </c>
      <c r="B4015" t="str">
        <f>"300259"</f>
        <v>300259</v>
      </c>
      <c r="C4015" t="s">
        <v>8374</v>
      </c>
      <c r="D4015" t="s">
        <v>2551</v>
      </c>
      <c r="F4015">
        <v>302183732</v>
      </c>
      <c r="G4015">
        <v>255039150</v>
      </c>
      <c r="H4015">
        <v>166942834</v>
      </c>
      <c r="I4015">
        <v>108516042</v>
      </c>
      <c r="J4015">
        <v>97935948</v>
      </c>
      <c r="K4015">
        <v>68857919</v>
      </c>
      <c r="L4015">
        <v>56923645</v>
      </c>
      <c r="M4015">
        <v>69142791</v>
      </c>
      <c r="N4015">
        <v>68634534</v>
      </c>
      <c r="O4015">
        <v>56058696</v>
      </c>
      <c r="P4015">
        <v>360</v>
      </c>
      <c r="Q4015" t="s">
        <v>8375</v>
      </c>
    </row>
    <row r="4016" spans="1:17" x14ac:dyDescent="0.3">
      <c r="A4016" t="s">
        <v>4664</v>
      </c>
      <c r="B4016" t="str">
        <f>"300260"</f>
        <v>300260</v>
      </c>
      <c r="C4016" t="s">
        <v>8376</v>
      </c>
      <c r="D4016" t="s">
        <v>274</v>
      </c>
      <c r="F4016">
        <v>120593583</v>
      </c>
      <c r="G4016">
        <v>62665144</v>
      </c>
      <c r="H4016">
        <v>47936577</v>
      </c>
      <c r="I4016">
        <v>33259973</v>
      </c>
      <c r="J4016">
        <v>14685323</v>
      </c>
      <c r="K4016">
        <v>6342571</v>
      </c>
      <c r="L4016">
        <v>6049032</v>
      </c>
      <c r="M4016">
        <v>7646098</v>
      </c>
      <c r="N4016">
        <v>12715012</v>
      </c>
      <c r="O4016">
        <v>22283064</v>
      </c>
      <c r="P4016">
        <v>211</v>
      </c>
      <c r="Q4016" t="s">
        <v>8377</v>
      </c>
    </row>
    <row r="4017" spans="1:17" x14ac:dyDescent="0.3">
      <c r="A4017" t="s">
        <v>4664</v>
      </c>
      <c r="B4017" t="str">
        <f>"300261"</f>
        <v>300261</v>
      </c>
      <c r="C4017" t="s">
        <v>8378</v>
      </c>
      <c r="D4017" t="s">
        <v>853</v>
      </c>
      <c r="F4017">
        <v>150752619</v>
      </c>
      <c r="G4017">
        <v>122529265</v>
      </c>
      <c r="H4017">
        <v>50517966</v>
      </c>
      <c r="I4017">
        <v>120045844</v>
      </c>
      <c r="J4017">
        <v>50474731</v>
      </c>
      <c r="K4017">
        <v>21500566</v>
      </c>
      <c r="L4017">
        <v>48040794</v>
      </c>
      <c r="M4017">
        <v>34165684</v>
      </c>
      <c r="N4017">
        <v>31926687</v>
      </c>
      <c r="O4017">
        <v>30406536</v>
      </c>
      <c r="P4017">
        <v>139</v>
      </c>
      <c r="Q4017" t="s">
        <v>8379</v>
      </c>
    </row>
    <row r="4018" spans="1:17" x14ac:dyDescent="0.3">
      <c r="A4018" t="s">
        <v>4664</v>
      </c>
      <c r="B4018" t="str">
        <f>"300262"</f>
        <v>300262</v>
      </c>
      <c r="C4018" t="s">
        <v>8380</v>
      </c>
      <c r="D4018" t="s">
        <v>33</v>
      </c>
      <c r="F4018">
        <v>-78091864</v>
      </c>
      <c r="G4018">
        <v>12820889</v>
      </c>
      <c r="H4018">
        <v>117533609</v>
      </c>
      <c r="I4018">
        <v>156893396</v>
      </c>
      <c r="J4018">
        <v>204814372</v>
      </c>
      <c r="K4018">
        <v>163540268</v>
      </c>
      <c r="L4018">
        <v>87276701</v>
      </c>
      <c r="M4018">
        <v>62739835</v>
      </c>
      <c r="N4018">
        <v>49817807</v>
      </c>
      <c r="O4018">
        <v>32871916</v>
      </c>
      <c r="P4018">
        <v>127</v>
      </c>
      <c r="Q4018" t="s">
        <v>8381</v>
      </c>
    </row>
    <row r="4019" spans="1:17" x14ac:dyDescent="0.3">
      <c r="A4019" t="s">
        <v>4664</v>
      </c>
      <c r="B4019" t="str">
        <f>"300263"</f>
        <v>300263</v>
      </c>
      <c r="C4019" t="s">
        <v>8382</v>
      </c>
      <c r="D4019" t="s">
        <v>560</v>
      </c>
      <c r="F4019">
        <v>202786520</v>
      </c>
      <c r="G4019">
        <v>173164673</v>
      </c>
      <c r="H4019">
        <v>134416237</v>
      </c>
      <c r="I4019">
        <v>90511281</v>
      </c>
      <c r="J4019">
        <v>47120870</v>
      </c>
      <c r="K4019">
        <v>39699524</v>
      </c>
      <c r="L4019">
        <v>98309052</v>
      </c>
      <c r="M4019">
        <v>82106247</v>
      </c>
      <c r="N4019">
        <v>72348119</v>
      </c>
      <c r="O4019">
        <v>48595532</v>
      </c>
      <c r="P4019">
        <v>232</v>
      </c>
      <c r="Q4019" t="s">
        <v>8383</v>
      </c>
    </row>
    <row r="4020" spans="1:17" x14ac:dyDescent="0.3">
      <c r="A4020" t="s">
        <v>4664</v>
      </c>
      <c r="B4020" t="str">
        <f>"300264"</f>
        <v>300264</v>
      </c>
      <c r="C4020" t="s">
        <v>8384</v>
      </c>
      <c r="D4020" t="s">
        <v>316</v>
      </c>
      <c r="F4020">
        <v>-37026944</v>
      </c>
      <c r="G4020">
        <v>-14748500</v>
      </c>
      <c r="H4020">
        <v>-29970172</v>
      </c>
      <c r="I4020">
        <v>-1281049</v>
      </c>
      <c r="J4020">
        <v>-24552319</v>
      </c>
      <c r="K4020">
        <v>-13505353</v>
      </c>
      <c r="L4020">
        <v>-1134128</v>
      </c>
      <c r="M4020">
        <v>3883850</v>
      </c>
      <c r="N4020">
        <v>6011549</v>
      </c>
      <c r="O4020">
        <v>12455128</v>
      </c>
      <c r="P4020">
        <v>132</v>
      </c>
      <c r="Q4020" t="s">
        <v>8385</v>
      </c>
    </row>
    <row r="4021" spans="1:17" x14ac:dyDescent="0.3">
      <c r="A4021" t="s">
        <v>4664</v>
      </c>
      <c r="B4021" t="str">
        <f>"300265"</f>
        <v>300265</v>
      </c>
      <c r="C4021" t="s">
        <v>8386</v>
      </c>
      <c r="D4021" t="s">
        <v>1164</v>
      </c>
      <c r="F4021">
        <v>37426073</v>
      </c>
      <c r="G4021">
        <v>49270637</v>
      </c>
      <c r="H4021">
        <v>34190901</v>
      </c>
      <c r="I4021">
        <v>30745269</v>
      </c>
      <c r="J4021">
        <v>70267954</v>
      </c>
      <c r="K4021">
        <v>89930981</v>
      </c>
      <c r="L4021">
        <v>41598094</v>
      </c>
      <c r="M4021">
        <v>27689563</v>
      </c>
      <c r="N4021">
        <v>37980701</v>
      </c>
      <c r="O4021">
        <v>57744497</v>
      </c>
      <c r="P4021">
        <v>162</v>
      </c>
      <c r="Q4021" t="s">
        <v>8387</v>
      </c>
    </row>
    <row r="4022" spans="1:17" x14ac:dyDescent="0.3">
      <c r="A4022" t="s">
        <v>4664</v>
      </c>
      <c r="B4022" t="str">
        <f>"300266"</f>
        <v>300266</v>
      </c>
      <c r="C4022" t="s">
        <v>8388</v>
      </c>
      <c r="D4022" t="s">
        <v>33</v>
      </c>
      <c r="F4022">
        <v>2206421</v>
      </c>
      <c r="G4022">
        <v>-10737564</v>
      </c>
      <c r="H4022">
        <v>62097466</v>
      </c>
      <c r="I4022">
        <v>129620876</v>
      </c>
      <c r="J4022">
        <v>445481814</v>
      </c>
      <c r="K4022">
        <v>152361137</v>
      </c>
      <c r="L4022">
        <v>62279485</v>
      </c>
      <c r="M4022">
        <v>36291507</v>
      </c>
      <c r="N4022">
        <v>17364136</v>
      </c>
      <c r="O4022">
        <v>28360832</v>
      </c>
      <c r="P4022">
        <v>145</v>
      </c>
      <c r="Q4022" t="s">
        <v>8389</v>
      </c>
    </row>
    <row r="4023" spans="1:17" x14ac:dyDescent="0.3">
      <c r="A4023" t="s">
        <v>4664</v>
      </c>
      <c r="B4023" t="str">
        <f>"300267"</f>
        <v>300267</v>
      </c>
      <c r="C4023" t="s">
        <v>8390</v>
      </c>
      <c r="D4023" t="s">
        <v>496</v>
      </c>
      <c r="F4023">
        <v>156481273</v>
      </c>
      <c r="G4023">
        <v>181395488</v>
      </c>
      <c r="H4023">
        <v>166863624</v>
      </c>
      <c r="I4023">
        <v>297767155</v>
      </c>
      <c r="J4023">
        <v>554824900</v>
      </c>
      <c r="K4023">
        <v>722556532</v>
      </c>
      <c r="L4023">
        <v>426644842</v>
      </c>
      <c r="M4023">
        <v>197651015</v>
      </c>
      <c r="N4023">
        <v>125703047</v>
      </c>
      <c r="O4023">
        <v>118403336</v>
      </c>
      <c r="P4023">
        <v>237</v>
      </c>
      <c r="Q4023" t="s">
        <v>8391</v>
      </c>
    </row>
    <row r="4024" spans="1:17" x14ac:dyDescent="0.3">
      <c r="A4024" t="s">
        <v>4664</v>
      </c>
      <c r="B4024" t="str">
        <f>"300268"</f>
        <v>300268</v>
      </c>
      <c r="C4024" t="s">
        <v>8392</v>
      </c>
      <c r="D4024" t="s">
        <v>445</v>
      </c>
      <c r="F4024">
        <v>-105986146</v>
      </c>
      <c r="G4024">
        <v>-454937513</v>
      </c>
      <c r="H4024">
        <v>-74090585</v>
      </c>
      <c r="I4024">
        <v>821515</v>
      </c>
      <c r="J4024">
        <v>-7743835</v>
      </c>
      <c r="K4024">
        <v>-8147958</v>
      </c>
      <c r="L4024">
        <v>-19372295</v>
      </c>
      <c r="M4024">
        <v>-27186338</v>
      </c>
      <c r="N4024">
        <v>-37755455</v>
      </c>
      <c r="O4024">
        <v>-934123</v>
      </c>
      <c r="P4024">
        <v>87</v>
      </c>
      <c r="Q4024" t="s">
        <v>8393</v>
      </c>
    </row>
    <row r="4025" spans="1:17" x14ac:dyDescent="0.3">
      <c r="A4025" t="s">
        <v>4664</v>
      </c>
      <c r="B4025" t="str">
        <f>"300269"</f>
        <v>300269</v>
      </c>
      <c r="C4025" t="s">
        <v>8394</v>
      </c>
      <c r="D4025" t="s">
        <v>207</v>
      </c>
      <c r="F4025">
        <v>85716537</v>
      </c>
      <c r="G4025">
        <v>-158207580</v>
      </c>
      <c r="H4025">
        <v>17834145</v>
      </c>
      <c r="I4025">
        <v>191783817</v>
      </c>
      <c r="J4025">
        <v>345631152</v>
      </c>
      <c r="K4025">
        <v>258726025</v>
      </c>
      <c r="L4025">
        <v>160601860</v>
      </c>
      <c r="M4025">
        <v>76207513</v>
      </c>
      <c r="N4025">
        <v>18670036</v>
      </c>
      <c r="O4025">
        <v>16703332</v>
      </c>
      <c r="P4025">
        <v>125</v>
      </c>
      <c r="Q4025" t="s">
        <v>8395</v>
      </c>
    </row>
    <row r="4026" spans="1:17" x14ac:dyDescent="0.3">
      <c r="A4026" t="s">
        <v>4664</v>
      </c>
      <c r="B4026" t="str">
        <f>"300270"</f>
        <v>300270</v>
      </c>
      <c r="C4026" t="s">
        <v>8396</v>
      </c>
      <c r="D4026" t="s">
        <v>2953</v>
      </c>
      <c r="F4026">
        <v>-24214208</v>
      </c>
      <c r="G4026">
        <v>-16822452</v>
      </c>
      <c r="H4026">
        <v>-727446</v>
      </c>
      <c r="I4026">
        <v>-9225472</v>
      </c>
      <c r="J4026">
        <v>35173135</v>
      </c>
      <c r="K4026">
        <v>32614374</v>
      </c>
      <c r="L4026">
        <v>27524048</v>
      </c>
      <c r="M4026">
        <v>23873402</v>
      </c>
      <c r="N4026">
        <v>23534345</v>
      </c>
      <c r="O4026">
        <v>44636922</v>
      </c>
      <c r="P4026">
        <v>136</v>
      </c>
      <c r="Q4026" t="s">
        <v>8397</v>
      </c>
    </row>
    <row r="4027" spans="1:17" x14ac:dyDescent="0.3">
      <c r="A4027" t="s">
        <v>4664</v>
      </c>
      <c r="B4027" t="str">
        <f>"300271"</f>
        <v>300271</v>
      </c>
      <c r="C4027" t="s">
        <v>8398</v>
      </c>
      <c r="D4027" t="s">
        <v>316</v>
      </c>
      <c r="F4027">
        <v>240786334</v>
      </c>
      <c r="G4027">
        <v>39173336</v>
      </c>
      <c r="H4027">
        <v>335001754</v>
      </c>
      <c r="I4027">
        <v>305573240</v>
      </c>
      <c r="J4027">
        <v>225938051</v>
      </c>
      <c r="K4027">
        <v>178704506</v>
      </c>
      <c r="L4027">
        <v>136742165</v>
      </c>
      <c r="M4027">
        <v>94217515</v>
      </c>
      <c r="N4027">
        <v>79414571</v>
      </c>
      <c r="O4027">
        <v>65516334</v>
      </c>
      <c r="P4027">
        <v>590</v>
      </c>
      <c r="Q4027" t="s">
        <v>8399</v>
      </c>
    </row>
    <row r="4028" spans="1:17" x14ac:dyDescent="0.3">
      <c r="A4028" t="s">
        <v>4664</v>
      </c>
      <c r="B4028" t="str">
        <f>"300272"</f>
        <v>300272</v>
      </c>
      <c r="C4028" t="s">
        <v>8400</v>
      </c>
      <c r="D4028" t="s">
        <v>5712</v>
      </c>
      <c r="F4028">
        <v>85076951</v>
      </c>
      <c r="G4028">
        <v>70404265</v>
      </c>
      <c r="H4028">
        <v>70270544</v>
      </c>
      <c r="I4028">
        <v>324399313</v>
      </c>
      <c r="J4028">
        <v>61858998</v>
      </c>
      <c r="K4028">
        <v>59951612</v>
      </c>
      <c r="L4028">
        <v>52984327</v>
      </c>
      <c r="M4028">
        <v>45466577</v>
      </c>
      <c r="N4028">
        <v>37973879</v>
      </c>
      <c r="O4028">
        <v>32218419</v>
      </c>
      <c r="P4028">
        <v>131</v>
      </c>
      <c r="Q4028" t="s">
        <v>8401</v>
      </c>
    </row>
    <row r="4029" spans="1:17" x14ac:dyDescent="0.3">
      <c r="A4029" t="s">
        <v>4664</v>
      </c>
      <c r="B4029" t="str">
        <f>"300273"</f>
        <v>300273</v>
      </c>
      <c r="C4029" t="s">
        <v>8402</v>
      </c>
      <c r="D4029" t="s">
        <v>122</v>
      </c>
      <c r="F4029">
        <v>4079464</v>
      </c>
      <c r="G4029">
        <v>80694399</v>
      </c>
      <c r="H4029">
        <v>79549863</v>
      </c>
      <c r="I4029">
        <v>86919370</v>
      </c>
      <c r="J4029">
        <v>74005587</v>
      </c>
      <c r="K4029">
        <v>227634091</v>
      </c>
      <c r="L4029">
        <v>150669489</v>
      </c>
      <c r="M4029">
        <v>183899267</v>
      </c>
      <c r="N4029">
        <v>129216087</v>
      </c>
      <c r="O4029">
        <v>85563157</v>
      </c>
      <c r="P4029">
        <v>143</v>
      </c>
      <c r="Q4029" t="s">
        <v>8403</v>
      </c>
    </row>
    <row r="4030" spans="1:17" x14ac:dyDescent="0.3">
      <c r="A4030" t="s">
        <v>4664</v>
      </c>
      <c r="B4030" t="str">
        <f>"300274"</f>
        <v>300274</v>
      </c>
      <c r="C4030" t="s">
        <v>8404</v>
      </c>
      <c r="D4030" t="s">
        <v>3797</v>
      </c>
      <c r="F4030">
        <v>1504774646</v>
      </c>
      <c r="G4030">
        <v>1195338974</v>
      </c>
      <c r="H4030">
        <v>554394280</v>
      </c>
      <c r="I4030">
        <v>607174043</v>
      </c>
      <c r="J4030">
        <v>751052164</v>
      </c>
      <c r="K4030">
        <v>296935306</v>
      </c>
      <c r="L4030">
        <v>261157780</v>
      </c>
      <c r="M4030">
        <v>124029948</v>
      </c>
      <c r="N4030">
        <v>112765745</v>
      </c>
      <c r="O4030">
        <v>61904419</v>
      </c>
      <c r="P4030">
        <v>2195</v>
      </c>
      <c r="Q4030" t="s">
        <v>8405</v>
      </c>
    </row>
    <row r="4031" spans="1:17" x14ac:dyDescent="0.3">
      <c r="A4031" t="s">
        <v>4664</v>
      </c>
      <c r="B4031" t="str">
        <f>"300275"</f>
        <v>300275</v>
      </c>
      <c r="C4031" t="s">
        <v>8406</v>
      </c>
      <c r="D4031" t="s">
        <v>395</v>
      </c>
      <c r="F4031">
        <v>19008055</v>
      </c>
      <c r="G4031">
        <v>18742029</v>
      </c>
      <c r="H4031">
        <v>18537552</v>
      </c>
      <c r="I4031">
        <v>15064845</v>
      </c>
      <c r="J4031">
        <v>42775709</v>
      </c>
      <c r="K4031">
        <v>-48000509</v>
      </c>
      <c r="L4031">
        <v>-47357948</v>
      </c>
      <c r="M4031">
        <v>35442181</v>
      </c>
      <c r="N4031">
        <v>68323884</v>
      </c>
      <c r="O4031">
        <v>59223201</v>
      </c>
      <c r="P4031">
        <v>89</v>
      </c>
      <c r="Q4031" t="s">
        <v>8407</v>
      </c>
    </row>
    <row r="4032" spans="1:17" x14ac:dyDescent="0.3">
      <c r="A4032" t="s">
        <v>4664</v>
      </c>
      <c r="B4032" t="str">
        <f>"300276"</f>
        <v>300276</v>
      </c>
      <c r="C4032" t="s">
        <v>8408</v>
      </c>
      <c r="D4032" t="s">
        <v>2911</v>
      </c>
      <c r="F4032">
        <v>106369071</v>
      </c>
      <c r="G4032">
        <v>75992728</v>
      </c>
      <c r="H4032">
        <v>184010413</v>
      </c>
      <c r="I4032">
        <v>183114274</v>
      </c>
      <c r="J4032">
        <v>8153156</v>
      </c>
      <c r="K4032">
        <v>6608976</v>
      </c>
      <c r="L4032">
        <v>19032311</v>
      </c>
      <c r="M4032">
        <v>21192909</v>
      </c>
      <c r="N4032">
        <v>21731705</v>
      </c>
      <c r="O4032">
        <v>35522905</v>
      </c>
      <c r="P4032">
        <v>138</v>
      </c>
      <c r="Q4032" t="s">
        <v>8409</v>
      </c>
    </row>
    <row r="4033" spans="1:17" x14ac:dyDescent="0.3">
      <c r="A4033" t="s">
        <v>4664</v>
      </c>
      <c r="B4033" t="str">
        <f>"300277"</f>
        <v>300277</v>
      </c>
      <c r="C4033" t="s">
        <v>8410</v>
      </c>
      <c r="D4033" t="s">
        <v>316</v>
      </c>
      <c r="F4033">
        <v>9337447</v>
      </c>
      <c r="G4033">
        <v>16862706</v>
      </c>
      <c r="H4033">
        <v>10627587</v>
      </c>
      <c r="I4033">
        <v>-1453884</v>
      </c>
      <c r="J4033">
        <v>-3675507</v>
      </c>
      <c r="K4033">
        <v>-18249467</v>
      </c>
      <c r="L4033">
        <v>-4937738</v>
      </c>
      <c r="M4033">
        <v>-25349135</v>
      </c>
      <c r="N4033">
        <v>10285327</v>
      </c>
      <c r="O4033">
        <v>34036007</v>
      </c>
      <c r="P4033">
        <v>73</v>
      </c>
      <c r="Q4033" t="s">
        <v>8411</v>
      </c>
    </row>
    <row r="4034" spans="1:17" x14ac:dyDescent="0.3">
      <c r="A4034" t="s">
        <v>4664</v>
      </c>
      <c r="B4034" t="str">
        <f>"300278"</f>
        <v>300278</v>
      </c>
      <c r="C4034" t="s">
        <v>8412</v>
      </c>
      <c r="D4034" t="s">
        <v>2423</v>
      </c>
      <c r="F4034">
        <v>-200221174</v>
      </c>
      <c r="G4034">
        <v>-93168749</v>
      </c>
      <c r="H4034">
        <v>-671481750</v>
      </c>
      <c r="I4034">
        <v>4949567</v>
      </c>
      <c r="J4034">
        <v>63569727</v>
      </c>
      <c r="K4034">
        <v>76271447</v>
      </c>
      <c r="L4034">
        <v>82504393</v>
      </c>
      <c r="M4034">
        <v>24658716</v>
      </c>
      <c r="N4034">
        <v>16981711</v>
      </c>
      <c r="O4034">
        <v>27396598</v>
      </c>
      <c r="P4034">
        <v>98</v>
      </c>
      <c r="Q4034" t="s">
        <v>8413</v>
      </c>
    </row>
    <row r="4035" spans="1:17" x14ac:dyDescent="0.3">
      <c r="A4035" t="s">
        <v>4664</v>
      </c>
      <c r="B4035" t="str">
        <f>"300279"</f>
        <v>300279</v>
      </c>
      <c r="C4035" t="s">
        <v>8414</v>
      </c>
      <c r="D4035" t="s">
        <v>313</v>
      </c>
      <c r="F4035">
        <v>26074572</v>
      </c>
      <c r="G4035">
        <v>18936352</v>
      </c>
      <c r="H4035">
        <v>26640940</v>
      </c>
      <c r="I4035">
        <v>-40087810</v>
      </c>
      <c r="J4035">
        <v>87489672</v>
      </c>
      <c r="K4035">
        <v>69917541</v>
      </c>
      <c r="L4035">
        <v>20260688</v>
      </c>
      <c r="M4035">
        <v>18323017</v>
      </c>
      <c r="N4035">
        <v>17597237</v>
      </c>
      <c r="O4035">
        <v>18085652</v>
      </c>
      <c r="P4035">
        <v>166</v>
      </c>
      <c r="Q4035" t="s">
        <v>8415</v>
      </c>
    </row>
    <row r="4036" spans="1:17" x14ac:dyDescent="0.3">
      <c r="A4036" t="s">
        <v>4664</v>
      </c>
      <c r="B4036" t="str">
        <f>"300280"</f>
        <v>300280</v>
      </c>
      <c r="C4036" t="s">
        <v>8416</v>
      </c>
      <c r="D4036" t="s">
        <v>5063</v>
      </c>
      <c r="F4036">
        <v>314488640</v>
      </c>
      <c r="G4036">
        <v>159980291</v>
      </c>
      <c r="H4036">
        <v>71192981</v>
      </c>
      <c r="I4036">
        <v>55989045</v>
      </c>
      <c r="J4036">
        <v>8872968</v>
      </c>
      <c r="K4036">
        <v>4352209</v>
      </c>
      <c r="L4036">
        <v>4073888</v>
      </c>
      <c r="M4036">
        <v>3530934</v>
      </c>
      <c r="N4036">
        <v>2507271</v>
      </c>
      <c r="O4036">
        <v>24184765</v>
      </c>
      <c r="P4036">
        <v>144</v>
      </c>
      <c r="Q4036" t="s">
        <v>8417</v>
      </c>
    </row>
    <row r="4037" spans="1:17" x14ac:dyDescent="0.3">
      <c r="A4037" t="s">
        <v>4664</v>
      </c>
      <c r="B4037" t="str">
        <f>"300281"</f>
        <v>300281</v>
      </c>
      <c r="C4037" t="s">
        <v>8418</v>
      </c>
      <c r="D4037" t="s">
        <v>741</v>
      </c>
      <c r="F4037">
        <v>33818137</v>
      </c>
      <c r="G4037">
        <v>32135149</v>
      </c>
      <c r="H4037">
        <v>6091401</v>
      </c>
      <c r="I4037">
        <v>33201548</v>
      </c>
      <c r="J4037">
        <v>32833819</v>
      </c>
      <c r="K4037">
        <v>29254051</v>
      </c>
      <c r="L4037">
        <v>28091926</v>
      </c>
      <c r="M4037">
        <v>36677055</v>
      </c>
      <c r="N4037">
        <v>40409225</v>
      </c>
      <c r="O4037">
        <v>40258678</v>
      </c>
      <c r="P4037">
        <v>48</v>
      </c>
      <c r="Q4037" t="s">
        <v>8419</v>
      </c>
    </row>
    <row r="4038" spans="1:17" x14ac:dyDescent="0.3">
      <c r="A4038" t="s">
        <v>4664</v>
      </c>
      <c r="B4038" t="str">
        <f>"300282"</f>
        <v>300282</v>
      </c>
      <c r="C4038" t="s">
        <v>8420</v>
      </c>
      <c r="D4038" t="s">
        <v>1285</v>
      </c>
      <c r="F4038">
        <v>-43011328</v>
      </c>
      <c r="G4038">
        <v>-56805371</v>
      </c>
      <c r="H4038">
        <v>68575100</v>
      </c>
      <c r="I4038">
        <v>85206169</v>
      </c>
      <c r="J4038">
        <v>81502635</v>
      </c>
      <c r="K4038">
        <v>90658041</v>
      </c>
      <c r="L4038">
        <v>67968152</v>
      </c>
      <c r="M4038">
        <v>8549118</v>
      </c>
      <c r="N4038">
        <v>-4574993</v>
      </c>
      <c r="O4038">
        <v>9725089</v>
      </c>
      <c r="P4038">
        <v>100</v>
      </c>
      <c r="Q4038" t="s">
        <v>8421</v>
      </c>
    </row>
    <row r="4039" spans="1:17" x14ac:dyDescent="0.3">
      <c r="A4039" t="s">
        <v>4664</v>
      </c>
      <c r="B4039" t="str">
        <f>"300283"</f>
        <v>300283</v>
      </c>
      <c r="C4039" t="s">
        <v>8422</v>
      </c>
      <c r="D4039" t="s">
        <v>657</v>
      </c>
      <c r="F4039">
        <v>48573569</v>
      </c>
      <c r="G4039">
        <v>18278882</v>
      </c>
      <c r="H4039">
        <v>16531707</v>
      </c>
      <c r="I4039">
        <v>17948898</v>
      </c>
      <c r="J4039">
        <v>3756744</v>
      </c>
      <c r="K4039">
        <v>32283629</v>
      </c>
      <c r="L4039">
        <v>12363981</v>
      </c>
      <c r="M4039">
        <v>23311921</v>
      </c>
      <c r="N4039">
        <v>-5617855</v>
      </c>
      <c r="O4039">
        <v>22499622</v>
      </c>
      <c r="P4039">
        <v>58</v>
      </c>
      <c r="Q4039" t="s">
        <v>8423</v>
      </c>
    </row>
    <row r="4040" spans="1:17" x14ac:dyDescent="0.3">
      <c r="A4040" t="s">
        <v>4664</v>
      </c>
      <c r="B4040" t="str">
        <f>"300284"</f>
        <v>300284</v>
      </c>
      <c r="C4040" t="s">
        <v>8424</v>
      </c>
      <c r="D4040" t="s">
        <v>1272</v>
      </c>
      <c r="F4040">
        <v>259728604</v>
      </c>
      <c r="G4040">
        <v>208614765</v>
      </c>
      <c r="H4040">
        <v>423245828</v>
      </c>
      <c r="I4040">
        <v>365996338</v>
      </c>
      <c r="J4040">
        <v>304594706</v>
      </c>
      <c r="K4040">
        <v>241554043</v>
      </c>
      <c r="L4040">
        <v>200503484</v>
      </c>
      <c r="M4040">
        <v>160335367</v>
      </c>
      <c r="N4040">
        <v>120582286</v>
      </c>
      <c r="O4040">
        <v>94563517</v>
      </c>
      <c r="P4040">
        <v>274</v>
      </c>
      <c r="Q4040" t="s">
        <v>8425</v>
      </c>
    </row>
    <row r="4041" spans="1:17" x14ac:dyDescent="0.3">
      <c r="A4041" t="s">
        <v>4664</v>
      </c>
      <c r="B4041" t="str">
        <f>"300285"</f>
        <v>300285</v>
      </c>
      <c r="C4041" t="s">
        <v>8426</v>
      </c>
      <c r="D4041" t="s">
        <v>386</v>
      </c>
      <c r="F4041">
        <v>601464298</v>
      </c>
      <c r="G4041">
        <v>415696404</v>
      </c>
      <c r="H4041">
        <v>358703151</v>
      </c>
      <c r="I4041">
        <v>394961181</v>
      </c>
      <c r="J4041">
        <v>173322367</v>
      </c>
      <c r="K4041">
        <v>92858933</v>
      </c>
      <c r="L4041">
        <v>69764528</v>
      </c>
      <c r="M4041">
        <v>43505892</v>
      </c>
      <c r="N4041">
        <v>53949769</v>
      </c>
      <c r="O4041">
        <v>41208630</v>
      </c>
      <c r="P4041">
        <v>1537</v>
      </c>
      <c r="Q4041" t="s">
        <v>8427</v>
      </c>
    </row>
    <row r="4042" spans="1:17" x14ac:dyDescent="0.3">
      <c r="A4042" t="s">
        <v>4664</v>
      </c>
      <c r="B4042" t="str">
        <f>"300286"</f>
        <v>300286</v>
      </c>
      <c r="C4042" t="s">
        <v>8428</v>
      </c>
      <c r="D4042" t="s">
        <v>2171</v>
      </c>
      <c r="F4042">
        <v>135855046</v>
      </c>
      <c r="G4042">
        <v>112305352</v>
      </c>
      <c r="H4042">
        <v>92569743</v>
      </c>
      <c r="I4042">
        <v>78105729</v>
      </c>
      <c r="J4042">
        <v>77901145</v>
      </c>
      <c r="K4042">
        <v>65508768</v>
      </c>
      <c r="L4042">
        <v>54271912</v>
      </c>
      <c r="M4042">
        <v>56575474</v>
      </c>
      <c r="N4042">
        <v>46991122</v>
      </c>
      <c r="O4042">
        <v>36122448</v>
      </c>
      <c r="P4042">
        <v>272</v>
      </c>
      <c r="Q4042" t="s">
        <v>8429</v>
      </c>
    </row>
    <row r="4043" spans="1:17" x14ac:dyDescent="0.3">
      <c r="A4043" t="s">
        <v>4664</v>
      </c>
      <c r="B4043" t="str">
        <f>"300287"</f>
        <v>300287</v>
      </c>
      <c r="C4043" t="s">
        <v>8430</v>
      </c>
      <c r="D4043" t="s">
        <v>316</v>
      </c>
      <c r="F4043">
        <v>69075774</v>
      </c>
      <c r="G4043">
        <v>-131396251</v>
      </c>
      <c r="H4043">
        <v>61602317</v>
      </c>
      <c r="I4043">
        <v>243333329</v>
      </c>
      <c r="J4043">
        <v>325664192</v>
      </c>
      <c r="K4043">
        <v>308031866</v>
      </c>
      <c r="L4043">
        <v>82259797</v>
      </c>
      <c r="M4043">
        <v>47733051</v>
      </c>
      <c r="N4043">
        <v>34486920</v>
      </c>
      <c r="O4043">
        <v>25622391</v>
      </c>
      <c r="P4043">
        <v>288</v>
      </c>
      <c r="Q4043" t="s">
        <v>8431</v>
      </c>
    </row>
    <row r="4044" spans="1:17" x14ac:dyDescent="0.3">
      <c r="A4044" t="s">
        <v>4664</v>
      </c>
      <c r="B4044" t="str">
        <f>"300288"</f>
        <v>300288</v>
      </c>
      <c r="C4044" t="s">
        <v>8432</v>
      </c>
      <c r="D4044" t="s">
        <v>316</v>
      </c>
      <c r="F4044">
        <v>60565730</v>
      </c>
      <c r="G4044">
        <v>48786550</v>
      </c>
      <c r="H4044">
        <v>66443492</v>
      </c>
      <c r="I4044">
        <v>77745250</v>
      </c>
      <c r="J4044">
        <v>86294705</v>
      </c>
      <c r="K4044">
        <v>62305429</v>
      </c>
      <c r="L4044">
        <v>60676962</v>
      </c>
      <c r="M4044">
        <v>29247097</v>
      </c>
      <c r="N4044">
        <v>44394871</v>
      </c>
      <c r="O4044">
        <v>57639496</v>
      </c>
      <c r="P4044">
        <v>221</v>
      </c>
      <c r="Q4044" t="s">
        <v>8433</v>
      </c>
    </row>
    <row r="4045" spans="1:17" x14ac:dyDescent="0.3">
      <c r="A4045" t="s">
        <v>4664</v>
      </c>
      <c r="B4045" t="str">
        <f>"300289"</f>
        <v>300289</v>
      </c>
      <c r="C4045" t="s">
        <v>8434</v>
      </c>
      <c r="D4045" t="s">
        <v>1305</v>
      </c>
      <c r="F4045">
        <v>29057757</v>
      </c>
      <c r="G4045">
        <v>4997942</v>
      </c>
      <c r="H4045">
        <v>10765729</v>
      </c>
      <c r="I4045">
        <v>61149559</v>
      </c>
      <c r="J4045">
        <v>56284780</v>
      </c>
      <c r="K4045">
        <v>47371793</v>
      </c>
      <c r="L4045">
        <v>79015954</v>
      </c>
      <c r="M4045">
        <v>65813240</v>
      </c>
      <c r="N4045">
        <v>95733474</v>
      </c>
      <c r="O4045">
        <v>74416068</v>
      </c>
      <c r="P4045">
        <v>132</v>
      </c>
      <c r="Q4045" t="s">
        <v>8435</v>
      </c>
    </row>
    <row r="4046" spans="1:17" x14ac:dyDescent="0.3">
      <c r="A4046" t="s">
        <v>4664</v>
      </c>
      <c r="B4046" t="str">
        <f>"300290"</f>
        <v>300290</v>
      </c>
      <c r="C4046" t="s">
        <v>8436</v>
      </c>
      <c r="D4046" t="s">
        <v>316</v>
      </c>
      <c r="F4046">
        <v>16506511</v>
      </c>
      <c r="G4046">
        <v>18153819</v>
      </c>
      <c r="H4046">
        <v>11512522</v>
      </c>
      <c r="I4046">
        <v>8862351</v>
      </c>
      <c r="J4046">
        <v>11632359</v>
      </c>
      <c r="K4046">
        <v>18256140</v>
      </c>
      <c r="L4046">
        <v>20255951</v>
      </c>
      <c r="M4046">
        <v>21325881</v>
      </c>
      <c r="N4046">
        <v>23824196</v>
      </c>
      <c r="O4046">
        <v>22470850</v>
      </c>
      <c r="P4046">
        <v>113</v>
      </c>
      <c r="Q4046" t="s">
        <v>8437</v>
      </c>
    </row>
    <row r="4047" spans="1:17" x14ac:dyDescent="0.3">
      <c r="A4047" t="s">
        <v>4664</v>
      </c>
      <c r="B4047" t="str">
        <f>"300291"</f>
        <v>300291</v>
      </c>
      <c r="C4047" t="s">
        <v>8438</v>
      </c>
      <c r="D4047" t="s">
        <v>113</v>
      </c>
      <c r="F4047">
        <v>59404309</v>
      </c>
      <c r="G4047">
        <v>35097058</v>
      </c>
      <c r="H4047">
        <v>91237705</v>
      </c>
      <c r="I4047">
        <v>-345765876</v>
      </c>
      <c r="J4047">
        <v>117232494</v>
      </c>
      <c r="K4047">
        <v>179007007</v>
      </c>
      <c r="L4047">
        <v>191454548</v>
      </c>
      <c r="M4047">
        <v>53452116</v>
      </c>
      <c r="N4047">
        <v>87022742</v>
      </c>
      <c r="O4047">
        <v>83344140</v>
      </c>
      <c r="P4047">
        <v>93</v>
      </c>
      <c r="Q4047" t="s">
        <v>8439</v>
      </c>
    </row>
    <row r="4048" spans="1:17" x14ac:dyDescent="0.3">
      <c r="A4048" t="s">
        <v>4664</v>
      </c>
      <c r="B4048" t="str">
        <f>"300292"</f>
        <v>300292</v>
      </c>
      <c r="C4048" t="s">
        <v>8440</v>
      </c>
      <c r="D4048" t="s">
        <v>5597</v>
      </c>
      <c r="F4048">
        <v>62952715</v>
      </c>
      <c r="G4048">
        <v>59049830</v>
      </c>
      <c r="H4048">
        <v>106123269</v>
      </c>
      <c r="I4048">
        <v>123562055</v>
      </c>
      <c r="J4048">
        <v>162613441</v>
      </c>
      <c r="K4048">
        <v>177837725</v>
      </c>
      <c r="L4048">
        <v>115931212</v>
      </c>
      <c r="M4048">
        <v>29977922</v>
      </c>
      <c r="N4048">
        <v>13724735</v>
      </c>
      <c r="O4048">
        <v>15201629</v>
      </c>
      <c r="P4048">
        <v>205</v>
      </c>
      <c r="Q4048" t="s">
        <v>8441</v>
      </c>
    </row>
    <row r="4049" spans="1:17" x14ac:dyDescent="0.3">
      <c r="A4049" t="s">
        <v>4664</v>
      </c>
      <c r="B4049" t="str">
        <f>"300293"</f>
        <v>300293</v>
      </c>
      <c r="C4049" t="s">
        <v>8442</v>
      </c>
      <c r="D4049" t="s">
        <v>741</v>
      </c>
      <c r="F4049">
        <v>-24908393</v>
      </c>
      <c r="G4049">
        <v>-50590942</v>
      </c>
      <c r="H4049">
        <v>13257753</v>
      </c>
      <c r="I4049">
        <v>13241713</v>
      </c>
      <c r="J4049">
        <v>21171361</v>
      </c>
      <c r="K4049">
        <v>1434725</v>
      </c>
      <c r="L4049">
        <v>28414183</v>
      </c>
      <c r="M4049">
        <v>53457819</v>
      </c>
      <c r="N4049">
        <v>61953867</v>
      </c>
      <c r="O4049">
        <v>47424333</v>
      </c>
      <c r="P4049">
        <v>112</v>
      </c>
      <c r="Q4049" t="s">
        <v>8443</v>
      </c>
    </row>
    <row r="4050" spans="1:17" x14ac:dyDescent="0.3">
      <c r="A4050" t="s">
        <v>4664</v>
      </c>
      <c r="B4050" t="str">
        <f>"300294"</f>
        <v>300294</v>
      </c>
      <c r="C4050" t="s">
        <v>8444</v>
      </c>
      <c r="D4050" t="s">
        <v>378</v>
      </c>
      <c r="F4050">
        <v>323458914</v>
      </c>
      <c r="G4050">
        <v>223870835</v>
      </c>
      <c r="H4050">
        <v>318423997</v>
      </c>
      <c r="I4050">
        <v>286364969</v>
      </c>
      <c r="J4050">
        <v>223556236</v>
      </c>
      <c r="K4050">
        <v>179682069</v>
      </c>
      <c r="L4050">
        <v>104331156</v>
      </c>
      <c r="M4050">
        <v>70976120</v>
      </c>
      <c r="N4050">
        <v>56993911</v>
      </c>
      <c r="O4050">
        <v>54582993</v>
      </c>
      <c r="P4050">
        <v>495</v>
      </c>
      <c r="Q4050" t="s">
        <v>8445</v>
      </c>
    </row>
    <row r="4051" spans="1:17" x14ac:dyDescent="0.3">
      <c r="A4051" t="s">
        <v>4664</v>
      </c>
      <c r="B4051" t="str">
        <f>"300295"</f>
        <v>300295</v>
      </c>
      <c r="C4051" t="s">
        <v>8446</v>
      </c>
      <c r="D4051" t="s">
        <v>522</v>
      </c>
      <c r="F4051">
        <v>51130712</v>
      </c>
      <c r="G4051">
        <v>36364806</v>
      </c>
      <c r="H4051">
        <v>76094500</v>
      </c>
      <c r="I4051">
        <v>83689091</v>
      </c>
      <c r="J4051">
        <v>78923808</v>
      </c>
      <c r="K4051">
        <v>90019424</v>
      </c>
      <c r="L4051">
        <v>76761633</v>
      </c>
      <c r="M4051">
        <v>117350142</v>
      </c>
      <c r="N4051">
        <v>93320716</v>
      </c>
      <c r="O4051">
        <v>75566643</v>
      </c>
      <c r="P4051">
        <v>100</v>
      </c>
      <c r="Q4051" t="s">
        <v>8447</v>
      </c>
    </row>
    <row r="4052" spans="1:17" x14ac:dyDescent="0.3">
      <c r="A4052" t="s">
        <v>4664</v>
      </c>
      <c r="B4052" t="str">
        <f>"300296"</f>
        <v>300296</v>
      </c>
      <c r="C4052" t="s">
        <v>8448</v>
      </c>
      <c r="D4052" t="s">
        <v>803</v>
      </c>
      <c r="F4052">
        <v>520884387</v>
      </c>
      <c r="G4052">
        <v>315515669</v>
      </c>
      <c r="H4052">
        <v>801389029</v>
      </c>
      <c r="I4052">
        <v>945298368</v>
      </c>
      <c r="J4052">
        <v>633549449</v>
      </c>
      <c r="K4052">
        <v>303761061</v>
      </c>
      <c r="L4052">
        <v>184802785</v>
      </c>
      <c r="M4052">
        <v>90591577</v>
      </c>
      <c r="N4052">
        <v>43556793</v>
      </c>
      <c r="O4052">
        <v>39414246</v>
      </c>
      <c r="P4052">
        <v>1699</v>
      </c>
      <c r="Q4052" t="s">
        <v>8449</v>
      </c>
    </row>
    <row r="4053" spans="1:17" x14ac:dyDescent="0.3">
      <c r="A4053" t="s">
        <v>4664</v>
      </c>
      <c r="B4053" t="str">
        <f>"300297"</f>
        <v>300297</v>
      </c>
      <c r="C4053" t="s">
        <v>8450</v>
      </c>
      <c r="D4053" t="s">
        <v>316</v>
      </c>
      <c r="F4053">
        <v>-944042975</v>
      </c>
      <c r="G4053">
        <v>20644310</v>
      </c>
      <c r="H4053">
        <v>175584036</v>
      </c>
      <c r="I4053">
        <v>226991419</v>
      </c>
      <c r="J4053">
        <v>213479351</v>
      </c>
      <c r="K4053">
        <v>142648403</v>
      </c>
      <c r="L4053">
        <v>65062293</v>
      </c>
      <c r="M4053">
        <v>11483823</v>
      </c>
      <c r="N4053">
        <v>9260246</v>
      </c>
      <c r="O4053">
        <v>33493424</v>
      </c>
      <c r="P4053">
        <v>342</v>
      </c>
      <c r="Q4053" t="s">
        <v>8451</v>
      </c>
    </row>
    <row r="4054" spans="1:17" x14ac:dyDescent="0.3">
      <c r="A4054" t="s">
        <v>4664</v>
      </c>
      <c r="B4054" t="str">
        <f>"300298"</f>
        <v>300298</v>
      </c>
      <c r="C4054" t="s">
        <v>8452</v>
      </c>
      <c r="D4054" t="s">
        <v>122</v>
      </c>
      <c r="F4054">
        <v>196854314</v>
      </c>
      <c r="G4054">
        <v>249468228</v>
      </c>
      <c r="H4054">
        <v>213186925</v>
      </c>
      <c r="I4054">
        <v>237980738</v>
      </c>
      <c r="J4054">
        <v>209857605</v>
      </c>
      <c r="K4054">
        <v>119001044</v>
      </c>
      <c r="L4054">
        <v>125001361</v>
      </c>
      <c r="M4054">
        <v>146684198</v>
      </c>
      <c r="N4054">
        <v>120608610</v>
      </c>
      <c r="O4054">
        <v>93189114</v>
      </c>
      <c r="P4054">
        <v>619</v>
      </c>
      <c r="Q4054" t="s">
        <v>8453</v>
      </c>
    </row>
    <row r="4055" spans="1:17" x14ac:dyDescent="0.3">
      <c r="A4055" t="s">
        <v>4664</v>
      </c>
      <c r="B4055" t="str">
        <f>"300299"</f>
        <v>300299</v>
      </c>
      <c r="C4055" t="s">
        <v>8454</v>
      </c>
      <c r="D4055" t="s">
        <v>517</v>
      </c>
      <c r="F4055">
        <v>61141893</v>
      </c>
      <c r="G4055">
        <v>68780018</v>
      </c>
      <c r="H4055">
        <v>24172736</v>
      </c>
      <c r="I4055">
        <v>35071085</v>
      </c>
      <c r="J4055">
        <v>78929439</v>
      </c>
      <c r="K4055">
        <v>73497319</v>
      </c>
      <c r="L4055">
        <v>41231790</v>
      </c>
      <c r="M4055">
        <v>12958605</v>
      </c>
      <c r="N4055">
        <v>12285745</v>
      </c>
      <c r="O4055">
        <v>17010126</v>
      </c>
      <c r="P4055">
        <v>187</v>
      </c>
      <c r="Q4055" t="s">
        <v>8455</v>
      </c>
    </row>
    <row r="4056" spans="1:17" x14ac:dyDescent="0.3">
      <c r="A4056" t="s">
        <v>4664</v>
      </c>
      <c r="B4056" t="str">
        <f>"300300"</f>
        <v>300300</v>
      </c>
      <c r="C4056" t="s">
        <v>8456</v>
      </c>
      <c r="D4056" t="s">
        <v>316</v>
      </c>
      <c r="F4056">
        <v>-71331451</v>
      </c>
      <c r="G4056">
        <v>-293149228</v>
      </c>
      <c r="H4056">
        <v>133218988</v>
      </c>
      <c r="I4056">
        <v>136994602</v>
      </c>
      <c r="J4056">
        <v>43984856</v>
      </c>
      <c r="K4056">
        <v>45942776</v>
      </c>
      <c r="L4056">
        <v>77523100</v>
      </c>
      <c r="M4056">
        <v>51372382</v>
      </c>
      <c r="N4056">
        <v>49257285</v>
      </c>
      <c r="O4056">
        <v>38931064</v>
      </c>
      <c r="P4056">
        <v>121</v>
      </c>
      <c r="Q4056" t="s">
        <v>8457</v>
      </c>
    </row>
    <row r="4057" spans="1:17" x14ac:dyDescent="0.3">
      <c r="A4057" t="s">
        <v>4664</v>
      </c>
      <c r="B4057" t="str">
        <f>"300301"</f>
        <v>300301</v>
      </c>
      <c r="C4057" t="s">
        <v>8458</v>
      </c>
      <c r="D4057" t="s">
        <v>803</v>
      </c>
      <c r="F4057">
        <v>13400230</v>
      </c>
      <c r="G4057">
        <v>-24037688</v>
      </c>
      <c r="H4057">
        <v>48428388</v>
      </c>
      <c r="I4057">
        <v>-11513358</v>
      </c>
      <c r="J4057">
        <v>29657971</v>
      </c>
      <c r="K4057">
        <v>53199849</v>
      </c>
      <c r="L4057">
        <v>63141370</v>
      </c>
      <c r="M4057">
        <v>38281789</v>
      </c>
      <c r="N4057">
        <v>41789057</v>
      </c>
      <c r="O4057">
        <v>40622842</v>
      </c>
      <c r="P4057">
        <v>75</v>
      </c>
      <c r="Q4057" t="s">
        <v>8459</v>
      </c>
    </row>
    <row r="4058" spans="1:17" x14ac:dyDescent="0.3">
      <c r="A4058" t="s">
        <v>4664</v>
      </c>
      <c r="B4058" t="str">
        <f>"300302"</f>
        <v>300302</v>
      </c>
      <c r="C4058" t="s">
        <v>8460</v>
      </c>
      <c r="D4058" t="s">
        <v>236</v>
      </c>
      <c r="F4058">
        <v>-2673500</v>
      </c>
      <c r="G4058">
        <v>12125742</v>
      </c>
      <c r="H4058">
        <v>3850208</v>
      </c>
      <c r="I4058">
        <v>24837684</v>
      </c>
      <c r="J4058">
        <v>17753955</v>
      </c>
      <c r="K4058">
        <v>65760948</v>
      </c>
      <c r="L4058">
        <v>25594948</v>
      </c>
      <c r="M4058">
        <v>8873776</v>
      </c>
      <c r="N4058">
        <v>11990514</v>
      </c>
      <c r="O4058">
        <v>16603833</v>
      </c>
      <c r="P4058">
        <v>146</v>
      </c>
      <c r="Q4058" t="s">
        <v>8461</v>
      </c>
    </row>
    <row r="4059" spans="1:17" x14ac:dyDescent="0.3">
      <c r="A4059" t="s">
        <v>4664</v>
      </c>
      <c r="B4059" t="str">
        <f>"300303"</f>
        <v>300303</v>
      </c>
      <c r="C4059" t="s">
        <v>8462</v>
      </c>
      <c r="D4059" t="s">
        <v>803</v>
      </c>
      <c r="F4059">
        <v>193591795</v>
      </c>
      <c r="G4059">
        <v>230995109</v>
      </c>
      <c r="H4059">
        <v>254387828</v>
      </c>
      <c r="I4059">
        <v>136797548</v>
      </c>
      <c r="J4059">
        <v>122333635</v>
      </c>
      <c r="K4059">
        <v>109260278</v>
      </c>
      <c r="L4059">
        <v>93372698</v>
      </c>
      <c r="M4059">
        <v>131202879</v>
      </c>
      <c r="N4059">
        <v>97622229</v>
      </c>
      <c r="O4059">
        <v>69503339</v>
      </c>
      <c r="P4059">
        <v>256</v>
      </c>
      <c r="Q4059" t="s">
        <v>8463</v>
      </c>
    </row>
    <row r="4060" spans="1:17" x14ac:dyDescent="0.3">
      <c r="A4060" t="s">
        <v>4664</v>
      </c>
      <c r="B4060" t="str">
        <f>"300304"</f>
        <v>300304</v>
      </c>
      <c r="C4060" t="s">
        <v>8464</v>
      </c>
      <c r="D4060" t="s">
        <v>1415</v>
      </c>
      <c r="F4060">
        <v>196816130</v>
      </c>
      <c r="G4060">
        <v>112784324</v>
      </c>
      <c r="H4060">
        <v>100204785</v>
      </c>
      <c r="I4060">
        <v>100386354</v>
      </c>
      <c r="J4060">
        <v>100735978</v>
      </c>
      <c r="K4060">
        <v>77180459</v>
      </c>
      <c r="L4060">
        <v>51295946</v>
      </c>
      <c r="M4060">
        <v>60815605</v>
      </c>
      <c r="N4060">
        <v>68461751</v>
      </c>
      <c r="O4060">
        <v>67747446</v>
      </c>
      <c r="P4060">
        <v>114</v>
      </c>
      <c r="Q4060" t="s">
        <v>8465</v>
      </c>
    </row>
    <row r="4061" spans="1:17" x14ac:dyDescent="0.3">
      <c r="A4061" t="s">
        <v>4664</v>
      </c>
      <c r="B4061" t="str">
        <f>"300305"</f>
        <v>300305</v>
      </c>
      <c r="C4061" t="s">
        <v>8466</v>
      </c>
      <c r="D4061" t="s">
        <v>324</v>
      </c>
      <c r="F4061">
        <v>195031571</v>
      </c>
      <c r="G4061">
        <v>88495548</v>
      </c>
      <c r="H4061">
        <v>74429983</v>
      </c>
      <c r="I4061">
        <v>55001568</v>
      </c>
      <c r="J4061">
        <v>52018815</v>
      </c>
      <c r="K4061">
        <v>50363832</v>
      </c>
      <c r="L4061">
        <v>65443782</v>
      </c>
      <c r="M4061">
        <v>52806469</v>
      </c>
      <c r="N4061">
        <v>44375846</v>
      </c>
      <c r="O4061">
        <v>102932218</v>
      </c>
      <c r="P4061">
        <v>147</v>
      </c>
      <c r="Q4061" t="s">
        <v>8467</v>
      </c>
    </row>
    <row r="4062" spans="1:17" x14ac:dyDescent="0.3">
      <c r="A4062" t="s">
        <v>4664</v>
      </c>
      <c r="B4062" t="str">
        <f>"300306"</f>
        <v>300306</v>
      </c>
      <c r="C4062" t="s">
        <v>8468</v>
      </c>
      <c r="D4062" t="s">
        <v>2551</v>
      </c>
      <c r="F4062">
        <v>72046877</v>
      </c>
      <c r="G4062">
        <v>66659269</v>
      </c>
      <c r="H4062">
        <v>127844296</v>
      </c>
      <c r="I4062">
        <v>1176438</v>
      </c>
      <c r="J4062">
        <v>103090787</v>
      </c>
      <c r="K4062">
        <v>60712440</v>
      </c>
      <c r="L4062">
        <v>38581586</v>
      </c>
      <c r="M4062">
        <v>60958131</v>
      </c>
      <c r="N4062">
        <v>60391905</v>
      </c>
      <c r="O4062">
        <v>53463805</v>
      </c>
      <c r="P4062">
        <v>169</v>
      </c>
      <c r="Q4062" t="s">
        <v>8469</v>
      </c>
    </row>
    <row r="4063" spans="1:17" x14ac:dyDescent="0.3">
      <c r="A4063" t="s">
        <v>4664</v>
      </c>
      <c r="B4063" t="str">
        <f>"300307"</f>
        <v>300307</v>
      </c>
      <c r="C4063" t="s">
        <v>8470</v>
      </c>
      <c r="D4063" t="s">
        <v>534</v>
      </c>
      <c r="F4063">
        <v>120850894</v>
      </c>
      <c r="G4063">
        <v>-27344668</v>
      </c>
      <c r="H4063">
        <v>45606960</v>
      </c>
      <c r="I4063">
        <v>153444579</v>
      </c>
      <c r="J4063">
        <v>203696065</v>
      </c>
      <c r="K4063">
        <v>121901228</v>
      </c>
      <c r="L4063">
        <v>117698986</v>
      </c>
      <c r="M4063">
        <v>-158630999</v>
      </c>
      <c r="N4063">
        <v>369340779</v>
      </c>
      <c r="O4063">
        <v>387160999</v>
      </c>
      <c r="P4063">
        <v>2981</v>
      </c>
      <c r="Q4063" t="s">
        <v>8471</v>
      </c>
    </row>
    <row r="4064" spans="1:17" x14ac:dyDescent="0.3">
      <c r="A4064" t="s">
        <v>4664</v>
      </c>
      <c r="B4064" t="str">
        <f>"300308"</f>
        <v>300308</v>
      </c>
      <c r="C4064" t="s">
        <v>8472</v>
      </c>
      <c r="D4064" t="s">
        <v>1019</v>
      </c>
      <c r="F4064">
        <v>560103357</v>
      </c>
      <c r="G4064">
        <v>599875798</v>
      </c>
      <c r="H4064">
        <v>357884536</v>
      </c>
      <c r="I4064">
        <v>481473706</v>
      </c>
      <c r="J4064">
        <v>126303887</v>
      </c>
      <c r="K4064">
        <v>4149693</v>
      </c>
      <c r="L4064">
        <v>-5320542</v>
      </c>
      <c r="M4064">
        <v>3430785</v>
      </c>
      <c r="N4064">
        <v>18189365</v>
      </c>
      <c r="O4064">
        <v>29194948</v>
      </c>
      <c r="P4064">
        <v>814</v>
      </c>
      <c r="Q4064" t="s">
        <v>8473</v>
      </c>
    </row>
    <row r="4065" spans="1:17" x14ac:dyDescent="0.3">
      <c r="A4065" t="s">
        <v>4664</v>
      </c>
      <c r="B4065" t="str">
        <f>"300309"</f>
        <v>300309</v>
      </c>
      <c r="C4065" t="s">
        <v>8474</v>
      </c>
      <c r="D4065" t="s">
        <v>116</v>
      </c>
      <c r="F4065">
        <v>-602751060</v>
      </c>
      <c r="G4065">
        <v>-443300319</v>
      </c>
      <c r="H4065">
        <v>207970187</v>
      </c>
      <c r="I4065">
        <v>305202317</v>
      </c>
      <c r="J4065">
        <v>103845191</v>
      </c>
      <c r="K4065">
        <v>-16145910</v>
      </c>
      <c r="L4065">
        <v>35610646</v>
      </c>
      <c r="M4065">
        <v>34711837</v>
      </c>
      <c r="N4065">
        <v>25585475</v>
      </c>
      <c r="O4065">
        <v>19693740</v>
      </c>
      <c r="P4065">
        <v>108</v>
      </c>
      <c r="Q4065" t="s">
        <v>8475</v>
      </c>
    </row>
    <row r="4066" spans="1:17" x14ac:dyDescent="0.3">
      <c r="A4066" t="s">
        <v>4664</v>
      </c>
      <c r="B4066" t="str">
        <f>"300310"</f>
        <v>300310</v>
      </c>
      <c r="C4066" t="s">
        <v>8476</v>
      </c>
      <c r="D4066" t="s">
        <v>654</v>
      </c>
      <c r="F4066">
        <v>41151961</v>
      </c>
      <c r="G4066">
        <v>25352452</v>
      </c>
      <c r="H4066">
        <v>30363307</v>
      </c>
      <c r="I4066">
        <v>-569503567</v>
      </c>
      <c r="J4066">
        <v>160509277</v>
      </c>
      <c r="K4066">
        <v>136310462</v>
      </c>
      <c r="L4066">
        <v>49537686</v>
      </c>
      <c r="M4066">
        <v>34488916</v>
      </c>
      <c r="N4066">
        <v>28355120</v>
      </c>
      <c r="O4066">
        <v>51845493</v>
      </c>
      <c r="P4066">
        <v>257</v>
      </c>
      <c r="Q4066" t="s">
        <v>8477</v>
      </c>
    </row>
    <row r="4067" spans="1:17" x14ac:dyDescent="0.3">
      <c r="A4067" t="s">
        <v>4664</v>
      </c>
      <c r="B4067" t="str">
        <f>"300311"</f>
        <v>300311</v>
      </c>
      <c r="C4067" t="s">
        <v>8478</v>
      </c>
      <c r="D4067" t="s">
        <v>1189</v>
      </c>
      <c r="F4067">
        <v>-76065012</v>
      </c>
      <c r="G4067">
        <v>-48986860</v>
      </c>
      <c r="H4067">
        <v>53156655</v>
      </c>
      <c r="I4067">
        <v>110484269</v>
      </c>
      <c r="J4067">
        <v>85179547</v>
      </c>
      <c r="K4067">
        <v>70162209</v>
      </c>
      <c r="L4067">
        <v>28880534</v>
      </c>
      <c r="M4067">
        <v>25462652</v>
      </c>
      <c r="N4067">
        <v>16314483</v>
      </c>
      <c r="O4067">
        <v>21142482</v>
      </c>
      <c r="P4067">
        <v>161</v>
      </c>
      <c r="Q4067" t="s">
        <v>8479</v>
      </c>
    </row>
    <row r="4068" spans="1:17" x14ac:dyDescent="0.3">
      <c r="A4068" t="s">
        <v>4664</v>
      </c>
      <c r="B4068" t="str">
        <f>"300312"</f>
        <v>300312</v>
      </c>
      <c r="C4068" t="s">
        <v>8480</v>
      </c>
      <c r="D4068" t="s">
        <v>1019</v>
      </c>
      <c r="F4068">
        <v>-75785404</v>
      </c>
      <c r="G4068">
        <v>-86159391</v>
      </c>
      <c r="H4068">
        <v>-5584770</v>
      </c>
      <c r="I4068">
        <v>-11009603</v>
      </c>
      <c r="J4068">
        <v>-37484022</v>
      </c>
      <c r="K4068">
        <v>-45337908</v>
      </c>
      <c r="L4068">
        <v>5312750</v>
      </c>
      <c r="M4068">
        <v>4067375</v>
      </c>
      <c r="N4068">
        <v>3502696</v>
      </c>
      <c r="O4068">
        <v>46252660</v>
      </c>
      <c r="P4068">
        <v>134</v>
      </c>
      <c r="Q4068" t="s">
        <v>8481</v>
      </c>
    </row>
    <row r="4069" spans="1:17" x14ac:dyDescent="0.3">
      <c r="A4069" t="s">
        <v>4664</v>
      </c>
      <c r="B4069" t="str">
        <f>"300313"</f>
        <v>300313</v>
      </c>
      <c r="C4069" t="s">
        <v>8482</v>
      </c>
      <c r="D4069" t="s">
        <v>1876</v>
      </c>
      <c r="F4069">
        <v>-21751058</v>
      </c>
      <c r="G4069">
        <v>-3048208</v>
      </c>
      <c r="H4069">
        <v>-27642257</v>
      </c>
      <c r="I4069">
        <v>47560113</v>
      </c>
      <c r="J4069">
        <v>3749995</v>
      </c>
      <c r="K4069">
        <v>-57818728</v>
      </c>
      <c r="L4069">
        <v>-14219458</v>
      </c>
      <c r="M4069">
        <v>6245628</v>
      </c>
      <c r="N4069">
        <v>8148746</v>
      </c>
      <c r="O4069">
        <v>12521368</v>
      </c>
      <c r="P4069">
        <v>85</v>
      </c>
      <c r="Q4069" t="s">
        <v>8483</v>
      </c>
    </row>
    <row r="4070" spans="1:17" x14ac:dyDescent="0.3">
      <c r="A4070" t="s">
        <v>4664</v>
      </c>
      <c r="B4070" t="str">
        <f>"300314"</f>
        <v>300314</v>
      </c>
      <c r="C4070" t="s">
        <v>8484</v>
      </c>
      <c r="D4070" t="s">
        <v>122</v>
      </c>
      <c r="F4070">
        <v>67419639</v>
      </c>
      <c r="G4070">
        <v>126565809</v>
      </c>
      <c r="H4070">
        <v>40344038</v>
      </c>
      <c r="I4070">
        <v>37506121</v>
      </c>
      <c r="J4070">
        <v>50233239</v>
      </c>
      <c r="K4070">
        <v>47337420</v>
      </c>
      <c r="L4070">
        <v>35742856</v>
      </c>
      <c r="M4070">
        <v>36652182</v>
      </c>
      <c r="N4070">
        <v>46806852</v>
      </c>
      <c r="O4070">
        <v>53734273</v>
      </c>
      <c r="P4070">
        <v>196</v>
      </c>
      <c r="Q4070" t="s">
        <v>8485</v>
      </c>
    </row>
    <row r="4071" spans="1:17" x14ac:dyDescent="0.3">
      <c r="A4071" t="s">
        <v>4664</v>
      </c>
      <c r="B4071" t="str">
        <f>"300315"</f>
        <v>300315</v>
      </c>
      <c r="C4071" t="s">
        <v>8486</v>
      </c>
      <c r="D4071" t="s">
        <v>517</v>
      </c>
      <c r="F4071">
        <v>244867254</v>
      </c>
      <c r="G4071">
        <v>484688081</v>
      </c>
      <c r="H4071">
        <v>344953038</v>
      </c>
      <c r="I4071">
        <v>516348066</v>
      </c>
      <c r="J4071">
        <v>394273021</v>
      </c>
      <c r="K4071">
        <v>559628496</v>
      </c>
      <c r="L4071">
        <v>272127532</v>
      </c>
      <c r="M4071">
        <v>203448616</v>
      </c>
      <c r="N4071">
        <v>91716216</v>
      </c>
      <c r="O4071">
        <v>51367931</v>
      </c>
      <c r="P4071">
        <v>456</v>
      </c>
      <c r="Q4071" t="s">
        <v>8487</v>
      </c>
    </row>
    <row r="4072" spans="1:17" x14ac:dyDescent="0.3">
      <c r="A4072" t="s">
        <v>4664</v>
      </c>
      <c r="B4072" t="str">
        <f>"300316"</f>
        <v>300316</v>
      </c>
      <c r="C4072" t="s">
        <v>8488</v>
      </c>
      <c r="D4072" t="s">
        <v>2654</v>
      </c>
      <c r="F4072">
        <v>1110196538</v>
      </c>
      <c r="G4072">
        <v>523747343</v>
      </c>
      <c r="H4072">
        <v>471849524</v>
      </c>
      <c r="I4072">
        <v>445773598</v>
      </c>
      <c r="J4072">
        <v>253097653</v>
      </c>
      <c r="K4072">
        <v>129575222</v>
      </c>
      <c r="L4072">
        <v>71858828</v>
      </c>
      <c r="M4072">
        <v>50283346</v>
      </c>
      <c r="N4072">
        <v>35177217</v>
      </c>
      <c r="O4072">
        <v>151112122</v>
      </c>
      <c r="P4072">
        <v>1072</v>
      </c>
      <c r="Q4072" t="s">
        <v>8489</v>
      </c>
    </row>
    <row r="4073" spans="1:17" x14ac:dyDescent="0.3">
      <c r="A4073" t="s">
        <v>4664</v>
      </c>
      <c r="B4073" t="str">
        <f>"300317"</f>
        <v>300317</v>
      </c>
      <c r="C4073" t="s">
        <v>8490</v>
      </c>
      <c r="D4073" t="s">
        <v>86</v>
      </c>
      <c r="F4073">
        <v>54780957</v>
      </c>
      <c r="G4073">
        <v>11064355</v>
      </c>
      <c r="H4073">
        <v>-61880584</v>
      </c>
      <c r="I4073">
        <v>11118356</v>
      </c>
      <c r="J4073">
        <v>271977688</v>
      </c>
      <c r="K4073">
        <v>208776268</v>
      </c>
      <c r="L4073">
        <v>41988276</v>
      </c>
      <c r="M4073">
        <v>15632264</v>
      </c>
      <c r="N4073">
        <v>11891181</v>
      </c>
      <c r="O4073">
        <v>3416054</v>
      </c>
      <c r="P4073">
        <v>142</v>
      </c>
      <c r="Q4073" t="s">
        <v>8491</v>
      </c>
    </row>
    <row r="4074" spans="1:17" x14ac:dyDescent="0.3">
      <c r="A4074" t="s">
        <v>4664</v>
      </c>
      <c r="B4074" t="str">
        <f>"300318"</f>
        <v>300318</v>
      </c>
      <c r="C4074" t="s">
        <v>8492</v>
      </c>
      <c r="D4074" t="s">
        <v>1305</v>
      </c>
      <c r="F4074">
        <v>-28206885</v>
      </c>
      <c r="G4074">
        <v>5694778</v>
      </c>
      <c r="H4074">
        <v>4791373</v>
      </c>
      <c r="I4074">
        <v>23142730</v>
      </c>
      <c r="J4074">
        <v>21455429</v>
      </c>
      <c r="K4074">
        <v>20595987</v>
      </c>
      <c r="L4074">
        <v>29481694</v>
      </c>
      <c r="M4074">
        <v>31638761</v>
      </c>
      <c r="N4074">
        <v>43444803</v>
      </c>
      <c r="O4074">
        <v>42699314</v>
      </c>
      <c r="P4074">
        <v>144</v>
      </c>
      <c r="Q4074" t="s">
        <v>8493</v>
      </c>
    </row>
    <row r="4075" spans="1:17" x14ac:dyDescent="0.3">
      <c r="A4075" t="s">
        <v>4664</v>
      </c>
      <c r="B4075" t="str">
        <f>"300319"</f>
        <v>300319</v>
      </c>
      <c r="C4075" t="s">
        <v>8494</v>
      </c>
      <c r="D4075" t="s">
        <v>546</v>
      </c>
      <c r="F4075">
        <v>231306174</v>
      </c>
      <c r="G4075">
        <v>71073888</v>
      </c>
      <c r="H4075">
        <v>74964803</v>
      </c>
      <c r="I4075">
        <v>95656607</v>
      </c>
      <c r="J4075">
        <v>73436093</v>
      </c>
      <c r="K4075">
        <v>116665612</v>
      </c>
      <c r="L4075">
        <v>40827455</v>
      </c>
      <c r="M4075">
        <v>18728168</v>
      </c>
      <c r="N4075">
        <v>22279461</v>
      </c>
      <c r="O4075">
        <v>20428642</v>
      </c>
      <c r="P4075">
        <v>3161</v>
      </c>
      <c r="Q4075" t="s">
        <v>8495</v>
      </c>
    </row>
    <row r="4076" spans="1:17" x14ac:dyDescent="0.3">
      <c r="A4076" t="s">
        <v>4664</v>
      </c>
      <c r="B4076" t="str">
        <f>"300320"</f>
        <v>300320</v>
      </c>
      <c r="C4076" t="s">
        <v>8496</v>
      </c>
      <c r="D4076" t="s">
        <v>2460</v>
      </c>
      <c r="F4076">
        <v>137956543</v>
      </c>
      <c r="G4076">
        <v>159758120</v>
      </c>
      <c r="H4076">
        <v>153662198</v>
      </c>
      <c r="I4076">
        <v>122019967</v>
      </c>
      <c r="J4076">
        <v>100344448</v>
      </c>
      <c r="K4076">
        <v>60483842</v>
      </c>
      <c r="L4076">
        <v>54157796</v>
      </c>
      <c r="M4076">
        <v>61927316</v>
      </c>
      <c r="N4076">
        <v>48630145</v>
      </c>
      <c r="O4076">
        <v>40438623</v>
      </c>
      <c r="P4076">
        <v>151</v>
      </c>
      <c r="Q4076" t="s">
        <v>8497</v>
      </c>
    </row>
    <row r="4077" spans="1:17" x14ac:dyDescent="0.3">
      <c r="A4077" t="s">
        <v>4664</v>
      </c>
      <c r="B4077" t="str">
        <f>"300321"</f>
        <v>300321</v>
      </c>
      <c r="C4077" t="s">
        <v>8498</v>
      </c>
      <c r="D4077" t="s">
        <v>528</v>
      </c>
      <c r="F4077">
        <v>10955038</v>
      </c>
      <c r="G4077">
        <v>13229745</v>
      </c>
      <c r="H4077">
        <v>26112077</v>
      </c>
      <c r="I4077">
        <v>18021523</v>
      </c>
      <c r="J4077">
        <v>14949171</v>
      </c>
      <c r="K4077">
        <v>23150092</v>
      </c>
      <c r="L4077">
        <v>28717348</v>
      </c>
      <c r="M4077">
        <v>22551060</v>
      </c>
      <c r="N4077">
        <v>22955436</v>
      </c>
      <c r="O4077">
        <v>25349186</v>
      </c>
      <c r="P4077">
        <v>45</v>
      </c>
      <c r="Q4077" t="s">
        <v>8499</v>
      </c>
    </row>
    <row r="4078" spans="1:17" x14ac:dyDescent="0.3">
      <c r="A4078" t="s">
        <v>4664</v>
      </c>
      <c r="B4078" t="str">
        <f>"300322"</f>
        <v>300322</v>
      </c>
      <c r="C4078" t="s">
        <v>8500</v>
      </c>
      <c r="D4078" t="s">
        <v>313</v>
      </c>
      <c r="F4078">
        <v>39556662</v>
      </c>
      <c r="G4078">
        <v>33029094</v>
      </c>
      <c r="H4078">
        <v>102288201</v>
      </c>
      <c r="I4078">
        <v>52477202</v>
      </c>
      <c r="J4078">
        <v>28607668</v>
      </c>
      <c r="K4078">
        <v>67464113</v>
      </c>
      <c r="L4078">
        <v>-36465107</v>
      </c>
      <c r="M4078">
        <v>43776546</v>
      </c>
      <c r="N4078">
        <v>20939165</v>
      </c>
      <c r="O4078">
        <v>31214377</v>
      </c>
      <c r="P4078">
        <v>387</v>
      </c>
      <c r="Q4078" t="s">
        <v>8501</v>
      </c>
    </row>
    <row r="4079" spans="1:17" x14ac:dyDescent="0.3">
      <c r="A4079" t="s">
        <v>4664</v>
      </c>
      <c r="B4079" t="str">
        <f>"300323"</f>
        <v>300323</v>
      </c>
      <c r="C4079" t="s">
        <v>8502</v>
      </c>
      <c r="D4079" t="s">
        <v>803</v>
      </c>
      <c r="F4079">
        <v>22381986</v>
      </c>
      <c r="G4079">
        <v>-105553321</v>
      </c>
      <c r="H4079">
        <v>-713878508</v>
      </c>
      <c r="I4079">
        <v>497435926</v>
      </c>
      <c r="J4079">
        <v>371633224</v>
      </c>
      <c r="K4079">
        <v>141053198</v>
      </c>
      <c r="L4079">
        <v>8934394</v>
      </c>
      <c r="M4079">
        <v>74824620</v>
      </c>
      <c r="N4079">
        <v>10197633</v>
      </c>
      <c r="O4079">
        <v>42091726</v>
      </c>
      <c r="P4079">
        <v>293</v>
      </c>
      <c r="Q4079" t="s">
        <v>8503</v>
      </c>
    </row>
    <row r="4080" spans="1:17" x14ac:dyDescent="0.3">
      <c r="A4080" t="s">
        <v>4664</v>
      </c>
      <c r="B4080" t="str">
        <f>"300324"</f>
        <v>300324</v>
      </c>
      <c r="C4080" t="s">
        <v>8504</v>
      </c>
      <c r="D4080" t="s">
        <v>236</v>
      </c>
      <c r="F4080">
        <v>-174696403</v>
      </c>
      <c r="G4080">
        <v>-46534087</v>
      </c>
      <c r="H4080">
        <v>226067222</v>
      </c>
      <c r="I4080">
        <v>344351304</v>
      </c>
      <c r="J4080">
        <v>285073585</v>
      </c>
      <c r="K4080">
        <v>200746072</v>
      </c>
      <c r="L4080">
        <v>34244391</v>
      </c>
      <c r="M4080">
        <v>921930</v>
      </c>
      <c r="N4080">
        <v>4268247</v>
      </c>
      <c r="O4080">
        <v>26149922</v>
      </c>
      <c r="P4080">
        <v>235</v>
      </c>
      <c r="Q4080" t="s">
        <v>8505</v>
      </c>
    </row>
    <row r="4081" spans="1:17" x14ac:dyDescent="0.3">
      <c r="A4081" t="s">
        <v>4664</v>
      </c>
      <c r="B4081" t="str">
        <f>"300325"</f>
        <v>300325</v>
      </c>
      <c r="C4081" t="s">
        <v>8506</v>
      </c>
      <c r="D4081" t="s">
        <v>1192</v>
      </c>
      <c r="F4081">
        <v>-117590731</v>
      </c>
      <c r="G4081">
        <v>-64296813</v>
      </c>
      <c r="H4081">
        <v>-8275354</v>
      </c>
      <c r="I4081">
        <v>25127937</v>
      </c>
      <c r="J4081">
        <v>35325669</v>
      </c>
      <c r="K4081">
        <v>53725516</v>
      </c>
      <c r="L4081">
        <v>51027773</v>
      </c>
      <c r="M4081">
        <v>44010657</v>
      </c>
      <c r="N4081">
        <v>47921260</v>
      </c>
      <c r="O4081">
        <v>41464667</v>
      </c>
      <c r="P4081">
        <v>81</v>
      </c>
      <c r="Q4081" t="s">
        <v>8507</v>
      </c>
    </row>
    <row r="4082" spans="1:17" x14ac:dyDescent="0.3">
      <c r="A4082" t="s">
        <v>4664</v>
      </c>
      <c r="B4082" t="str">
        <f>"300326"</f>
        <v>300326</v>
      </c>
      <c r="C4082" t="s">
        <v>8508</v>
      </c>
      <c r="D4082" t="s">
        <v>1077</v>
      </c>
      <c r="F4082">
        <v>199199343</v>
      </c>
      <c r="G4082">
        <v>196193638</v>
      </c>
      <c r="H4082">
        <v>221836042</v>
      </c>
      <c r="I4082">
        <v>158986007</v>
      </c>
      <c r="J4082">
        <v>151479502</v>
      </c>
      <c r="K4082">
        <v>122082559</v>
      </c>
      <c r="L4082">
        <v>92711946</v>
      </c>
      <c r="M4082">
        <v>38952331</v>
      </c>
      <c r="N4082">
        <v>38282563</v>
      </c>
      <c r="O4082">
        <v>31785936</v>
      </c>
      <c r="P4082">
        <v>854</v>
      </c>
      <c r="Q4082" t="s">
        <v>8509</v>
      </c>
    </row>
    <row r="4083" spans="1:17" x14ac:dyDescent="0.3">
      <c r="A4083" t="s">
        <v>4664</v>
      </c>
      <c r="B4083" t="str">
        <f>"300327"</f>
        <v>300327</v>
      </c>
      <c r="C4083" t="s">
        <v>8510</v>
      </c>
      <c r="D4083" t="s">
        <v>461</v>
      </c>
      <c r="F4083">
        <v>268029932</v>
      </c>
      <c r="G4083">
        <v>150433602</v>
      </c>
      <c r="H4083">
        <v>130097216</v>
      </c>
      <c r="I4083">
        <v>121222165</v>
      </c>
      <c r="J4083">
        <v>94985537</v>
      </c>
      <c r="K4083">
        <v>67115569</v>
      </c>
      <c r="L4083">
        <v>32929351</v>
      </c>
      <c r="M4083">
        <v>24279898</v>
      </c>
      <c r="N4083">
        <v>23326123</v>
      </c>
      <c r="O4083">
        <v>22747964</v>
      </c>
      <c r="P4083">
        <v>4063</v>
      </c>
      <c r="Q4083" t="s">
        <v>8511</v>
      </c>
    </row>
    <row r="4084" spans="1:17" x14ac:dyDescent="0.3">
      <c r="A4084" t="s">
        <v>4664</v>
      </c>
      <c r="B4084" t="str">
        <f>"300328"</f>
        <v>300328</v>
      </c>
      <c r="C4084" t="s">
        <v>8512</v>
      </c>
      <c r="D4084" t="s">
        <v>636</v>
      </c>
      <c r="F4084">
        <v>1347455</v>
      </c>
      <c r="G4084">
        <v>29365009</v>
      </c>
      <c r="H4084">
        <v>52062254</v>
      </c>
      <c r="I4084">
        <v>51126491</v>
      </c>
      <c r="J4084">
        <v>25261306</v>
      </c>
      <c r="K4084">
        <v>17557799</v>
      </c>
      <c r="L4084">
        <v>37688199</v>
      </c>
      <c r="M4084">
        <v>30566533</v>
      </c>
      <c r="N4084">
        <v>40649439</v>
      </c>
      <c r="O4084">
        <v>32650851</v>
      </c>
      <c r="P4084">
        <v>232</v>
      </c>
      <c r="Q4084" t="s">
        <v>8513</v>
      </c>
    </row>
    <row r="4085" spans="1:17" x14ac:dyDescent="0.3">
      <c r="A4085" t="s">
        <v>4664</v>
      </c>
      <c r="B4085" t="str">
        <f>"300329"</f>
        <v>300329</v>
      </c>
      <c r="C4085" t="s">
        <v>8514</v>
      </c>
      <c r="D4085" t="s">
        <v>2904</v>
      </c>
      <c r="F4085">
        <v>36668804</v>
      </c>
      <c r="G4085">
        <v>20023779</v>
      </c>
      <c r="H4085">
        <v>38695269</v>
      </c>
      <c r="I4085">
        <v>41502574</v>
      </c>
      <c r="J4085">
        <v>30967589</v>
      </c>
      <c r="K4085">
        <v>26260785</v>
      </c>
      <c r="L4085">
        <v>24592968</v>
      </c>
      <c r="M4085">
        <v>18584901</v>
      </c>
      <c r="N4085">
        <v>24687088</v>
      </c>
      <c r="O4085">
        <v>23274131</v>
      </c>
      <c r="P4085">
        <v>96</v>
      </c>
      <c r="Q4085" t="s">
        <v>8515</v>
      </c>
    </row>
    <row r="4086" spans="1:17" x14ac:dyDescent="0.3">
      <c r="A4086" t="s">
        <v>4664</v>
      </c>
      <c r="B4086" t="str">
        <f>"300330"</f>
        <v>300330</v>
      </c>
      <c r="C4086" t="s">
        <v>8516</v>
      </c>
      <c r="D4086" t="s">
        <v>236</v>
      </c>
      <c r="F4086">
        <v>1715376</v>
      </c>
      <c r="G4086">
        <v>1583719</v>
      </c>
      <c r="H4086">
        <v>1057889</v>
      </c>
      <c r="I4086">
        <v>-17113481</v>
      </c>
      <c r="J4086">
        <v>-4421917</v>
      </c>
      <c r="K4086">
        <v>-10497976</v>
      </c>
      <c r="L4086">
        <v>1200682</v>
      </c>
      <c r="M4086">
        <v>13271034</v>
      </c>
      <c r="N4086">
        <v>16691487</v>
      </c>
      <c r="O4086">
        <v>21467739</v>
      </c>
      <c r="P4086">
        <v>82</v>
      </c>
      <c r="Q4086" t="s">
        <v>8517</v>
      </c>
    </row>
    <row r="4087" spans="1:17" x14ac:dyDescent="0.3">
      <c r="A4087" t="s">
        <v>4664</v>
      </c>
      <c r="B4087" t="str">
        <f>"300331"</f>
        <v>300331</v>
      </c>
      <c r="C4087" t="s">
        <v>8518</v>
      </c>
      <c r="D4087" t="s">
        <v>1117</v>
      </c>
      <c r="F4087">
        <v>52553017</v>
      </c>
      <c r="G4087">
        <v>33770996</v>
      </c>
      <c r="H4087">
        <v>60248457</v>
      </c>
      <c r="I4087">
        <v>62472377</v>
      </c>
      <c r="J4087">
        <v>61000190</v>
      </c>
      <c r="K4087">
        <v>11052523</v>
      </c>
      <c r="L4087">
        <v>4710537</v>
      </c>
      <c r="M4087">
        <v>13093135</v>
      </c>
      <c r="N4087">
        <v>14591187</v>
      </c>
      <c r="O4087">
        <v>24937135</v>
      </c>
      <c r="P4087">
        <v>164</v>
      </c>
      <c r="Q4087" t="s">
        <v>8519</v>
      </c>
    </row>
    <row r="4088" spans="1:17" x14ac:dyDescent="0.3">
      <c r="A4088" t="s">
        <v>4664</v>
      </c>
      <c r="B4088" t="str">
        <f>"300332"</f>
        <v>300332</v>
      </c>
      <c r="C4088" t="s">
        <v>8520</v>
      </c>
      <c r="D4088" t="s">
        <v>749</v>
      </c>
      <c r="F4088">
        <v>51148346</v>
      </c>
      <c r="G4088">
        <v>35092475</v>
      </c>
      <c r="H4088">
        <v>47679520</v>
      </c>
      <c r="I4088">
        <v>31078730</v>
      </c>
      <c r="J4088">
        <v>45172035</v>
      </c>
      <c r="K4088">
        <v>87271675</v>
      </c>
      <c r="L4088">
        <v>92826168</v>
      </c>
      <c r="M4088">
        <v>85520428</v>
      </c>
      <c r="N4088">
        <v>77892015</v>
      </c>
      <c r="O4088">
        <v>48193872</v>
      </c>
      <c r="P4088">
        <v>117</v>
      </c>
      <c r="Q4088" t="s">
        <v>8521</v>
      </c>
    </row>
    <row r="4089" spans="1:17" x14ac:dyDescent="0.3">
      <c r="A4089" t="s">
        <v>4664</v>
      </c>
      <c r="B4089" t="str">
        <f>"300333"</f>
        <v>300333</v>
      </c>
      <c r="C4089" t="s">
        <v>8522</v>
      </c>
      <c r="D4089" t="s">
        <v>236</v>
      </c>
      <c r="F4089">
        <v>-18150043</v>
      </c>
      <c r="G4089">
        <v>1841023</v>
      </c>
      <c r="H4089">
        <v>12510898</v>
      </c>
      <c r="I4089">
        <v>16629487</v>
      </c>
      <c r="J4089">
        <v>25593883</v>
      </c>
      <c r="K4089">
        <v>21745759</v>
      </c>
      <c r="L4089">
        <v>32803673</v>
      </c>
      <c r="M4089">
        <v>31448131</v>
      </c>
      <c r="N4089">
        <v>37713275</v>
      </c>
      <c r="O4089">
        <v>62493704</v>
      </c>
      <c r="P4089">
        <v>94</v>
      </c>
      <c r="Q4089" t="s">
        <v>8523</v>
      </c>
    </row>
    <row r="4090" spans="1:17" x14ac:dyDescent="0.3">
      <c r="A4090" t="s">
        <v>4664</v>
      </c>
      <c r="B4090" t="str">
        <f>"300334"</f>
        <v>300334</v>
      </c>
      <c r="C4090" t="s">
        <v>8524</v>
      </c>
      <c r="D4090" t="s">
        <v>33</v>
      </c>
      <c r="F4090">
        <v>13894639</v>
      </c>
      <c r="G4090">
        <v>-25718331</v>
      </c>
      <c r="H4090">
        <v>-104041236</v>
      </c>
      <c r="I4090">
        <v>5158103</v>
      </c>
      <c r="J4090">
        <v>861121</v>
      </c>
      <c r="K4090">
        <v>19865090</v>
      </c>
      <c r="L4090">
        <v>18473978</v>
      </c>
      <c r="M4090">
        <v>43366998</v>
      </c>
      <c r="N4090">
        <v>36741984</v>
      </c>
      <c r="O4090">
        <v>26291992</v>
      </c>
      <c r="P4090">
        <v>80</v>
      </c>
      <c r="Q4090" t="s">
        <v>8525</v>
      </c>
    </row>
    <row r="4091" spans="1:17" x14ac:dyDescent="0.3">
      <c r="A4091" t="s">
        <v>4664</v>
      </c>
      <c r="B4091" t="str">
        <f>"300335"</f>
        <v>300335</v>
      </c>
      <c r="C4091" t="s">
        <v>8526</v>
      </c>
      <c r="D4091" t="s">
        <v>351</v>
      </c>
      <c r="F4091">
        <v>24623083</v>
      </c>
      <c r="G4091">
        <v>40129073</v>
      </c>
      <c r="H4091">
        <v>90993359</v>
      </c>
      <c r="I4091">
        <v>148959268</v>
      </c>
      <c r="J4091">
        <v>163305981</v>
      </c>
      <c r="K4091">
        <v>88996506</v>
      </c>
      <c r="L4091">
        <v>39516450</v>
      </c>
      <c r="M4091">
        <v>40658098</v>
      </c>
      <c r="N4091">
        <v>57555395</v>
      </c>
      <c r="O4091">
        <v>47006831</v>
      </c>
      <c r="P4091">
        <v>231</v>
      </c>
      <c r="Q4091" t="s">
        <v>8527</v>
      </c>
    </row>
    <row r="4092" spans="1:17" x14ac:dyDescent="0.3">
      <c r="A4092" t="s">
        <v>4664</v>
      </c>
      <c r="B4092" t="str">
        <f>"300336"</f>
        <v>300336</v>
      </c>
      <c r="C4092" t="s">
        <v>8528</v>
      </c>
      <c r="D4092" t="s">
        <v>5063</v>
      </c>
      <c r="F4092">
        <v>-167304491</v>
      </c>
      <c r="G4092">
        <v>-174609988</v>
      </c>
      <c r="H4092">
        <v>84249926</v>
      </c>
      <c r="I4092">
        <v>224436903</v>
      </c>
      <c r="J4092">
        <v>202614149</v>
      </c>
      <c r="K4092">
        <v>166215694</v>
      </c>
      <c r="L4092">
        <v>146939713</v>
      </c>
      <c r="M4092">
        <v>72591124</v>
      </c>
      <c r="N4092">
        <v>64281787</v>
      </c>
      <c r="O4092">
        <v>55750527</v>
      </c>
      <c r="P4092">
        <v>98</v>
      </c>
      <c r="Q4092" t="s">
        <v>8529</v>
      </c>
    </row>
    <row r="4093" spans="1:17" x14ac:dyDescent="0.3">
      <c r="A4093" t="s">
        <v>4664</v>
      </c>
      <c r="B4093" t="str">
        <f>"300337"</f>
        <v>300337</v>
      </c>
      <c r="C4093" t="s">
        <v>8530</v>
      </c>
      <c r="D4093" t="s">
        <v>504</v>
      </c>
      <c r="F4093">
        <v>24818135</v>
      </c>
      <c r="G4093">
        <v>1376003</v>
      </c>
      <c r="H4093">
        <v>-67730715</v>
      </c>
      <c r="I4093">
        <v>21438366</v>
      </c>
      <c r="J4093">
        <v>5985992</v>
      </c>
      <c r="K4093">
        <v>10344007</v>
      </c>
      <c r="L4093">
        <v>-60304615</v>
      </c>
      <c r="M4093">
        <v>52193785</v>
      </c>
      <c r="N4093">
        <v>64310245</v>
      </c>
      <c r="O4093">
        <v>91128840</v>
      </c>
      <c r="P4093">
        <v>142</v>
      </c>
      <c r="Q4093" t="s">
        <v>8531</v>
      </c>
    </row>
    <row r="4094" spans="1:17" x14ac:dyDescent="0.3">
      <c r="A4094" t="s">
        <v>4664</v>
      </c>
      <c r="B4094" t="str">
        <f>"300338"</f>
        <v>300338</v>
      </c>
      <c r="C4094" t="s">
        <v>8532</v>
      </c>
      <c r="D4094" t="s">
        <v>1336</v>
      </c>
      <c r="F4094">
        <v>-180292020</v>
      </c>
      <c r="G4094">
        <v>-171672592</v>
      </c>
      <c r="H4094">
        <v>46931377</v>
      </c>
      <c r="I4094">
        <v>101924250</v>
      </c>
      <c r="J4094">
        <v>109172515</v>
      </c>
      <c r="K4094">
        <v>6898286</v>
      </c>
      <c r="L4094">
        <v>-2249863</v>
      </c>
      <c r="M4094">
        <v>32659716</v>
      </c>
      <c r="N4094">
        <v>26069636</v>
      </c>
      <c r="O4094">
        <v>39100092</v>
      </c>
      <c r="P4094">
        <v>118</v>
      </c>
      <c r="Q4094" t="s">
        <v>8533</v>
      </c>
    </row>
    <row r="4095" spans="1:17" x14ac:dyDescent="0.3">
      <c r="A4095" t="s">
        <v>4664</v>
      </c>
      <c r="B4095" t="str">
        <f>"300339"</f>
        <v>300339</v>
      </c>
      <c r="C4095" t="s">
        <v>8534</v>
      </c>
      <c r="D4095" t="s">
        <v>316</v>
      </c>
      <c r="F4095">
        <v>113496556</v>
      </c>
      <c r="G4095">
        <v>111621325</v>
      </c>
      <c r="H4095">
        <v>167912770</v>
      </c>
      <c r="I4095">
        <v>178967748</v>
      </c>
      <c r="J4095">
        <v>124909089</v>
      </c>
      <c r="K4095">
        <v>95206335</v>
      </c>
      <c r="L4095">
        <v>60940169</v>
      </c>
      <c r="M4095">
        <v>57224550</v>
      </c>
      <c r="N4095">
        <v>52558642</v>
      </c>
      <c r="O4095">
        <v>39574882</v>
      </c>
      <c r="P4095">
        <v>332</v>
      </c>
      <c r="Q4095" t="s">
        <v>8535</v>
      </c>
    </row>
    <row r="4096" spans="1:17" x14ac:dyDescent="0.3">
      <c r="A4096" t="s">
        <v>4664</v>
      </c>
      <c r="B4096" t="str">
        <f>"300340"</f>
        <v>300340</v>
      </c>
      <c r="C4096" t="s">
        <v>8536</v>
      </c>
      <c r="D4096" t="s">
        <v>1786</v>
      </c>
      <c r="F4096">
        <v>22660067</v>
      </c>
      <c r="G4096">
        <v>-69853198</v>
      </c>
      <c r="H4096">
        <v>20396750</v>
      </c>
      <c r="I4096">
        <v>50905825</v>
      </c>
      <c r="J4096">
        <v>135430153</v>
      </c>
      <c r="K4096">
        <v>5840658</v>
      </c>
      <c r="L4096">
        <v>-18881556</v>
      </c>
      <c r="M4096">
        <v>-16331000</v>
      </c>
      <c r="N4096">
        <v>5216788</v>
      </c>
      <c r="O4096">
        <v>49343542</v>
      </c>
      <c r="P4096">
        <v>96</v>
      </c>
      <c r="Q4096" t="s">
        <v>8537</v>
      </c>
    </row>
    <row r="4097" spans="1:17" x14ac:dyDescent="0.3">
      <c r="A4097" t="s">
        <v>4664</v>
      </c>
      <c r="B4097" t="str">
        <f>"300341"</f>
        <v>300341</v>
      </c>
      <c r="C4097" t="s">
        <v>8538</v>
      </c>
      <c r="D4097" t="s">
        <v>210</v>
      </c>
      <c r="F4097">
        <v>120422252</v>
      </c>
      <c r="G4097">
        <v>93825235</v>
      </c>
      <c r="H4097">
        <v>104959342</v>
      </c>
      <c r="I4097">
        <v>95241032</v>
      </c>
      <c r="J4097">
        <v>87117808</v>
      </c>
      <c r="K4097">
        <v>70353493</v>
      </c>
      <c r="L4097">
        <v>55225107</v>
      </c>
      <c r="M4097">
        <v>30158689</v>
      </c>
      <c r="N4097">
        <v>33680981</v>
      </c>
      <c r="O4097">
        <v>24341892</v>
      </c>
      <c r="P4097">
        <v>142</v>
      </c>
      <c r="Q4097" t="s">
        <v>8539</v>
      </c>
    </row>
    <row r="4098" spans="1:17" x14ac:dyDescent="0.3">
      <c r="A4098" t="s">
        <v>4664</v>
      </c>
      <c r="B4098" t="str">
        <f>"300342"</f>
        <v>300342</v>
      </c>
      <c r="C4098" t="s">
        <v>8540</v>
      </c>
      <c r="D4098" t="s">
        <v>1253</v>
      </c>
      <c r="F4098">
        <v>77830194</v>
      </c>
      <c r="G4098">
        <v>82542324</v>
      </c>
      <c r="H4098">
        <v>107034149</v>
      </c>
      <c r="I4098">
        <v>98782704</v>
      </c>
      <c r="J4098">
        <v>139483625</v>
      </c>
      <c r="K4098">
        <v>107672181</v>
      </c>
      <c r="L4098">
        <v>81772115</v>
      </c>
      <c r="M4098">
        <v>68402511</v>
      </c>
      <c r="N4098">
        <v>78944122</v>
      </c>
      <c r="O4098">
        <v>57835717</v>
      </c>
      <c r="P4098">
        <v>181</v>
      </c>
      <c r="Q4098" t="s">
        <v>8541</v>
      </c>
    </row>
    <row r="4099" spans="1:17" x14ac:dyDescent="0.3">
      <c r="A4099" t="s">
        <v>4664</v>
      </c>
      <c r="B4099" t="str">
        <f>"300343"</f>
        <v>300343</v>
      </c>
      <c r="C4099" t="s">
        <v>8542</v>
      </c>
      <c r="D4099" t="s">
        <v>207</v>
      </c>
      <c r="F4099">
        <v>162879255</v>
      </c>
      <c r="G4099">
        <v>21479903</v>
      </c>
      <c r="H4099">
        <v>128330556</v>
      </c>
      <c r="I4099">
        <v>160379487</v>
      </c>
      <c r="J4099">
        <v>228757122</v>
      </c>
      <c r="K4099">
        <v>160996603</v>
      </c>
      <c r="L4099">
        <v>33760160</v>
      </c>
      <c r="M4099">
        <v>13057828</v>
      </c>
      <c r="N4099">
        <v>37182338</v>
      </c>
      <c r="O4099">
        <v>37529704</v>
      </c>
      <c r="P4099">
        <v>155</v>
      </c>
      <c r="Q4099" t="s">
        <v>8543</v>
      </c>
    </row>
    <row r="4100" spans="1:17" x14ac:dyDescent="0.3">
      <c r="A4100" t="s">
        <v>4664</v>
      </c>
      <c r="B4100" t="str">
        <f>"300344"</f>
        <v>300344</v>
      </c>
      <c r="C4100" t="s">
        <v>8544</v>
      </c>
      <c r="D4100" t="s">
        <v>945</v>
      </c>
      <c r="F4100">
        <v>75775241</v>
      </c>
      <c r="G4100">
        <v>-83014020</v>
      </c>
      <c r="H4100">
        <v>13360289</v>
      </c>
      <c r="I4100">
        <v>48867803</v>
      </c>
      <c r="J4100">
        <v>-7268823</v>
      </c>
      <c r="K4100">
        <v>7040564</v>
      </c>
      <c r="L4100">
        <v>-38164905</v>
      </c>
      <c r="M4100">
        <v>1076722</v>
      </c>
      <c r="N4100">
        <v>20686483</v>
      </c>
      <c r="O4100">
        <v>40183572</v>
      </c>
      <c r="P4100">
        <v>64</v>
      </c>
      <c r="Q4100" t="s">
        <v>8545</v>
      </c>
    </row>
    <row r="4101" spans="1:17" x14ac:dyDescent="0.3">
      <c r="A4101" t="s">
        <v>4664</v>
      </c>
      <c r="B4101" t="str">
        <f>"300345"</f>
        <v>300345</v>
      </c>
      <c r="C4101" t="s">
        <v>8546</v>
      </c>
      <c r="D4101" t="s">
        <v>404</v>
      </c>
      <c r="F4101">
        <v>12766022</v>
      </c>
      <c r="G4101">
        <v>9495281</v>
      </c>
      <c r="H4101">
        <v>44885651</v>
      </c>
      <c r="I4101">
        <v>-59912286</v>
      </c>
      <c r="J4101">
        <v>-6910855</v>
      </c>
      <c r="K4101">
        <v>11980987</v>
      </c>
      <c r="L4101">
        <v>32169116</v>
      </c>
      <c r="M4101">
        <v>1764240</v>
      </c>
      <c r="N4101">
        <v>27331148</v>
      </c>
      <c r="O4101">
        <v>35304337</v>
      </c>
      <c r="P4101">
        <v>53</v>
      </c>
      <c r="Q4101" t="s">
        <v>8547</v>
      </c>
    </row>
    <row r="4102" spans="1:17" x14ac:dyDescent="0.3">
      <c r="A4102" t="s">
        <v>4664</v>
      </c>
      <c r="B4102" t="str">
        <f>"300346"</f>
        <v>300346</v>
      </c>
      <c r="C4102" t="s">
        <v>8548</v>
      </c>
      <c r="D4102" t="s">
        <v>2399</v>
      </c>
      <c r="F4102">
        <v>123990224</v>
      </c>
      <c r="G4102">
        <v>89469458</v>
      </c>
      <c r="H4102">
        <v>45416367</v>
      </c>
      <c r="I4102">
        <v>50070293</v>
      </c>
      <c r="J4102">
        <v>29465545</v>
      </c>
      <c r="K4102">
        <v>14340132</v>
      </c>
      <c r="L4102">
        <v>33342086</v>
      </c>
      <c r="M4102">
        <v>35666440</v>
      </c>
      <c r="N4102">
        <v>51208383</v>
      </c>
      <c r="O4102">
        <v>75770861</v>
      </c>
      <c r="P4102">
        <v>447</v>
      </c>
      <c r="Q4102" t="s">
        <v>8549</v>
      </c>
    </row>
    <row r="4103" spans="1:17" x14ac:dyDescent="0.3">
      <c r="A4103" t="s">
        <v>4664</v>
      </c>
      <c r="B4103" t="str">
        <f>"300347"</f>
        <v>300347</v>
      </c>
      <c r="C4103" t="s">
        <v>8550</v>
      </c>
      <c r="D4103" t="s">
        <v>1461</v>
      </c>
      <c r="F4103">
        <v>1781050133</v>
      </c>
      <c r="G4103">
        <v>1318020419</v>
      </c>
      <c r="H4103">
        <v>528124249</v>
      </c>
      <c r="I4103">
        <v>317921571</v>
      </c>
      <c r="J4103">
        <v>200361723</v>
      </c>
      <c r="K4103">
        <v>99668591</v>
      </c>
      <c r="L4103">
        <v>110507676</v>
      </c>
      <c r="M4103">
        <v>84818820</v>
      </c>
      <c r="N4103">
        <v>67326513</v>
      </c>
      <c r="O4103">
        <v>46379421</v>
      </c>
      <c r="P4103">
        <v>3109</v>
      </c>
      <c r="Q4103" t="s">
        <v>8551</v>
      </c>
    </row>
    <row r="4104" spans="1:17" x14ac:dyDescent="0.3">
      <c r="A4104" t="s">
        <v>4664</v>
      </c>
      <c r="B4104" t="str">
        <f>"300348"</f>
        <v>300348</v>
      </c>
      <c r="C4104" t="s">
        <v>8552</v>
      </c>
      <c r="D4104" t="s">
        <v>945</v>
      </c>
      <c r="F4104">
        <v>18868865</v>
      </c>
      <c r="G4104">
        <v>34095626</v>
      </c>
      <c r="H4104">
        <v>23875258</v>
      </c>
      <c r="I4104">
        <v>30281363</v>
      </c>
      <c r="J4104">
        <v>26662459</v>
      </c>
      <c r="K4104">
        <v>58248571</v>
      </c>
      <c r="L4104">
        <v>2759272</v>
      </c>
      <c r="M4104">
        <v>20464555</v>
      </c>
      <c r="N4104">
        <v>14138249</v>
      </c>
      <c r="O4104">
        <v>27707427</v>
      </c>
      <c r="P4104">
        <v>364</v>
      </c>
      <c r="Q4104" t="s">
        <v>8553</v>
      </c>
    </row>
    <row r="4105" spans="1:17" x14ac:dyDescent="0.3">
      <c r="A4105" t="s">
        <v>4664</v>
      </c>
      <c r="B4105" t="str">
        <f>"300349"</f>
        <v>300349</v>
      </c>
      <c r="C4105" t="s">
        <v>8554</v>
      </c>
      <c r="D4105" t="s">
        <v>2551</v>
      </c>
      <c r="F4105">
        <v>197130821</v>
      </c>
      <c r="G4105">
        <v>227922093</v>
      </c>
      <c r="H4105">
        <v>296297947</v>
      </c>
      <c r="I4105">
        <v>346272966</v>
      </c>
      <c r="J4105">
        <v>176183403</v>
      </c>
      <c r="K4105">
        <v>55709171</v>
      </c>
      <c r="L4105">
        <v>65465610</v>
      </c>
      <c r="M4105">
        <v>105798759</v>
      </c>
      <c r="N4105">
        <v>88140498</v>
      </c>
      <c r="O4105">
        <v>60076751</v>
      </c>
      <c r="P4105">
        <v>395</v>
      </c>
      <c r="Q4105" t="s">
        <v>8555</v>
      </c>
    </row>
    <row r="4106" spans="1:17" x14ac:dyDescent="0.3">
      <c r="A4106" t="s">
        <v>4664</v>
      </c>
      <c r="B4106" t="str">
        <f>"300350"</f>
        <v>300350</v>
      </c>
      <c r="C4106" t="s">
        <v>8556</v>
      </c>
      <c r="D4106" t="s">
        <v>3098</v>
      </c>
      <c r="F4106">
        <v>85331502</v>
      </c>
      <c r="G4106">
        <v>4209198</v>
      </c>
      <c r="H4106">
        <v>20394160</v>
      </c>
      <c r="I4106">
        <v>71474189</v>
      </c>
      <c r="J4106">
        <v>89498467</v>
      </c>
      <c r="K4106">
        <v>69365808</v>
      </c>
      <c r="L4106">
        <v>29152376</v>
      </c>
      <c r="M4106">
        <v>24503802</v>
      </c>
      <c r="N4106">
        <v>30470800</v>
      </c>
      <c r="O4106">
        <v>32473129</v>
      </c>
      <c r="P4106">
        <v>106</v>
      </c>
      <c r="Q4106" t="s">
        <v>8557</v>
      </c>
    </row>
    <row r="4107" spans="1:17" x14ac:dyDescent="0.3">
      <c r="A4107" t="s">
        <v>4664</v>
      </c>
      <c r="B4107" t="str">
        <f>"300351"</f>
        <v>300351</v>
      </c>
      <c r="C4107" t="s">
        <v>8558</v>
      </c>
      <c r="D4107" t="s">
        <v>1012</v>
      </c>
      <c r="F4107">
        <v>90096449</v>
      </c>
      <c r="G4107">
        <v>74721149</v>
      </c>
      <c r="H4107">
        <v>86226773</v>
      </c>
      <c r="I4107">
        <v>116392309</v>
      </c>
      <c r="J4107">
        <v>121969080</v>
      </c>
      <c r="K4107">
        <v>107035887</v>
      </c>
      <c r="L4107">
        <v>81649270</v>
      </c>
      <c r="M4107">
        <v>80371276</v>
      </c>
      <c r="N4107">
        <v>36644940</v>
      </c>
      <c r="O4107">
        <v>45137402</v>
      </c>
      <c r="P4107">
        <v>234</v>
      </c>
      <c r="Q4107" t="s">
        <v>8559</v>
      </c>
    </row>
    <row r="4108" spans="1:17" x14ac:dyDescent="0.3">
      <c r="A4108" t="s">
        <v>4664</v>
      </c>
      <c r="B4108" t="str">
        <f>"300352"</f>
        <v>300352</v>
      </c>
      <c r="C4108" t="s">
        <v>8560</v>
      </c>
      <c r="D4108" t="s">
        <v>945</v>
      </c>
      <c r="F4108">
        <v>10142701</v>
      </c>
      <c r="G4108">
        <v>71086413</v>
      </c>
      <c r="H4108">
        <v>61196844</v>
      </c>
      <c r="I4108">
        <v>33564734</v>
      </c>
      <c r="J4108">
        <v>25138241</v>
      </c>
      <c r="K4108">
        <v>22397344</v>
      </c>
      <c r="L4108">
        <v>20185771</v>
      </c>
      <c r="M4108">
        <v>16386612</v>
      </c>
      <c r="N4108">
        <v>15639502</v>
      </c>
      <c r="O4108">
        <v>13382962</v>
      </c>
      <c r="P4108">
        <v>255</v>
      </c>
      <c r="Q4108" t="s">
        <v>8561</v>
      </c>
    </row>
    <row r="4109" spans="1:17" x14ac:dyDescent="0.3">
      <c r="A4109" t="s">
        <v>4664</v>
      </c>
      <c r="B4109" t="str">
        <f>"300353"</f>
        <v>300353</v>
      </c>
      <c r="C4109" t="s">
        <v>8562</v>
      </c>
      <c r="D4109" t="s">
        <v>595</v>
      </c>
      <c r="F4109">
        <v>-34661922</v>
      </c>
      <c r="G4109">
        <v>-73450753</v>
      </c>
      <c r="H4109">
        <v>108100322</v>
      </c>
      <c r="I4109">
        <v>45429641</v>
      </c>
      <c r="J4109">
        <v>75153350</v>
      </c>
      <c r="K4109">
        <v>67894068</v>
      </c>
      <c r="L4109">
        <v>20543768</v>
      </c>
      <c r="M4109">
        <v>6057418</v>
      </c>
      <c r="N4109">
        <v>20002000</v>
      </c>
      <c r="O4109">
        <v>25682571</v>
      </c>
      <c r="P4109">
        <v>3033</v>
      </c>
      <c r="Q4109" t="s">
        <v>8563</v>
      </c>
    </row>
    <row r="4110" spans="1:17" x14ac:dyDescent="0.3">
      <c r="A4110" t="s">
        <v>4664</v>
      </c>
      <c r="B4110" t="str">
        <f>"300354"</f>
        <v>300354</v>
      </c>
      <c r="C4110" t="s">
        <v>8564</v>
      </c>
      <c r="D4110" t="s">
        <v>2551</v>
      </c>
      <c r="F4110">
        <v>39559717</v>
      </c>
      <c r="G4110">
        <v>8755391</v>
      </c>
      <c r="H4110">
        <v>5322004</v>
      </c>
      <c r="I4110">
        <v>2481760</v>
      </c>
      <c r="J4110">
        <v>1376026</v>
      </c>
      <c r="K4110">
        <v>1144043</v>
      </c>
      <c r="L4110">
        <v>1465067</v>
      </c>
      <c r="M4110">
        <v>2861841</v>
      </c>
      <c r="N4110">
        <v>8130498</v>
      </c>
      <c r="O4110">
        <v>15750016</v>
      </c>
      <c r="P4110">
        <v>139</v>
      </c>
      <c r="Q4110" t="s">
        <v>8565</v>
      </c>
    </row>
    <row r="4111" spans="1:17" x14ac:dyDescent="0.3">
      <c r="A4111" t="s">
        <v>4664</v>
      </c>
      <c r="B4111" t="str">
        <f>"300355"</f>
        <v>300355</v>
      </c>
      <c r="C4111" t="s">
        <v>8566</v>
      </c>
      <c r="D4111" t="s">
        <v>2408</v>
      </c>
      <c r="F4111">
        <v>242041899</v>
      </c>
      <c r="G4111">
        <v>119330753</v>
      </c>
      <c r="H4111">
        <v>121977253</v>
      </c>
      <c r="I4111">
        <v>325307433</v>
      </c>
      <c r="J4111">
        <v>717995420</v>
      </c>
      <c r="K4111">
        <v>240362322</v>
      </c>
      <c r="L4111">
        <v>149838339</v>
      </c>
      <c r="M4111">
        <v>145933501</v>
      </c>
      <c r="N4111">
        <v>87526093</v>
      </c>
      <c r="O4111">
        <v>79937630</v>
      </c>
      <c r="P4111">
        <v>406</v>
      </c>
      <c r="Q4111" t="s">
        <v>8567</v>
      </c>
    </row>
    <row r="4112" spans="1:17" x14ac:dyDescent="0.3">
      <c r="A4112" t="s">
        <v>4664</v>
      </c>
      <c r="B4112" t="str">
        <f>"300356"</f>
        <v>300356</v>
      </c>
      <c r="C4112" t="s">
        <v>8568</v>
      </c>
      <c r="D4112" t="s">
        <v>2171</v>
      </c>
      <c r="F4112">
        <v>-61030000</v>
      </c>
      <c r="G4112">
        <v>-46521613</v>
      </c>
      <c r="H4112">
        <v>4097997</v>
      </c>
      <c r="I4112">
        <v>22503113</v>
      </c>
      <c r="J4112">
        <v>-15032704</v>
      </c>
      <c r="K4112">
        <v>24602838</v>
      </c>
      <c r="L4112">
        <v>22756261</v>
      </c>
      <c r="M4112">
        <v>30424514</v>
      </c>
      <c r="N4112">
        <v>34957065</v>
      </c>
      <c r="O4112">
        <v>45885454</v>
      </c>
      <c r="P4112">
        <v>67</v>
      </c>
      <c r="Q4112" t="s">
        <v>8569</v>
      </c>
    </row>
    <row r="4113" spans="1:17" x14ac:dyDescent="0.3">
      <c r="A4113" t="s">
        <v>4664</v>
      </c>
      <c r="B4113" t="str">
        <f>"300357"</f>
        <v>300357</v>
      </c>
      <c r="C4113" t="s">
        <v>8570</v>
      </c>
      <c r="D4113" t="s">
        <v>1379</v>
      </c>
      <c r="F4113">
        <v>274592849</v>
      </c>
      <c r="G4113">
        <v>229130659</v>
      </c>
      <c r="H4113">
        <v>246581920</v>
      </c>
      <c r="I4113">
        <v>189338768</v>
      </c>
      <c r="J4113">
        <v>148488520</v>
      </c>
      <c r="K4113">
        <v>102579185</v>
      </c>
      <c r="L4113">
        <v>91268477</v>
      </c>
      <c r="M4113">
        <v>75096415</v>
      </c>
      <c r="N4113">
        <v>56084804</v>
      </c>
      <c r="P4113">
        <v>31269</v>
      </c>
      <c r="Q4113" t="s">
        <v>8571</v>
      </c>
    </row>
    <row r="4114" spans="1:17" x14ac:dyDescent="0.3">
      <c r="A4114" t="s">
        <v>4664</v>
      </c>
      <c r="B4114" t="str">
        <f>"300358"</f>
        <v>300358</v>
      </c>
      <c r="C4114" t="s">
        <v>8572</v>
      </c>
      <c r="D4114" t="s">
        <v>122</v>
      </c>
      <c r="F4114">
        <v>401204165</v>
      </c>
      <c r="G4114">
        <v>46376276</v>
      </c>
      <c r="H4114">
        <v>22483882</v>
      </c>
      <c r="I4114">
        <v>65285671</v>
      </c>
      <c r="J4114">
        <v>105431116</v>
      </c>
      <c r="K4114">
        <v>94950865</v>
      </c>
      <c r="L4114">
        <v>85946221</v>
      </c>
      <c r="M4114">
        <v>109169965</v>
      </c>
      <c r="N4114">
        <v>104371869</v>
      </c>
      <c r="P4114">
        <v>185</v>
      </c>
      <c r="Q4114" t="s">
        <v>8573</v>
      </c>
    </row>
    <row r="4115" spans="1:17" x14ac:dyDescent="0.3">
      <c r="A4115" t="s">
        <v>4664</v>
      </c>
      <c r="B4115" t="str">
        <f>"300359"</f>
        <v>300359</v>
      </c>
      <c r="C4115" t="s">
        <v>8574</v>
      </c>
      <c r="D4115" t="s">
        <v>1336</v>
      </c>
      <c r="F4115">
        <v>13007002</v>
      </c>
      <c r="G4115">
        <v>28589878</v>
      </c>
      <c r="H4115">
        <v>-17393792</v>
      </c>
      <c r="I4115">
        <v>5951118</v>
      </c>
      <c r="J4115">
        <v>-3071913</v>
      </c>
      <c r="K4115">
        <v>42157712</v>
      </c>
      <c r="L4115">
        <v>32990207</v>
      </c>
      <c r="M4115">
        <v>31243027</v>
      </c>
      <c r="N4115">
        <v>26885481</v>
      </c>
      <c r="P4115">
        <v>166</v>
      </c>
      <c r="Q4115" t="s">
        <v>8575</v>
      </c>
    </row>
    <row r="4116" spans="1:17" x14ac:dyDescent="0.3">
      <c r="A4116" t="s">
        <v>4664</v>
      </c>
      <c r="B4116" t="str">
        <f>"300360"</f>
        <v>300360</v>
      </c>
      <c r="C4116" t="s">
        <v>8576</v>
      </c>
      <c r="D4116" t="s">
        <v>2171</v>
      </c>
      <c r="F4116">
        <v>219086438</v>
      </c>
      <c r="G4116">
        <v>223385693</v>
      </c>
      <c r="H4116">
        <v>150903048</v>
      </c>
      <c r="I4116">
        <v>128397385</v>
      </c>
      <c r="J4116">
        <v>119920443</v>
      </c>
      <c r="K4116">
        <v>198801192</v>
      </c>
      <c r="L4116">
        <v>177665829</v>
      </c>
      <c r="M4116">
        <v>145803273</v>
      </c>
      <c r="N4116">
        <v>120743480</v>
      </c>
      <c r="P4116">
        <v>958</v>
      </c>
      <c r="Q4116" t="s">
        <v>8577</v>
      </c>
    </row>
    <row r="4117" spans="1:17" x14ac:dyDescent="0.3">
      <c r="A4117" t="s">
        <v>4664</v>
      </c>
      <c r="B4117" t="str">
        <f>"300361"</f>
        <v>300361</v>
      </c>
      <c r="C4117" t="s">
        <v>7211</v>
      </c>
      <c r="D4117" t="s">
        <v>143</v>
      </c>
      <c r="P4117">
        <v>8</v>
      </c>
      <c r="Q4117" t="s">
        <v>8578</v>
      </c>
    </row>
    <row r="4118" spans="1:17" x14ac:dyDescent="0.3">
      <c r="A4118" t="s">
        <v>4664</v>
      </c>
      <c r="B4118" t="str">
        <f>"300362"</f>
        <v>300362</v>
      </c>
      <c r="C4118" t="s">
        <v>8579</v>
      </c>
      <c r="G4118">
        <v>-44644828</v>
      </c>
      <c r="H4118">
        <v>-932491861</v>
      </c>
      <c r="I4118">
        <v>-242690073</v>
      </c>
      <c r="J4118">
        <v>84081451</v>
      </c>
      <c r="K4118">
        <v>59019588</v>
      </c>
      <c r="L4118">
        <v>22351187</v>
      </c>
      <c r="M4118">
        <v>14769515</v>
      </c>
      <c r="N4118">
        <v>17442070</v>
      </c>
      <c r="O4118">
        <v>20174272.629999999</v>
      </c>
      <c r="P4118">
        <v>87</v>
      </c>
      <c r="Q4118" t="s">
        <v>8580</v>
      </c>
    </row>
    <row r="4119" spans="1:17" x14ac:dyDescent="0.3">
      <c r="A4119" t="s">
        <v>4664</v>
      </c>
      <c r="B4119" t="str">
        <f>"300363"</f>
        <v>300363</v>
      </c>
      <c r="C4119" t="s">
        <v>8581</v>
      </c>
      <c r="D4119" t="s">
        <v>1461</v>
      </c>
      <c r="F4119">
        <v>360700821</v>
      </c>
      <c r="G4119">
        <v>239005186</v>
      </c>
      <c r="H4119">
        <v>135719184</v>
      </c>
      <c r="I4119">
        <v>97651558</v>
      </c>
      <c r="J4119">
        <v>70997200</v>
      </c>
      <c r="K4119">
        <v>121217413</v>
      </c>
      <c r="L4119">
        <v>83651437</v>
      </c>
      <c r="M4119">
        <v>66774075</v>
      </c>
      <c r="N4119">
        <v>96189002</v>
      </c>
      <c r="P4119">
        <v>542</v>
      </c>
      <c r="Q4119" t="s">
        <v>8582</v>
      </c>
    </row>
    <row r="4120" spans="1:17" x14ac:dyDescent="0.3">
      <c r="A4120" t="s">
        <v>4664</v>
      </c>
      <c r="B4120" t="str">
        <f>"300364"</f>
        <v>300364</v>
      </c>
      <c r="C4120" t="s">
        <v>8583</v>
      </c>
      <c r="D4120" t="s">
        <v>525</v>
      </c>
      <c r="F4120">
        <v>57395671</v>
      </c>
      <c r="G4120">
        <v>46352663</v>
      </c>
      <c r="H4120">
        <v>-192401839</v>
      </c>
      <c r="I4120">
        <v>38573457</v>
      </c>
      <c r="J4120">
        <v>37177758</v>
      </c>
      <c r="K4120">
        <v>12123349</v>
      </c>
      <c r="L4120">
        <v>10964359</v>
      </c>
      <c r="M4120">
        <v>10374101</v>
      </c>
      <c r="P4120">
        <v>153</v>
      </c>
      <c r="Q4120" t="s">
        <v>8584</v>
      </c>
    </row>
    <row r="4121" spans="1:17" x14ac:dyDescent="0.3">
      <c r="A4121" t="s">
        <v>4664</v>
      </c>
      <c r="B4121" t="str">
        <f>"300365"</f>
        <v>300365</v>
      </c>
      <c r="C4121" t="s">
        <v>8585</v>
      </c>
      <c r="D4121" t="s">
        <v>945</v>
      </c>
      <c r="F4121">
        <v>59171259</v>
      </c>
      <c r="G4121">
        <v>93205484</v>
      </c>
      <c r="H4121">
        <v>129587205</v>
      </c>
      <c r="I4121">
        <v>110027178</v>
      </c>
      <c r="J4121">
        <v>71560425</v>
      </c>
      <c r="K4121">
        <v>44366676</v>
      </c>
      <c r="L4121">
        <v>27782520</v>
      </c>
      <c r="M4121">
        <v>19273050</v>
      </c>
      <c r="N4121">
        <v>19124351</v>
      </c>
      <c r="P4121">
        <v>334</v>
      </c>
      <c r="Q4121" t="s">
        <v>8586</v>
      </c>
    </row>
    <row r="4122" spans="1:17" x14ac:dyDescent="0.3">
      <c r="A4122" t="s">
        <v>4664</v>
      </c>
      <c r="B4122" t="str">
        <f>"300366"</f>
        <v>300366</v>
      </c>
      <c r="C4122" t="s">
        <v>8587</v>
      </c>
      <c r="D4122" t="s">
        <v>945</v>
      </c>
      <c r="F4122">
        <v>43409823</v>
      </c>
      <c r="G4122">
        <v>33116314</v>
      </c>
      <c r="H4122">
        <v>91987355</v>
      </c>
      <c r="I4122">
        <v>83061797</v>
      </c>
      <c r="J4122">
        <v>77698901</v>
      </c>
      <c r="K4122">
        <v>28708961</v>
      </c>
      <c r="L4122">
        <v>22733509</v>
      </c>
      <c r="M4122">
        <v>21640856</v>
      </c>
      <c r="N4122">
        <v>20723819</v>
      </c>
      <c r="O4122">
        <v>19968293</v>
      </c>
      <c r="P4122">
        <v>222</v>
      </c>
      <c r="Q4122" t="s">
        <v>8588</v>
      </c>
    </row>
    <row r="4123" spans="1:17" x14ac:dyDescent="0.3">
      <c r="A4123" t="s">
        <v>4664</v>
      </c>
      <c r="B4123" t="str">
        <f>"300367"</f>
        <v>300367</v>
      </c>
      <c r="C4123" t="s">
        <v>8589</v>
      </c>
      <c r="D4123" t="s">
        <v>2953</v>
      </c>
      <c r="F4123">
        <v>-411245203</v>
      </c>
      <c r="G4123">
        <v>-450724671</v>
      </c>
      <c r="H4123">
        <v>-330677196</v>
      </c>
      <c r="I4123">
        <v>191963627</v>
      </c>
      <c r="J4123">
        <v>164422134</v>
      </c>
      <c r="K4123">
        <v>110532173</v>
      </c>
      <c r="L4123">
        <v>68767298</v>
      </c>
      <c r="M4123">
        <v>57248324</v>
      </c>
      <c r="N4123">
        <v>36692217</v>
      </c>
      <c r="O4123">
        <v>29734093</v>
      </c>
      <c r="P4123">
        <v>196</v>
      </c>
      <c r="Q4123" t="s">
        <v>8590</v>
      </c>
    </row>
    <row r="4124" spans="1:17" x14ac:dyDescent="0.3">
      <c r="A4124" t="s">
        <v>4664</v>
      </c>
      <c r="B4124" t="str">
        <f>"300368"</f>
        <v>300368</v>
      </c>
      <c r="C4124" t="s">
        <v>8591</v>
      </c>
      <c r="D4124" t="s">
        <v>236</v>
      </c>
      <c r="F4124">
        <v>17868322</v>
      </c>
      <c r="G4124">
        <v>36666941</v>
      </c>
      <c r="H4124">
        <v>25915223</v>
      </c>
      <c r="I4124">
        <v>51495622</v>
      </c>
      <c r="J4124">
        <v>-14055829</v>
      </c>
      <c r="K4124">
        <v>6158200</v>
      </c>
      <c r="L4124">
        <v>8619540</v>
      </c>
      <c r="M4124">
        <v>5895790</v>
      </c>
      <c r="N4124">
        <v>25593687</v>
      </c>
      <c r="P4124">
        <v>119</v>
      </c>
      <c r="Q4124" t="s">
        <v>8592</v>
      </c>
    </row>
    <row r="4125" spans="1:17" x14ac:dyDescent="0.3">
      <c r="A4125" t="s">
        <v>4664</v>
      </c>
      <c r="B4125" t="str">
        <f>"300369"</f>
        <v>300369</v>
      </c>
      <c r="C4125" t="s">
        <v>8593</v>
      </c>
      <c r="D4125" t="s">
        <v>1189</v>
      </c>
      <c r="F4125">
        <v>-30292217</v>
      </c>
      <c r="G4125">
        <v>-7856137</v>
      </c>
      <c r="H4125">
        <v>-1018162</v>
      </c>
      <c r="I4125">
        <v>-43532281</v>
      </c>
      <c r="J4125">
        <v>-58140971</v>
      </c>
      <c r="K4125">
        <v>14498990</v>
      </c>
      <c r="L4125">
        <v>-13639310</v>
      </c>
      <c r="M4125">
        <v>-8116184</v>
      </c>
      <c r="N4125">
        <v>18540022</v>
      </c>
      <c r="P4125">
        <v>418</v>
      </c>
      <c r="Q4125" t="s">
        <v>8594</v>
      </c>
    </row>
    <row r="4126" spans="1:17" x14ac:dyDescent="0.3">
      <c r="A4126" t="s">
        <v>4664</v>
      </c>
      <c r="B4126" t="str">
        <f>"300370"</f>
        <v>300370</v>
      </c>
      <c r="C4126" t="s">
        <v>8595</v>
      </c>
      <c r="D4126" t="s">
        <v>2551</v>
      </c>
      <c r="F4126">
        <v>-230208501</v>
      </c>
      <c r="G4126">
        <v>-162454419</v>
      </c>
      <c r="H4126">
        <v>5044398</v>
      </c>
      <c r="I4126">
        <v>-8526246</v>
      </c>
      <c r="J4126">
        <v>21096687</v>
      </c>
      <c r="K4126">
        <v>8540954</v>
      </c>
      <c r="L4126">
        <v>6478581</v>
      </c>
      <c r="M4126">
        <v>11553524</v>
      </c>
      <c r="N4126">
        <v>12344605</v>
      </c>
      <c r="O4126">
        <v>12401799</v>
      </c>
      <c r="P4126">
        <v>103</v>
      </c>
      <c r="Q4126" t="s">
        <v>8596</v>
      </c>
    </row>
    <row r="4127" spans="1:17" x14ac:dyDescent="0.3">
      <c r="A4127" t="s">
        <v>4664</v>
      </c>
      <c r="B4127" t="str">
        <f>"300371"</f>
        <v>300371</v>
      </c>
      <c r="C4127" t="s">
        <v>8597</v>
      </c>
      <c r="D4127" t="s">
        <v>2551</v>
      </c>
      <c r="F4127">
        <v>88588982</v>
      </c>
      <c r="G4127">
        <v>80501389</v>
      </c>
      <c r="H4127">
        <v>64715464</v>
      </c>
      <c r="I4127">
        <v>49580961</v>
      </c>
      <c r="J4127">
        <v>34484212</v>
      </c>
      <c r="K4127">
        <v>29673272</v>
      </c>
      <c r="L4127">
        <v>42004756</v>
      </c>
      <c r="M4127">
        <v>39627991</v>
      </c>
      <c r="N4127">
        <v>33404327</v>
      </c>
      <c r="P4127">
        <v>288</v>
      </c>
      <c r="Q4127" t="s">
        <v>8598</v>
      </c>
    </row>
    <row r="4128" spans="1:17" x14ac:dyDescent="0.3">
      <c r="A4128" t="s">
        <v>4664</v>
      </c>
      <c r="B4128" t="str">
        <f>"300372"</f>
        <v>300372</v>
      </c>
      <c r="C4128" t="s">
        <v>8599</v>
      </c>
      <c r="K4128">
        <v>-8907076.0999999996</v>
      </c>
      <c r="L4128">
        <v>17039383.710000001</v>
      </c>
      <c r="M4128">
        <v>33333861.039999999</v>
      </c>
      <c r="N4128">
        <v>33253504.440000001</v>
      </c>
      <c r="O4128">
        <v>36803210.240000002</v>
      </c>
      <c r="P4128">
        <v>5</v>
      </c>
      <c r="Q4128" t="s">
        <v>8600</v>
      </c>
    </row>
    <row r="4129" spans="1:17" x14ac:dyDescent="0.3">
      <c r="A4129" t="s">
        <v>4664</v>
      </c>
      <c r="B4129" t="str">
        <f>"300373"</f>
        <v>300373</v>
      </c>
      <c r="C4129" t="s">
        <v>8601</v>
      </c>
      <c r="D4129" t="s">
        <v>795</v>
      </c>
      <c r="F4129">
        <v>564605813</v>
      </c>
      <c r="G4129">
        <v>262403249</v>
      </c>
      <c r="H4129">
        <v>148354536</v>
      </c>
      <c r="I4129">
        <v>234698992</v>
      </c>
      <c r="J4129">
        <v>204404721</v>
      </c>
      <c r="K4129">
        <v>146665819</v>
      </c>
      <c r="L4129">
        <v>100206209</v>
      </c>
      <c r="M4129">
        <v>87934076</v>
      </c>
      <c r="N4129">
        <v>72205253</v>
      </c>
      <c r="O4129">
        <v>51205078</v>
      </c>
      <c r="P4129">
        <v>4304</v>
      </c>
      <c r="Q4129" t="s">
        <v>8602</v>
      </c>
    </row>
    <row r="4130" spans="1:17" x14ac:dyDescent="0.3">
      <c r="A4130" t="s">
        <v>4664</v>
      </c>
      <c r="B4130" t="str">
        <f>"300374"</f>
        <v>300374</v>
      </c>
      <c r="C4130" t="s">
        <v>8603</v>
      </c>
      <c r="D4130" t="s">
        <v>5835</v>
      </c>
      <c r="F4130">
        <v>-254062165</v>
      </c>
      <c r="G4130">
        <v>40588170</v>
      </c>
      <c r="H4130">
        <v>49198857</v>
      </c>
      <c r="I4130">
        <v>53087907</v>
      </c>
      <c r="J4130">
        <v>44565351</v>
      </c>
      <c r="K4130">
        <v>11948598</v>
      </c>
      <c r="L4130">
        <v>22886210</v>
      </c>
      <c r="M4130">
        <v>13000670</v>
      </c>
      <c r="P4130">
        <v>61</v>
      </c>
      <c r="Q4130" t="s">
        <v>8604</v>
      </c>
    </row>
    <row r="4131" spans="1:17" x14ac:dyDescent="0.3">
      <c r="A4131" t="s">
        <v>4664</v>
      </c>
      <c r="B4131" t="str">
        <f>"300375"</f>
        <v>300375</v>
      </c>
      <c r="C4131" t="s">
        <v>8605</v>
      </c>
      <c r="D4131" t="s">
        <v>348</v>
      </c>
      <c r="F4131">
        <v>64749944</v>
      </c>
      <c r="G4131">
        <v>82817864</v>
      </c>
      <c r="H4131">
        <v>66791600</v>
      </c>
      <c r="I4131">
        <v>82814381</v>
      </c>
      <c r="J4131">
        <v>86990528</v>
      </c>
      <c r="K4131">
        <v>97819819</v>
      </c>
      <c r="L4131">
        <v>84510015</v>
      </c>
      <c r="M4131">
        <v>97604822</v>
      </c>
      <c r="N4131">
        <v>79877441</v>
      </c>
      <c r="P4131">
        <v>99</v>
      </c>
      <c r="Q4131" t="s">
        <v>8606</v>
      </c>
    </row>
    <row r="4132" spans="1:17" x14ac:dyDescent="0.3">
      <c r="A4132" t="s">
        <v>4664</v>
      </c>
      <c r="B4132" t="str">
        <f>"300376"</f>
        <v>300376</v>
      </c>
      <c r="C4132" t="s">
        <v>8607</v>
      </c>
      <c r="D4132" t="s">
        <v>880</v>
      </c>
      <c r="F4132">
        <v>363176709</v>
      </c>
      <c r="G4132">
        <v>326478416</v>
      </c>
      <c r="H4132">
        <v>399600228</v>
      </c>
      <c r="I4132">
        <v>555940497</v>
      </c>
      <c r="J4132">
        <v>524389902</v>
      </c>
      <c r="K4132">
        <v>271103667</v>
      </c>
      <c r="L4132">
        <v>187631280</v>
      </c>
      <c r="M4132">
        <v>123916738</v>
      </c>
      <c r="P4132">
        <v>849</v>
      </c>
      <c r="Q4132" t="s">
        <v>8608</v>
      </c>
    </row>
    <row r="4133" spans="1:17" x14ac:dyDescent="0.3">
      <c r="A4133" t="s">
        <v>4664</v>
      </c>
      <c r="B4133" t="str">
        <f>"300377"</f>
        <v>300377</v>
      </c>
      <c r="C4133" t="s">
        <v>8609</v>
      </c>
      <c r="D4133" t="s">
        <v>945</v>
      </c>
      <c r="F4133">
        <v>207601767</v>
      </c>
      <c r="G4133">
        <v>128643853</v>
      </c>
      <c r="H4133">
        <v>125035525</v>
      </c>
      <c r="I4133">
        <v>117881337</v>
      </c>
      <c r="J4133">
        <v>83449905</v>
      </c>
      <c r="K4133">
        <v>30876716</v>
      </c>
      <c r="L4133">
        <v>10259660</v>
      </c>
      <c r="M4133">
        <v>8912293</v>
      </c>
      <c r="N4133">
        <v>5900716</v>
      </c>
      <c r="P4133">
        <v>3125</v>
      </c>
      <c r="Q4133" t="s">
        <v>8610</v>
      </c>
    </row>
    <row r="4134" spans="1:17" x14ac:dyDescent="0.3">
      <c r="A4134" t="s">
        <v>4664</v>
      </c>
      <c r="B4134" t="str">
        <f>"300378"</f>
        <v>300378</v>
      </c>
      <c r="C4134" t="s">
        <v>8611</v>
      </c>
      <c r="D4134" t="s">
        <v>1189</v>
      </c>
      <c r="F4134">
        <v>66956384</v>
      </c>
      <c r="G4134">
        <v>71850889</v>
      </c>
      <c r="H4134">
        <v>61638468</v>
      </c>
      <c r="I4134">
        <v>56519756</v>
      </c>
      <c r="J4134">
        <v>52696891</v>
      </c>
      <c r="K4134">
        <v>30106929</v>
      </c>
      <c r="L4134">
        <v>29113878</v>
      </c>
      <c r="M4134">
        <v>33882601</v>
      </c>
      <c r="N4134">
        <v>47929093</v>
      </c>
      <c r="P4134">
        <v>195</v>
      </c>
      <c r="Q4134" t="s">
        <v>8612</v>
      </c>
    </row>
    <row r="4135" spans="1:17" x14ac:dyDescent="0.3">
      <c r="A4135" t="s">
        <v>4664</v>
      </c>
      <c r="B4135" t="str">
        <f>"300379"</f>
        <v>300379</v>
      </c>
      <c r="C4135" t="s">
        <v>8613</v>
      </c>
      <c r="D4135" t="s">
        <v>945</v>
      </c>
      <c r="F4135">
        <v>38200838</v>
      </c>
      <c r="G4135">
        <v>10666812</v>
      </c>
      <c r="H4135">
        <v>48415115</v>
      </c>
      <c r="I4135">
        <v>22466445</v>
      </c>
      <c r="J4135">
        <v>38033487</v>
      </c>
      <c r="K4135">
        <v>45042375</v>
      </c>
      <c r="L4135">
        <v>17631617</v>
      </c>
      <c r="M4135">
        <v>6781219</v>
      </c>
      <c r="N4135">
        <v>10310139</v>
      </c>
      <c r="P4135">
        <v>395</v>
      </c>
      <c r="Q4135" t="s">
        <v>8614</v>
      </c>
    </row>
    <row r="4136" spans="1:17" x14ac:dyDescent="0.3">
      <c r="A4136" t="s">
        <v>4664</v>
      </c>
      <c r="B4136" t="str">
        <f>"300380"</f>
        <v>300380</v>
      </c>
      <c r="C4136" t="s">
        <v>8615</v>
      </c>
      <c r="D4136" t="s">
        <v>945</v>
      </c>
      <c r="F4136">
        <v>-5761784</v>
      </c>
      <c r="G4136">
        <v>21598532</v>
      </c>
      <c r="H4136">
        <v>16903236</v>
      </c>
      <c r="I4136">
        <v>13459603</v>
      </c>
      <c r="J4136">
        <v>1681425</v>
      </c>
      <c r="K4136">
        <v>6692905</v>
      </c>
      <c r="L4136">
        <v>9927515</v>
      </c>
      <c r="M4136">
        <v>18456017</v>
      </c>
      <c r="N4136">
        <v>17629430</v>
      </c>
      <c r="O4136">
        <v>19759509</v>
      </c>
      <c r="P4136">
        <v>85</v>
      </c>
      <c r="Q4136" t="s">
        <v>8616</v>
      </c>
    </row>
    <row r="4137" spans="1:17" x14ac:dyDescent="0.3">
      <c r="A4137" t="s">
        <v>4664</v>
      </c>
      <c r="B4137" t="str">
        <f>"300381"</f>
        <v>300381</v>
      </c>
      <c r="C4137" t="s">
        <v>8617</v>
      </c>
      <c r="D4137" t="s">
        <v>496</v>
      </c>
      <c r="F4137">
        <v>71174571</v>
      </c>
      <c r="G4137">
        <v>123020655</v>
      </c>
      <c r="H4137">
        <v>83276565</v>
      </c>
      <c r="I4137">
        <v>74400650</v>
      </c>
      <c r="J4137">
        <v>43388362</v>
      </c>
      <c r="K4137">
        <v>66300168</v>
      </c>
      <c r="L4137">
        <v>51271859</v>
      </c>
      <c r="M4137">
        <v>37845898</v>
      </c>
      <c r="N4137">
        <v>48103326</v>
      </c>
      <c r="P4137">
        <v>160</v>
      </c>
      <c r="Q4137" t="s">
        <v>8618</v>
      </c>
    </row>
    <row r="4138" spans="1:17" x14ac:dyDescent="0.3">
      <c r="A4138" t="s">
        <v>4664</v>
      </c>
      <c r="B4138" t="str">
        <f>"300382"</f>
        <v>300382</v>
      </c>
      <c r="C4138" t="s">
        <v>8619</v>
      </c>
      <c r="D4138" t="s">
        <v>741</v>
      </c>
      <c r="F4138">
        <v>74159261</v>
      </c>
      <c r="G4138">
        <v>57579302</v>
      </c>
      <c r="H4138">
        <v>88172080</v>
      </c>
      <c r="I4138">
        <v>83837098</v>
      </c>
      <c r="J4138">
        <v>57742046</v>
      </c>
      <c r="K4138">
        <v>54070034</v>
      </c>
      <c r="L4138">
        <v>63862707</v>
      </c>
      <c r="M4138">
        <v>55849858</v>
      </c>
      <c r="N4138">
        <v>69207371</v>
      </c>
      <c r="P4138">
        <v>182</v>
      </c>
      <c r="Q4138" t="s">
        <v>8620</v>
      </c>
    </row>
    <row r="4139" spans="1:17" x14ac:dyDescent="0.3">
      <c r="A4139" t="s">
        <v>4664</v>
      </c>
      <c r="B4139" t="str">
        <f>"300383"</f>
        <v>300383</v>
      </c>
      <c r="C4139" t="s">
        <v>8621</v>
      </c>
      <c r="D4139" t="s">
        <v>316</v>
      </c>
      <c r="F4139">
        <v>683979828</v>
      </c>
      <c r="G4139">
        <v>681758255</v>
      </c>
      <c r="H4139">
        <v>611290016</v>
      </c>
      <c r="I4139">
        <v>475155777</v>
      </c>
      <c r="J4139">
        <v>325135118</v>
      </c>
      <c r="K4139">
        <v>212176660</v>
      </c>
      <c r="L4139">
        <v>74565321</v>
      </c>
      <c r="M4139">
        <v>67854382</v>
      </c>
      <c r="N4139">
        <v>48348144</v>
      </c>
      <c r="P4139">
        <v>2115</v>
      </c>
      <c r="Q4139" t="s">
        <v>8622</v>
      </c>
    </row>
    <row r="4140" spans="1:17" x14ac:dyDescent="0.3">
      <c r="A4140" t="s">
        <v>4664</v>
      </c>
      <c r="B4140" t="str">
        <f>"300384"</f>
        <v>300384</v>
      </c>
      <c r="C4140" t="s">
        <v>8623</v>
      </c>
      <c r="D4140" t="s">
        <v>2019</v>
      </c>
      <c r="F4140">
        <v>146541667</v>
      </c>
      <c r="G4140">
        <v>138411703</v>
      </c>
      <c r="H4140">
        <v>150128689</v>
      </c>
      <c r="I4140">
        <v>111141726</v>
      </c>
      <c r="J4140">
        <v>73943003</v>
      </c>
      <c r="K4140">
        <v>69206170</v>
      </c>
      <c r="L4140">
        <v>96818669</v>
      </c>
      <c r="M4140">
        <v>70319261</v>
      </c>
      <c r="N4140">
        <v>49782766</v>
      </c>
      <c r="P4140">
        <v>164</v>
      </c>
      <c r="Q4140" t="s">
        <v>8624</v>
      </c>
    </row>
    <row r="4141" spans="1:17" x14ac:dyDescent="0.3">
      <c r="A4141" t="s">
        <v>4664</v>
      </c>
      <c r="B4141" t="str">
        <f>"300385"</f>
        <v>300385</v>
      </c>
      <c r="C4141" t="s">
        <v>8625</v>
      </c>
      <c r="D4141" t="s">
        <v>663</v>
      </c>
      <c r="F4141">
        <v>56183288</v>
      </c>
      <c r="G4141">
        <v>97151803</v>
      </c>
      <c r="H4141">
        <v>82589917</v>
      </c>
      <c r="I4141">
        <v>49291620</v>
      </c>
      <c r="J4141">
        <v>44507888</v>
      </c>
      <c r="K4141">
        <v>40507064</v>
      </c>
      <c r="L4141">
        <v>36196136</v>
      </c>
      <c r="M4141">
        <v>33232265</v>
      </c>
      <c r="N4141">
        <v>32608627</v>
      </c>
      <c r="P4141">
        <v>92</v>
      </c>
      <c r="Q4141" t="s">
        <v>8626</v>
      </c>
    </row>
    <row r="4142" spans="1:17" x14ac:dyDescent="0.3">
      <c r="A4142" t="s">
        <v>4664</v>
      </c>
      <c r="B4142" t="str">
        <f>"300386"</f>
        <v>300386</v>
      </c>
      <c r="C4142" t="s">
        <v>8627</v>
      </c>
      <c r="D4142" t="s">
        <v>236</v>
      </c>
      <c r="F4142">
        <v>-38231128</v>
      </c>
      <c r="G4142">
        <v>33787780</v>
      </c>
      <c r="H4142">
        <v>29493219</v>
      </c>
      <c r="I4142">
        <v>77063773</v>
      </c>
      <c r="J4142">
        <v>53898347</v>
      </c>
      <c r="K4142">
        <v>52068524</v>
      </c>
      <c r="L4142">
        <v>82643972</v>
      </c>
      <c r="M4142">
        <v>189373193</v>
      </c>
      <c r="N4142">
        <v>126683235</v>
      </c>
      <c r="P4142">
        <v>188</v>
      </c>
      <c r="Q4142" t="s">
        <v>8628</v>
      </c>
    </row>
    <row r="4143" spans="1:17" x14ac:dyDescent="0.3">
      <c r="A4143" t="s">
        <v>4664</v>
      </c>
      <c r="B4143" t="str">
        <f>"300387"</f>
        <v>300387</v>
      </c>
      <c r="C4143" t="s">
        <v>8629</v>
      </c>
      <c r="D4143" t="s">
        <v>5489</v>
      </c>
      <c r="F4143">
        <v>41167014</v>
      </c>
      <c r="G4143">
        <v>75583947</v>
      </c>
      <c r="H4143">
        <v>69134121</v>
      </c>
      <c r="I4143">
        <v>65350979</v>
      </c>
      <c r="J4143">
        <v>60939600</v>
      </c>
      <c r="K4143">
        <v>60958299</v>
      </c>
      <c r="L4143">
        <v>44970066</v>
      </c>
      <c r="M4143">
        <v>35038846</v>
      </c>
      <c r="N4143">
        <v>36292480</v>
      </c>
      <c r="P4143">
        <v>89</v>
      </c>
      <c r="Q4143" t="s">
        <v>8630</v>
      </c>
    </row>
    <row r="4144" spans="1:17" x14ac:dyDescent="0.3">
      <c r="A4144" t="s">
        <v>4664</v>
      </c>
      <c r="B4144" t="str">
        <f>"300388"</f>
        <v>300388</v>
      </c>
      <c r="C4144" t="s">
        <v>8631</v>
      </c>
      <c r="D4144" t="s">
        <v>33</v>
      </c>
      <c r="F4144">
        <v>273314092</v>
      </c>
      <c r="G4144">
        <v>271556959</v>
      </c>
      <c r="H4144">
        <v>253302270</v>
      </c>
      <c r="I4144">
        <v>228230497</v>
      </c>
      <c r="J4144">
        <v>100243867</v>
      </c>
      <c r="K4144">
        <v>78166432</v>
      </c>
      <c r="L4144">
        <v>42490198</v>
      </c>
      <c r="M4144">
        <v>42320151</v>
      </c>
      <c r="N4144">
        <v>41640164</v>
      </c>
      <c r="P4144">
        <v>225</v>
      </c>
      <c r="Q4144" t="s">
        <v>8632</v>
      </c>
    </row>
    <row r="4145" spans="1:17" x14ac:dyDescent="0.3">
      <c r="A4145" t="s">
        <v>4664</v>
      </c>
      <c r="B4145" t="str">
        <f>"300389"</f>
        <v>300389</v>
      </c>
      <c r="C4145" t="s">
        <v>8633</v>
      </c>
      <c r="D4145" t="s">
        <v>803</v>
      </c>
      <c r="F4145">
        <v>-59159530</v>
      </c>
      <c r="G4145">
        <v>3811104</v>
      </c>
      <c r="H4145">
        <v>125493567</v>
      </c>
      <c r="I4145">
        <v>177046121</v>
      </c>
      <c r="J4145">
        <v>55557519</v>
      </c>
      <c r="K4145">
        <v>96547254</v>
      </c>
      <c r="L4145">
        <v>81757643</v>
      </c>
      <c r="M4145">
        <v>109851127</v>
      </c>
      <c r="N4145">
        <v>83415382</v>
      </c>
      <c r="P4145">
        <v>198</v>
      </c>
      <c r="Q4145" t="s">
        <v>8634</v>
      </c>
    </row>
    <row r="4146" spans="1:17" x14ac:dyDescent="0.3">
      <c r="A4146" t="s">
        <v>4664</v>
      </c>
      <c r="B4146" t="str">
        <f>"300390"</f>
        <v>300390</v>
      </c>
      <c r="C4146" t="s">
        <v>8635</v>
      </c>
      <c r="D4146" t="s">
        <v>651</v>
      </c>
      <c r="F4146">
        <v>550298094</v>
      </c>
      <c r="G4146">
        <v>229762272</v>
      </c>
      <c r="H4146">
        <v>50080582</v>
      </c>
      <c r="I4146">
        <v>37418289</v>
      </c>
      <c r="J4146">
        <v>22720688</v>
      </c>
      <c r="K4146">
        <v>19690170</v>
      </c>
      <c r="L4146">
        <v>35244624</v>
      </c>
      <c r="M4146">
        <v>29849755</v>
      </c>
      <c r="N4146">
        <v>27325402</v>
      </c>
      <c r="P4146">
        <v>460</v>
      </c>
      <c r="Q4146" t="s">
        <v>8636</v>
      </c>
    </row>
    <row r="4147" spans="1:17" x14ac:dyDescent="0.3">
      <c r="A4147" t="s">
        <v>4664</v>
      </c>
      <c r="B4147" t="str">
        <f>"300391"</f>
        <v>300391</v>
      </c>
      <c r="C4147" t="s">
        <v>8637</v>
      </c>
      <c r="D4147" t="s">
        <v>348</v>
      </c>
      <c r="F4147">
        <v>96699683</v>
      </c>
      <c r="G4147">
        <v>865667</v>
      </c>
      <c r="H4147">
        <v>27295221</v>
      </c>
      <c r="I4147">
        <v>107048134</v>
      </c>
      <c r="J4147">
        <v>53603409</v>
      </c>
      <c r="K4147">
        <v>4433288</v>
      </c>
      <c r="L4147">
        <v>3034479</v>
      </c>
      <c r="M4147">
        <v>20346335</v>
      </c>
      <c r="N4147">
        <v>20455865</v>
      </c>
      <c r="P4147">
        <v>80</v>
      </c>
      <c r="Q4147" t="s">
        <v>8638</v>
      </c>
    </row>
    <row r="4148" spans="1:17" x14ac:dyDescent="0.3">
      <c r="A4148" t="s">
        <v>4664</v>
      </c>
      <c r="B4148" t="str">
        <f>"300392"</f>
        <v>300392</v>
      </c>
      <c r="C4148" t="s">
        <v>8639</v>
      </c>
      <c r="D4148" t="s">
        <v>207</v>
      </c>
      <c r="F4148">
        <v>-40475788</v>
      </c>
      <c r="G4148">
        <v>2114139</v>
      </c>
      <c r="H4148">
        <v>8452625</v>
      </c>
      <c r="I4148">
        <v>-65507586</v>
      </c>
      <c r="J4148">
        <v>18148511</v>
      </c>
      <c r="K4148">
        <v>-8097465</v>
      </c>
      <c r="L4148">
        <v>89716627</v>
      </c>
      <c r="M4148">
        <v>59829788</v>
      </c>
      <c r="N4148">
        <v>51388257</v>
      </c>
      <c r="P4148">
        <v>66</v>
      </c>
      <c r="Q4148" t="s">
        <v>8640</v>
      </c>
    </row>
    <row r="4149" spans="1:17" x14ac:dyDescent="0.3">
      <c r="A4149" t="s">
        <v>4664</v>
      </c>
      <c r="B4149" t="str">
        <f>"300393"</f>
        <v>300393</v>
      </c>
      <c r="C4149" t="s">
        <v>8641</v>
      </c>
      <c r="D4149" t="s">
        <v>356</v>
      </c>
      <c r="F4149">
        <v>73641166</v>
      </c>
      <c r="G4149">
        <v>263401450</v>
      </c>
      <c r="H4149">
        <v>227608517</v>
      </c>
      <c r="I4149">
        <v>139825590</v>
      </c>
      <c r="J4149">
        <v>207909203</v>
      </c>
      <c r="K4149">
        <v>124198631</v>
      </c>
      <c r="L4149">
        <v>69167363</v>
      </c>
      <c r="M4149">
        <v>91429793</v>
      </c>
      <c r="N4149">
        <v>70434694</v>
      </c>
      <c r="P4149">
        <v>304</v>
      </c>
      <c r="Q4149" t="s">
        <v>8642</v>
      </c>
    </row>
    <row r="4150" spans="1:17" x14ac:dyDescent="0.3">
      <c r="A4150" t="s">
        <v>4664</v>
      </c>
      <c r="B4150" t="str">
        <f>"300394"</f>
        <v>300394</v>
      </c>
      <c r="C4150" t="s">
        <v>8643</v>
      </c>
      <c r="D4150" t="s">
        <v>1019</v>
      </c>
      <c r="F4150">
        <v>212988285</v>
      </c>
      <c r="G4150">
        <v>214484904</v>
      </c>
      <c r="H4150">
        <v>126239729</v>
      </c>
      <c r="I4150">
        <v>91165908</v>
      </c>
      <c r="J4150">
        <v>84276516</v>
      </c>
      <c r="K4150">
        <v>88793771</v>
      </c>
      <c r="L4150">
        <v>70188753</v>
      </c>
      <c r="M4150">
        <v>65520994</v>
      </c>
      <c r="P4150">
        <v>802</v>
      </c>
      <c r="Q4150" t="s">
        <v>8644</v>
      </c>
    </row>
    <row r="4151" spans="1:17" x14ac:dyDescent="0.3">
      <c r="A4151" t="s">
        <v>4664</v>
      </c>
      <c r="B4151" t="str">
        <f>"300395"</f>
        <v>300395</v>
      </c>
      <c r="C4151" t="s">
        <v>8645</v>
      </c>
      <c r="D4151" t="s">
        <v>98</v>
      </c>
      <c r="F4151">
        <v>290324051</v>
      </c>
      <c r="G4151">
        <v>163759457</v>
      </c>
      <c r="H4151">
        <v>140438005</v>
      </c>
      <c r="I4151">
        <v>116681735</v>
      </c>
      <c r="J4151">
        <v>77943089</v>
      </c>
      <c r="K4151">
        <v>74323481</v>
      </c>
      <c r="L4151">
        <v>64147115</v>
      </c>
      <c r="M4151">
        <v>44118610</v>
      </c>
      <c r="N4151">
        <v>44833279</v>
      </c>
      <c r="P4151">
        <v>553</v>
      </c>
      <c r="Q4151" t="s">
        <v>8646</v>
      </c>
    </row>
    <row r="4152" spans="1:17" x14ac:dyDescent="0.3">
      <c r="A4152" t="s">
        <v>4664</v>
      </c>
      <c r="B4152" t="str">
        <f>"300396"</f>
        <v>300396</v>
      </c>
      <c r="C4152" t="s">
        <v>8647</v>
      </c>
      <c r="D4152" t="s">
        <v>1305</v>
      </c>
      <c r="F4152">
        <v>156184874</v>
      </c>
      <c r="G4152">
        <v>235384170</v>
      </c>
      <c r="H4152">
        <v>189557551</v>
      </c>
      <c r="I4152">
        <v>157727391</v>
      </c>
      <c r="J4152">
        <v>135001816</v>
      </c>
      <c r="K4152">
        <v>89744445</v>
      </c>
      <c r="L4152">
        <v>76424387</v>
      </c>
      <c r="M4152">
        <v>71426707</v>
      </c>
      <c r="N4152">
        <v>67091602</v>
      </c>
      <c r="P4152">
        <v>360</v>
      </c>
      <c r="Q4152" t="s">
        <v>8648</v>
      </c>
    </row>
    <row r="4153" spans="1:17" x14ac:dyDescent="0.3">
      <c r="A4153" t="s">
        <v>4664</v>
      </c>
      <c r="B4153" t="str">
        <f>"300397"</f>
        <v>300397</v>
      </c>
      <c r="C4153" t="s">
        <v>8649</v>
      </c>
      <c r="D4153" t="s">
        <v>98</v>
      </c>
      <c r="F4153">
        <v>1480543</v>
      </c>
      <c r="G4153">
        <v>83347496</v>
      </c>
      <c r="H4153">
        <v>54352827</v>
      </c>
      <c r="I4153">
        <v>-73445692</v>
      </c>
      <c r="J4153">
        <v>28386040</v>
      </c>
      <c r="K4153">
        <v>-49128768</v>
      </c>
      <c r="L4153">
        <v>-26086072</v>
      </c>
      <c r="M4153">
        <v>14393909</v>
      </c>
      <c r="N4153">
        <v>12841478</v>
      </c>
      <c r="P4153">
        <v>232</v>
      </c>
      <c r="Q4153" t="s">
        <v>8650</v>
      </c>
    </row>
    <row r="4154" spans="1:17" x14ac:dyDescent="0.3">
      <c r="A4154" t="s">
        <v>4664</v>
      </c>
      <c r="B4154" t="str">
        <f>"300398"</f>
        <v>300398</v>
      </c>
      <c r="C4154" t="s">
        <v>8651</v>
      </c>
      <c r="D4154" t="s">
        <v>2399</v>
      </c>
      <c r="F4154">
        <v>270497612</v>
      </c>
      <c r="G4154">
        <v>169759034</v>
      </c>
      <c r="H4154">
        <v>184629326</v>
      </c>
      <c r="I4154">
        <v>254848588</v>
      </c>
      <c r="J4154">
        <v>49332973</v>
      </c>
      <c r="K4154">
        <v>53489882</v>
      </c>
      <c r="L4154">
        <v>83218263</v>
      </c>
      <c r="M4154">
        <v>67456734</v>
      </c>
      <c r="N4154">
        <v>54502741</v>
      </c>
      <c r="P4154">
        <v>244</v>
      </c>
      <c r="Q4154" t="s">
        <v>8652</v>
      </c>
    </row>
    <row r="4155" spans="1:17" x14ac:dyDescent="0.3">
      <c r="A4155" t="s">
        <v>4664</v>
      </c>
      <c r="B4155" t="str">
        <f>"300399"</f>
        <v>300399</v>
      </c>
      <c r="C4155" t="s">
        <v>8653</v>
      </c>
      <c r="D4155" t="s">
        <v>316</v>
      </c>
      <c r="F4155">
        <v>2310523</v>
      </c>
      <c r="G4155">
        <v>21998862</v>
      </c>
      <c r="H4155">
        <v>-2667891</v>
      </c>
      <c r="I4155">
        <v>-4813679</v>
      </c>
      <c r="J4155">
        <v>2837839</v>
      </c>
      <c r="K4155">
        <v>28615730</v>
      </c>
      <c r="L4155">
        <v>22341823</v>
      </c>
      <c r="M4155">
        <v>27113306</v>
      </c>
      <c r="N4155">
        <v>19783784</v>
      </c>
      <c r="P4155">
        <v>80</v>
      </c>
      <c r="Q4155" t="s">
        <v>8654</v>
      </c>
    </row>
    <row r="4156" spans="1:17" x14ac:dyDescent="0.3">
      <c r="A4156" t="s">
        <v>4664</v>
      </c>
      <c r="B4156" t="str">
        <f>"300400"</f>
        <v>300400</v>
      </c>
      <c r="C4156" t="s">
        <v>8655</v>
      </c>
      <c r="D4156" t="s">
        <v>3450</v>
      </c>
      <c r="F4156">
        <v>106246565</v>
      </c>
      <c r="G4156">
        <v>110922359</v>
      </c>
      <c r="H4156">
        <v>18385260</v>
      </c>
      <c r="I4156">
        <v>72697693</v>
      </c>
      <c r="J4156">
        <v>51130412</v>
      </c>
      <c r="K4156">
        <v>30029067</v>
      </c>
      <c r="L4156">
        <v>26204848</v>
      </c>
      <c r="M4156">
        <v>23711632</v>
      </c>
      <c r="N4156">
        <v>20526311</v>
      </c>
      <c r="P4156">
        <v>273</v>
      </c>
      <c r="Q4156" t="s">
        <v>8656</v>
      </c>
    </row>
    <row r="4157" spans="1:17" x14ac:dyDescent="0.3">
      <c r="A4157" t="s">
        <v>4664</v>
      </c>
      <c r="B4157" t="str">
        <f>"300401"</f>
        <v>300401</v>
      </c>
      <c r="C4157" t="s">
        <v>8657</v>
      </c>
      <c r="D4157" t="s">
        <v>496</v>
      </c>
      <c r="F4157">
        <v>276307586</v>
      </c>
      <c r="G4157">
        <v>226353727</v>
      </c>
      <c r="H4157">
        <v>308960216</v>
      </c>
      <c r="I4157">
        <v>224745423</v>
      </c>
      <c r="J4157">
        <v>103151786</v>
      </c>
      <c r="K4157">
        <v>26625280</v>
      </c>
      <c r="L4157">
        <v>9244184</v>
      </c>
      <c r="M4157">
        <v>24518131</v>
      </c>
      <c r="N4157">
        <v>20818615</v>
      </c>
      <c r="P4157">
        <v>476</v>
      </c>
      <c r="Q4157" t="s">
        <v>8658</v>
      </c>
    </row>
    <row r="4158" spans="1:17" x14ac:dyDescent="0.3">
      <c r="A4158" t="s">
        <v>4664</v>
      </c>
      <c r="B4158" t="str">
        <f>"300402"</f>
        <v>300402</v>
      </c>
      <c r="C4158" t="s">
        <v>8659</v>
      </c>
      <c r="D4158" t="s">
        <v>274</v>
      </c>
      <c r="F4158">
        <v>35149497</v>
      </c>
      <c r="G4158">
        <v>30961013</v>
      </c>
      <c r="H4158">
        <v>15149777</v>
      </c>
      <c r="I4158">
        <v>3092338</v>
      </c>
      <c r="J4158">
        <v>-4345557</v>
      </c>
      <c r="K4158">
        <v>-86440252</v>
      </c>
      <c r="L4158">
        <v>-15605651</v>
      </c>
      <c r="M4158">
        <v>32275163</v>
      </c>
      <c r="N4158">
        <v>41671370</v>
      </c>
      <c r="P4158">
        <v>101</v>
      </c>
      <c r="Q4158" t="s">
        <v>8660</v>
      </c>
    </row>
    <row r="4159" spans="1:17" x14ac:dyDescent="0.3">
      <c r="A4159" t="s">
        <v>4664</v>
      </c>
      <c r="B4159" t="str">
        <f>"300403"</f>
        <v>300403</v>
      </c>
      <c r="C4159" t="s">
        <v>8661</v>
      </c>
      <c r="D4159" t="s">
        <v>1253</v>
      </c>
      <c r="F4159">
        <v>178742655</v>
      </c>
      <c r="G4159">
        <v>139705417</v>
      </c>
      <c r="H4159">
        <v>110835354</v>
      </c>
      <c r="I4159">
        <v>126459273</v>
      </c>
      <c r="J4159">
        <v>134060964</v>
      </c>
      <c r="K4159">
        <v>156078475</v>
      </c>
      <c r="L4159">
        <v>114640679</v>
      </c>
      <c r="M4159">
        <v>94525561</v>
      </c>
      <c r="N4159">
        <v>82128001</v>
      </c>
      <c r="P4159">
        <v>253</v>
      </c>
      <c r="Q4159" t="s">
        <v>8662</v>
      </c>
    </row>
    <row r="4160" spans="1:17" x14ac:dyDescent="0.3">
      <c r="A4160" t="s">
        <v>4664</v>
      </c>
      <c r="B4160" t="str">
        <f>"300404"</f>
        <v>300404</v>
      </c>
      <c r="C4160" t="s">
        <v>8663</v>
      </c>
      <c r="D4160" t="s">
        <v>1461</v>
      </c>
      <c r="F4160">
        <v>33272195</v>
      </c>
      <c r="G4160">
        <v>19467273</v>
      </c>
      <c r="H4160">
        <v>5603194</v>
      </c>
      <c r="I4160">
        <v>6126154</v>
      </c>
      <c r="J4160">
        <v>-2471070</v>
      </c>
      <c r="K4160">
        <v>2913306</v>
      </c>
      <c r="L4160">
        <v>17311570</v>
      </c>
      <c r="M4160">
        <v>16314771</v>
      </c>
      <c r="P4160">
        <v>150</v>
      </c>
      <c r="Q4160" t="s">
        <v>8664</v>
      </c>
    </row>
    <row r="4161" spans="1:17" x14ac:dyDescent="0.3">
      <c r="A4161" t="s">
        <v>4664</v>
      </c>
      <c r="B4161" t="str">
        <f>"300405"</f>
        <v>300405</v>
      </c>
      <c r="C4161" t="s">
        <v>8665</v>
      </c>
      <c r="D4161" t="s">
        <v>386</v>
      </c>
      <c r="F4161">
        <v>8733095</v>
      </c>
      <c r="G4161">
        <v>16497626</v>
      </c>
      <c r="H4161">
        <v>10188758</v>
      </c>
      <c r="I4161">
        <v>10471066</v>
      </c>
      <c r="J4161">
        <v>17796892</v>
      </c>
      <c r="K4161">
        <v>5338394</v>
      </c>
      <c r="L4161">
        <v>-5520763</v>
      </c>
      <c r="M4161">
        <v>39342794</v>
      </c>
      <c r="N4161">
        <v>35855613</v>
      </c>
      <c r="P4161">
        <v>59</v>
      </c>
      <c r="Q4161" t="s">
        <v>8666</v>
      </c>
    </row>
    <row r="4162" spans="1:17" x14ac:dyDescent="0.3">
      <c r="A4162" t="s">
        <v>4664</v>
      </c>
      <c r="B4162" t="str">
        <f>"300406"</f>
        <v>300406</v>
      </c>
      <c r="C4162" t="s">
        <v>8667</v>
      </c>
      <c r="D4162" t="s">
        <v>1305</v>
      </c>
      <c r="F4162">
        <v>310733277</v>
      </c>
      <c r="G4162">
        <v>87638036</v>
      </c>
      <c r="H4162">
        <v>217679904</v>
      </c>
      <c r="I4162">
        <v>194819115</v>
      </c>
      <c r="J4162">
        <v>181829497</v>
      </c>
      <c r="K4162">
        <v>188429621</v>
      </c>
      <c r="L4162">
        <v>167083712</v>
      </c>
      <c r="M4162">
        <v>155776514</v>
      </c>
      <c r="N4162">
        <v>131073542</v>
      </c>
      <c r="P4162">
        <v>14630</v>
      </c>
      <c r="Q4162" t="s">
        <v>8668</v>
      </c>
    </row>
    <row r="4163" spans="1:17" x14ac:dyDescent="0.3">
      <c r="A4163" t="s">
        <v>4664</v>
      </c>
      <c r="B4163" t="str">
        <f>"300407"</f>
        <v>300407</v>
      </c>
      <c r="C4163" t="s">
        <v>8669</v>
      </c>
      <c r="D4163" t="s">
        <v>610</v>
      </c>
      <c r="F4163">
        <v>19833883</v>
      </c>
      <c r="G4163">
        <v>16432331</v>
      </c>
      <c r="H4163">
        <v>23999244</v>
      </c>
      <c r="I4163">
        <v>5165245</v>
      </c>
      <c r="J4163">
        <v>60257185</v>
      </c>
      <c r="K4163">
        <v>96914861</v>
      </c>
      <c r="L4163">
        <v>53538790</v>
      </c>
      <c r="M4163">
        <v>35201552</v>
      </c>
      <c r="N4163">
        <v>27493562</v>
      </c>
      <c r="P4163">
        <v>132</v>
      </c>
      <c r="Q4163" t="s">
        <v>8670</v>
      </c>
    </row>
    <row r="4164" spans="1:17" x14ac:dyDescent="0.3">
      <c r="A4164" t="s">
        <v>4664</v>
      </c>
      <c r="B4164" t="str">
        <f>"300408"</f>
        <v>300408</v>
      </c>
      <c r="C4164" t="s">
        <v>8671</v>
      </c>
      <c r="D4164" t="s">
        <v>546</v>
      </c>
      <c r="F4164">
        <v>1706852249</v>
      </c>
      <c r="G4164">
        <v>1002060698</v>
      </c>
      <c r="H4164">
        <v>667409382</v>
      </c>
      <c r="I4164">
        <v>931903061</v>
      </c>
      <c r="J4164">
        <v>699428644</v>
      </c>
      <c r="K4164">
        <v>769173845</v>
      </c>
      <c r="L4164">
        <v>637238884</v>
      </c>
      <c r="M4164">
        <v>503603823</v>
      </c>
      <c r="P4164">
        <v>1510</v>
      </c>
      <c r="Q4164" t="s">
        <v>8672</v>
      </c>
    </row>
    <row r="4165" spans="1:17" x14ac:dyDescent="0.3">
      <c r="A4165" t="s">
        <v>4664</v>
      </c>
      <c r="B4165" t="str">
        <f>"300409"</f>
        <v>300409</v>
      </c>
      <c r="C4165" t="s">
        <v>8673</v>
      </c>
      <c r="D4165" t="s">
        <v>1786</v>
      </c>
      <c r="F4165">
        <v>444979098</v>
      </c>
      <c r="G4165">
        <v>60375883</v>
      </c>
      <c r="H4165">
        <v>-12662668</v>
      </c>
      <c r="I4165">
        <v>212329747</v>
      </c>
      <c r="J4165">
        <v>111034689</v>
      </c>
      <c r="K4165">
        <v>82717025</v>
      </c>
      <c r="L4165">
        <v>49912387</v>
      </c>
      <c r="M4165">
        <v>59758976</v>
      </c>
      <c r="P4165">
        <v>240</v>
      </c>
      <c r="Q4165" t="s">
        <v>8674</v>
      </c>
    </row>
    <row r="4166" spans="1:17" x14ac:dyDescent="0.3">
      <c r="A4166" t="s">
        <v>4664</v>
      </c>
      <c r="B4166" t="str">
        <f>"300410"</f>
        <v>300410</v>
      </c>
      <c r="C4166" t="s">
        <v>8675</v>
      </c>
      <c r="D4166" t="s">
        <v>2551</v>
      </c>
      <c r="F4166">
        <v>172370771</v>
      </c>
      <c r="G4166">
        <v>44195391</v>
      </c>
      <c r="H4166">
        <v>53192759</v>
      </c>
      <c r="I4166">
        <v>164226937</v>
      </c>
      <c r="J4166">
        <v>142565475</v>
      </c>
      <c r="K4166">
        <v>38989425</v>
      </c>
      <c r="L4166">
        <v>23732535</v>
      </c>
      <c r="M4166">
        <v>25716954</v>
      </c>
      <c r="N4166">
        <v>23648800</v>
      </c>
      <c r="P4166">
        <v>215</v>
      </c>
      <c r="Q4166" t="s">
        <v>8676</v>
      </c>
    </row>
    <row r="4167" spans="1:17" x14ac:dyDescent="0.3">
      <c r="A4167" t="s">
        <v>4664</v>
      </c>
      <c r="B4167" t="str">
        <f>"300411"</f>
        <v>300411</v>
      </c>
      <c r="C4167" t="s">
        <v>8677</v>
      </c>
      <c r="D4167" t="s">
        <v>741</v>
      </c>
      <c r="F4167">
        <v>27136776</v>
      </c>
      <c r="G4167">
        <v>22155444</v>
      </c>
      <c r="H4167">
        <v>139922368</v>
      </c>
      <c r="I4167">
        <v>63744012</v>
      </c>
      <c r="J4167">
        <v>35047083</v>
      </c>
      <c r="K4167">
        <v>34195297</v>
      </c>
      <c r="L4167">
        <v>33759258</v>
      </c>
      <c r="M4167">
        <v>32505939</v>
      </c>
      <c r="P4167">
        <v>73</v>
      </c>
      <c r="Q4167" t="s">
        <v>8678</v>
      </c>
    </row>
    <row r="4168" spans="1:17" x14ac:dyDescent="0.3">
      <c r="A4168" t="s">
        <v>4664</v>
      </c>
      <c r="B4168" t="str">
        <f>"300412"</f>
        <v>300412</v>
      </c>
      <c r="C4168" t="s">
        <v>8679</v>
      </c>
      <c r="D4168" t="s">
        <v>741</v>
      </c>
      <c r="F4168">
        <v>57682293</v>
      </c>
      <c r="G4168">
        <v>52137820</v>
      </c>
      <c r="H4168">
        <v>33253711</v>
      </c>
      <c r="I4168">
        <v>26466505</v>
      </c>
      <c r="J4168">
        <v>43892316</v>
      </c>
      <c r="K4168">
        <v>43327880</v>
      </c>
      <c r="L4168">
        <v>38556448</v>
      </c>
      <c r="M4168">
        <v>34516256</v>
      </c>
      <c r="N4168">
        <v>23664235</v>
      </c>
      <c r="P4168">
        <v>96</v>
      </c>
      <c r="Q4168" t="s">
        <v>8680</v>
      </c>
    </row>
    <row r="4169" spans="1:17" x14ac:dyDescent="0.3">
      <c r="A4169" t="s">
        <v>4664</v>
      </c>
      <c r="B4169" t="str">
        <f>"300413"</f>
        <v>300413</v>
      </c>
      <c r="C4169" t="s">
        <v>8681</v>
      </c>
      <c r="D4169" t="s">
        <v>1294</v>
      </c>
      <c r="F4169">
        <v>1979999982</v>
      </c>
      <c r="G4169">
        <v>1611889657</v>
      </c>
      <c r="H4169">
        <v>974581866</v>
      </c>
      <c r="I4169">
        <v>812702256</v>
      </c>
      <c r="J4169">
        <v>28668670</v>
      </c>
      <c r="K4169">
        <v>34155470</v>
      </c>
      <c r="L4169">
        <v>56508691</v>
      </c>
      <c r="M4169">
        <v>110356491</v>
      </c>
      <c r="P4169">
        <v>1145</v>
      </c>
      <c r="Q4169" t="s">
        <v>8682</v>
      </c>
    </row>
    <row r="4170" spans="1:17" x14ac:dyDescent="0.3">
      <c r="A4170" t="s">
        <v>4664</v>
      </c>
      <c r="B4170" t="str">
        <f>"300414"</f>
        <v>300414</v>
      </c>
      <c r="C4170" t="s">
        <v>8683</v>
      </c>
      <c r="D4170" t="s">
        <v>595</v>
      </c>
      <c r="F4170">
        <v>43770294</v>
      </c>
      <c r="G4170">
        <v>33814146</v>
      </c>
      <c r="H4170">
        <v>43533080</v>
      </c>
      <c r="I4170">
        <v>32736900</v>
      </c>
      <c r="J4170">
        <v>30823662</v>
      </c>
      <c r="K4170">
        <v>46473648</v>
      </c>
      <c r="L4170">
        <v>54819697</v>
      </c>
      <c r="M4170">
        <v>78530920</v>
      </c>
      <c r="P4170">
        <v>219</v>
      </c>
      <c r="Q4170" t="s">
        <v>8684</v>
      </c>
    </row>
    <row r="4171" spans="1:17" x14ac:dyDescent="0.3">
      <c r="A4171" t="s">
        <v>4664</v>
      </c>
      <c r="B4171" t="str">
        <f>"300415"</f>
        <v>300415</v>
      </c>
      <c r="C4171" t="s">
        <v>8685</v>
      </c>
      <c r="D4171" t="s">
        <v>741</v>
      </c>
      <c r="F4171">
        <v>430150019</v>
      </c>
      <c r="G4171">
        <v>216770055</v>
      </c>
      <c r="H4171">
        <v>178076224</v>
      </c>
      <c r="I4171">
        <v>159428979</v>
      </c>
      <c r="J4171">
        <v>204939686</v>
      </c>
      <c r="K4171">
        <v>73971256</v>
      </c>
      <c r="L4171">
        <v>52754385</v>
      </c>
      <c r="M4171">
        <v>50906053</v>
      </c>
      <c r="P4171">
        <v>547</v>
      </c>
      <c r="Q4171" t="s">
        <v>8686</v>
      </c>
    </row>
    <row r="4172" spans="1:17" x14ac:dyDescent="0.3">
      <c r="A4172" t="s">
        <v>4664</v>
      </c>
      <c r="B4172" t="str">
        <f>"300416"</f>
        <v>300416</v>
      </c>
      <c r="C4172" t="s">
        <v>8687</v>
      </c>
      <c r="D4172" t="s">
        <v>2551</v>
      </c>
      <c r="F4172">
        <v>131461575</v>
      </c>
      <c r="G4172">
        <v>77086353</v>
      </c>
      <c r="H4172">
        <v>54426183</v>
      </c>
      <c r="I4172">
        <v>45774256</v>
      </c>
      <c r="J4172">
        <v>37738923</v>
      </c>
      <c r="K4172">
        <v>30296569</v>
      </c>
      <c r="L4172">
        <v>25541301</v>
      </c>
      <c r="M4172">
        <v>21347789</v>
      </c>
      <c r="P4172">
        <v>305</v>
      </c>
      <c r="Q4172" t="s">
        <v>8688</v>
      </c>
    </row>
    <row r="4173" spans="1:17" x14ac:dyDescent="0.3">
      <c r="A4173" t="s">
        <v>4664</v>
      </c>
      <c r="B4173" t="str">
        <f>"300417"</f>
        <v>300417</v>
      </c>
      <c r="C4173" t="s">
        <v>8689</v>
      </c>
      <c r="D4173" t="s">
        <v>2551</v>
      </c>
      <c r="F4173">
        <v>11897137</v>
      </c>
      <c r="G4173">
        <v>53789526</v>
      </c>
      <c r="H4173">
        <v>153007595</v>
      </c>
      <c r="I4173">
        <v>18524263</v>
      </c>
      <c r="J4173">
        <v>26424098</v>
      </c>
      <c r="K4173">
        <v>20415664</v>
      </c>
      <c r="L4173">
        <v>24474420</v>
      </c>
      <c r="M4173">
        <v>18596234</v>
      </c>
      <c r="P4173">
        <v>196</v>
      </c>
      <c r="Q4173" t="s">
        <v>8690</v>
      </c>
    </row>
    <row r="4174" spans="1:17" x14ac:dyDescent="0.3">
      <c r="A4174" t="s">
        <v>4664</v>
      </c>
      <c r="B4174" t="str">
        <f>"300418"</f>
        <v>300418</v>
      </c>
      <c r="C4174" t="s">
        <v>8691</v>
      </c>
      <c r="D4174" t="s">
        <v>517</v>
      </c>
      <c r="F4174">
        <v>2245592018</v>
      </c>
      <c r="G4174">
        <v>4175491807</v>
      </c>
      <c r="H4174">
        <v>945497206</v>
      </c>
      <c r="I4174">
        <v>739846389</v>
      </c>
      <c r="J4174">
        <v>576107026</v>
      </c>
      <c r="K4174">
        <v>492886009</v>
      </c>
      <c r="L4174">
        <v>262330399</v>
      </c>
      <c r="M4174">
        <v>252101975</v>
      </c>
      <c r="P4174">
        <v>17528</v>
      </c>
      <c r="Q4174" t="s">
        <v>8692</v>
      </c>
    </row>
    <row r="4175" spans="1:17" x14ac:dyDescent="0.3">
      <c r="A4175" t="s">
        <v>4664</v>
      </c>
      <c r="B4175" t="str">
        <f>"300419"</f>
        <v>300419</v>
      </c>
      <c r="C4175" t="s">
        <v>8693</v>
      </c>
      <c r="D4175" t="s">
        <v>316</v>
      </c>
      <c r="F4175">
        <v>6012338</v>
      </c>
      <c r="G4175">
        <v>16258878</v>
      </c>
      <c r="H4175">
        <v>20893023</v>
      </c>
      <c r="I4175">
        <v>16155279</v>
      </c>
      <c r="J4175">
        <v>43553845</v>
      </c>
      <c r="K4175">
        <v>42567769</v>
      </c>
      <c r="L4175">
        <v>32648958</v>
      </c>
      <c r="M4175">
        <v>35349000</v>
      </c>
      <c r="P4175">
        <v>89</v>
      </c>
      <c r="Q4175" t="s">
        <v>8694</v>
      </c>
    </row>
    <row r="4176" spans="1:17" x14ac:dyDescent="0.3">
      <c r="A4176" t="s">
        <v>4664</v>
      </c>
      <c r="B4176" t="str">
        <f>"300420"</f>
        <v>300420</v>
      </c>
      <c r="C4176" t="s">
        <v>8695</v>
      </c>
      <c r="D4176" t="s">
        <v>560</v>
      </c>
      <c r="F4176">
        <v>81594898</v>
      </c>
      <c r="G4176">
        <v>135450164</v>
      </c>
      <c r="H4176">
        <v>120561479</v>
      </c>
      <c r="I4176">
        <v>89195790</v>
      </c>
      <c r="J4176">
        <v>63248372</v>
      </c>
      <c r="K4176">
        <v>50894028</v>
      </c>
      <c r="L4176">
        <v>16601631</v>
      </c>
      <c r="M4176">
        <v>20431184</v>
      </c>
      <c r="P4176">
        <v>146</v>
      </c>
      <c r="Q4176" t="s">
        <v>8696</v>
      </c>
    </row>
    <row r="4177" spans="1:17" x14ac:dyDescent="0.3">
      <c r="A4177" t="s">
        <v>4664</v>
      </c>
      <c r="B4177" t="str">
        <f>"300421"</f>
        <v>300421</v>
      </c>
      <c r="C4177" t="s">
        <v>8697</v>
      </c>
      <c r="D4177" t="s">
        <v>274</v>
      </c>
      <c r="F4177">
        <v>85735662</v>
      </c>
      <c r="G4177">
        <v>39009673</v>
      </c>
      <c r="H4177">
        <v>38860873</v>
      </c>
      <c r="I4177">
        <v>54260006</v>
      </c>
      <c r="J4177">
        <v>51892275</v>
      </c>
      <c r="K4177">
        <v>40989735</v>
      </c>
      <c r="L4177">
        <v>40676695</v>
      </c>
      <c r="M4177">
        <v>38756774</v>
      </c>
      <c r="P4177">
        <v>108</v>
      </c>
      <c r="Q4177" t="s">
        <v>8698</v>
      </c>
    </row>
    <row r="4178" spans="1:17" x14ac:dyDescent="0.3">
      <c r="A4178" t="s">
        <v>4664</v>
      </c>
      <c r="B4178" t="str">
        <f>"300422"</f>
        <v>300422</v>
      </c>
      <c r="C4178" t="s">
        <v>8699</v>
      </c>
      <c r="D4178" t="s">
        <v>33</v>
      </c>
      <c r="F4178">
        <v>112021109</v>
      </c>
      <c r="G4178">
        <v>180797419</v>
      </c>
      <c r="H4178">
        <v>243769406</v>
      </c>
      <c r="I4178">
        <v>175069489</v>
      </c>
      <c r="J4178">
        <v>82738096</v>
      </c>
      <c r="K4178">
        <v>39689405</v>
      </c>
      <c r="L4178">
        <v>25318420</v>
      </c>
      <c r="M4178">
        <v>3208198</v>
      </c>
      <c r="P4178">
        <v>331</v>
      </c>
      <c r="Q4178" t="s">
        <v>8700</v>
      </c>
    </row>
    <row r="4179" spans="1:17" x14ac:dyDescent="0.3">
      <c r="A4179" t="s">
        <v>4664</v>
      </c>
      <c r="B4179" t="str">
        <f>"300423"</f>
        <v>300423</v>
      </c>
      <c r="C4179" t="s">
        <v>8701</v>
      </c>
      <c r="D4179" t="s">
        <v>210</v>
      </c>
      <c r="F4179">
        <v>178214830</v>
      </c>
      <c r="G4179">
        <v>455010685</v>
      </c>
      <c r="H4179">
        <v>435543254</v>
      </c>
      <c r="I4179">
        <v>334752776</v>
      </c>
      <c r="J4179">
        <v>16301415</v>
      </c>
      <c r="K4179">
        <v>13999207</v>
      </c>
      <c r="L4179">
        <v>26386707</v>
      </c>
      <c r="M4179">
        <v>25864762</v>
      </c>
      <c r="P4179">
        <v>156</v>
      </c>
      <c r="Q4179" t="s">
        <v>8702</v>
      </c>
    </row>
    <row r="4180" spans="1:17" x14ac:dyDescent="0.3">
      <c r="A4180" t="s">
        <v>4664</v>
      </c>
      <c r="B4180" t="str">
        <f>"300424"</f>
        <v>300424</v>
      </c>
      <c r="C4180" t="s">
        <v>8703</v>
      </c>
      <c r="D4180" t="s">
        <v>98</v>
      </c>
      <c r="F4180">
        <v>15673478</v>
      </c>
      <c r="G4180">
        <v>21191027</v>
      </c>
      <c r="H4180">
        <v>52864682</v>
      </c>
      <c r="I4180">
        <v>43937334</v>
      </c>
      <c r="J4180">
        <v>40823687</v>
      </c>
      <c r="K4180">
        <v>36925805</v>
      </c>
      <c r="L4180">
        <v>49800630</v>
      </c>
      <c r="M4180">
        <v>52672375</v>
      </c>
      <c r="P4180">
        <v>133</v>
      </c>
      <c r="Q4180" t="s">
        <v>8704</v>
      </c>
    </row>
    <row r="4181" spans="1:17" x14ac:dyDescent="0.3">
      <c r="A4181" t="s">
        <v>4664</v>
      </c>
      <c r="B4181" t="str">
        <f>"300425"</f>
        <v>300425</v>
      </c>
      <c r="C4181" t="s">
        <v>8705</v>
      </c>
      <c r="D4181" t="s">
        <v>33</v>
      </c>
      <c r="F4181">
        <v>102770845</v>
      </c>
      <c r="G4181">
        <v>80782767</v>
      </c>
      <c r="H4181">
        <v>61605180</v>
      </c>
      <c r="I4181">
        <v>87068884</v>
      </c>
      <c r="J4181">
        <v>49888608</v>
      </c>
      <c r="K4181">
        <v>43588998</v>
      </c>
      <c r="L4181">
        <v>39288234</v>
      </c>
      <c r="M4181">
        <v>36067583</v>
      </c>
      <c r="P4181">
        <v>121</v>
      </c>
      <c r="Q4181" t="s">
        <v>8706</v>
      </c>
    </row>
    <row r="4182" spans="1:17" x14ac:dyDescent="0.3">
      <c r="A4182" t="s">
        <v>4664</v>
      </c>
      <c r="B4182" t="str">
        <f>"300426"</f>
        <v>300426</v>
      </c>
      <c r="C4182" t="s">
        <v>8707</v>
      </c>
      <c r="D4182" t="s">
        <v>113</v>
      </c>
      <c r="F4182">
        <v>-104938539</v>
      </c>
      <c r="G4182">
        <v>-83703488</v>
      </c>
      <c r="H4182">
        <v>-42898642</v>
      </c>
      <c r="I4182">
        <v>100205230</v>
      </c>
      <c r="J4182">
        <v>121856779</v>
      </c>
      <c r="K4182">
        <v>98941448</v>
      </c>
      <c r="L4182">
        <v>72414183</v>
      </c>
      <c r="M4182">
        <v>17841716</v>
      </c>
      <c r="P4182">
        <v>130</v>
      </c>
      <c r="Q4182" t="s">
        <v>8708</v>
      </c>
    </row>
    <row r="4183" spans="1:17" x14ac:dyDescent="0.3">
      <c r="A4183" t="s">
        <v>4664</v>
      </c>
      <c r="B4183" t="str">
        <f>"300427"</f>
        <v>300427</v>
      </c>
      <c r="C4183" t="s">
        <v>8709</v>
      </c>
      <c r="D4183" t="s">
        <v>610</v>
      </c>
      <c r="F4183">
        <v>87074646</v>
      </c>
      <c r="G4183">
        <v>225317671</v>
      </c>
      <c r="H4183">
        <v>198221015</v>
      </c>
      <c r="I4183">
        <v>169069912</v>
      </c>
      <c r="J4183">
        <v>24815205</v>
      </c>
      <c r="K4183">
        <v>14266489</v>
      </c>
      <c r="L4183">
        <v>11945688</v>
      </c>
      <c r="M4183">
        <v>6573993</v>
      </c>
      <c r="P4183">
        <v>249</v>
      </c>
      <c r="Q4183" t="s">
        <v>8710</v>
      </c>
    </row>
    <row r="4184" spans="1:17" x14ac:dyDescent="0.3">
      <c r="A4184" t="s">
        <v>4664</v>
      </c>
      <c r="B4184" t="str">
        <f>"300428"</f>
        <v>300428</v>
      </c>
      <c r="C4184" t="s">
        <v>8711</v>
      </c>
      <c r="D4184" t="s">
        <v>422</v>
      </c>
      <c r="F4184">
        <v>336803269</v>
      </c>
      <c r="G4184">
        <v>290592653</v>
      </c>
      <c r="H4184">
        <v>336011078</v>
      </c>
      <c r="I4184">
        <v>58047430</v>
      </c>
      <c r="J4184">
        <v>70745759</v>
      </c>
      <c r="K4184">
        <v>50516457</v>
      </c>
      <c r="L4184">
        <v>48524143</v>
      </c>
      <c r="M4184">
        <v>42451459</v>
      </c>
      <c r="P4184">
        <v>171</v>
      </c>
      <c r="Q4184" t="s">
        <v>8712</v>
      </c>
    </row>
    <row r="4185" spans="1:17" x14ac:dyDescent="0.3">
      <c r="A4185" t="s">
        <v>4664</v>
      </c>
      <c r="B4185" t="str">
        <f>"300429"</f>
        <v>300429</v>
      </c>
      <c r="C4185" t="s">
        <v>8713</v>
      </c>
      <c r="D4185" t="s">
        <v>2399</v>
      </c>
      <c r="F4185">
        <v>94340958</v>
      </c>
      <c r="G4185">
        <v>86253839</v>
      </c>
      <c r="H4185">
        <v>130687964</v>
      </c>
      <c r="I4185">
        <v>112460238</v>
      </c>
      <c r="J4185">
        <v>106401777</v>
      </c>
      <c r="K4185">
        <v>94592356</v>
      </c>
      <c r="L4185">
        <v>66774910</v>
      </c>
      <c r="M4185">
        <v>50992041</v>
      </c>
      <c r="P4185">
        <v>261</v>
      </c>
      <c r="Q4185" t="s">
        <v>8714</v>
      </c>
    </row>
    <row r="4186" spans="1:17" x14ac:dyDescent="0.3">
      <c r="A4186" t="s">
        <v>4664</v>
      </c>
      <c r="B4186" t="str">
        <f>"300430"</f>
        <v>300430</v>
      </c>
      <c r="C4186" t="s">
        <v>8715</v>
      </c>
      <c r="D4186" t="s">
        <v>560</v>
      </c>
      <c r="F4186">
        <v>60497602</v>
      </c>
      <c r="G4186">
        <v>20080030</v>
      </c>
      <c r="H4186">
        <v>54127760</v>
      </c>
      <c r="I4186">
        <v>61111935</v>
      </c>
      <c r="J4186">
        <v>41186635</v>
      </c>
      <c r="K4186">
        <v>36012620</v>
      </c>
      <c r="L4186">
        <v>34728899</v>
      </c>
      <c r="M4186">
        <v>32526322</v>
      </c>
      <c r="P4186">
        <v>95</v>
      </c>
      <c r="Q4186" t="s">
        <v>8716</v>
      </c>
    </row>
    <row r="4187" spans="1:17" x14ac:dyDescent="0.3">
      <c r="A4187" t="s">
        <v>4664</v>
      </c>
      <c r="B4187" t="str">
        <f>"300431"</f>
        <v>300431</v>
      </c>
      <c r="C4187" t="s">
        <v>8717</v>
      </c>
      <c r="H4187">
        <v>-649827571</v>
      </c>
      <c r="I4187">
        <v>-228411298</v>
      </c>
      <c r="J4187">
        <v>20242152</v>
      </c>
      <c r="K4187">
        <v>19350957</v>
      </c>
      <c r="L4187">
        <v>23871049</v>
      </c>
      <c r="M4187">
        <v>31162577</v>
      </c>
      <c r="P4187">
        <v>145</v>
      </c>
      <c r="Q4187" t="s">
        <v>8718</v>
      </c>
    </row>
    <row r="4188" spans="1:17" x14ac:dyDescent="0.3">
      <c r="A4188" t="s">
        <v>4664</v>
      </c>
      <c r="B4188" t="str">
        <f>"300432"</f>
        <v>300432</v>
      </c>
      <c r="C4188" t="s">
        <v>8719</v>
      </c>
      <c r="D4188" t="s">
        <v>348</v>
      </c>
      <c r="F4188">
        <v>238633709</v>
      </c>
      <c r="G4188">
        <v>253192005</v>
      </c>
      <c r="H4188">
        <v>212699695</v>
      </c>
      <c r="I4188">
        <v>121870678</v>
      </c>
      <c r="J4188">
        <v>315321734</v>
      </c>
      <c r="K4188">
        <v>160933007</v>
      </c>
      <c r="L4188">
        <v>128315873</v>
      </c>
      <c r="M4188">
        <v>98455029</v>
      </c>
      <c r="P4188">
        <v>304</v>
      </c>
      <c r="Q4188" t="s">
        <v>8720</v>
      </c>
    </row>
    <row r="4189" spans="1:17" x14ac:dyDescent="0.3">
      <c r="A4189" t="s">
        <v>4664</v>
      </c>
      <c r="B4189" t="str">
        <f>"300433"</f>
        <v>300433</v>
      </c>
      <c r="C4189" t="s">
        <v>8721</v>
      </c>
      <c r="D4189" t="s">
        <v>313</v>
      </c>
      <c r="F4189">
        <v>3296969509</v>
      </c>
      <c r="G4189">
        <v>3432308558</v>
      </c>
      <c r="H4189">
        <v>1108515489</v>
      </c>
      <c r="I4189">
        <v>1064777618</v>
      </c>
      <c r="J4189">
        <v>893017689</v>
      </c>
      <c r="K4189">
        <v>794585757</v>
      </c>
      <c r="L4189">
        <v>1083268880</v>
      </c>
      <c r="M4189">
        <v>787583008</v>
      </c>
      <c r="P4189">
        <v>1652</v>
      </c>
      <c r="Q4189" t="s">
        <v>8722</v>
      </c>
    </row>
    <row r="4190" spans="1:17" x14ac:dyDescent="0.3">
      <c r="A4190" t="s">
        <v>4664</v>
      </c>
      <c r="B4190" t="str">
        <f>"300434"</f>
        <v>300434</v>
      </c>
      <c r="C4190" t="s">
        <v>8723</v>
      </c>
      <c r="D4190" t="s">
        <v>143</v>
      </c>
      <c r="F4190">
        <v>80944550</v>
      </c>
      <c r="G4190">
        <v>-95152766</v>
      </c>
      <c r="H4190">
        <v>67436364</v>
      </c>
      <c r="I4190">
        <v>66185316</v>
      </c>
      <c r="J4190">
        <v>30981763</v>
      </c>
      <c r="K4190">
        <v>15590005</v>
      </c>
      <c r="L4190">
        <v>18589170</v>
      </c>
      <c r="M4190">
        <v>27362719</v>
      </c>
      <c r="P4190">
        <v>96</v>
      </c>
      <c r="Q4190" t="s">
        <v>8724</v>
      </c>
    </row>
    <row r="4191" spans="1:17" x14ac:dyDescent="0.3">
      <c r="A4191" t="s">
        <v>4664</v>
      </c>
      <c r="B4191" t="str">
        <f>"300435"</f>
        <v>300435</v>
      </c>
      <c r="C4191" t="s">
        <v>8725</v>
      </c>
      <c r="D4191" t="s">
        <v>749</v>
      </c>
      <c r="F4191">
        <v>183961300</v>
      </c>
      <c r="G4191">
        <v>146139334</v>
      </c>
      <c r="H4191">
        <v>59517811</v>
      </c>
      <c r="I4191">
        <v>59055581</v>
      </c>
      <c r="J4191">
        <v>49107744</v>
      </c>
      <c r="K4191">
        <v>47730749</v>
      </c>
      <c r="L4191">
        <v>53442317</v>
      </c>
      <c r="M4191">
        <v>51128946</v>
      </c>
      <c r="P4191">
        <v>111</v>
      </c>
      <c r="Q4191" t="s">
        <v>8726</v>
      </c>
    </row>
    <row r="4192" spans="1:17" x14ac:dyDescent="0.3">
      <c r="A4192" t="s">
        <v>4664</v>
      </c>
      <c r="B4192" t="str">
        <f>"300436"</f>
        <v>300436</v>
      </c>
      <c r="C4192" t="s">
        <v>8727</v>
      </c>
      <c r="D4192" t="s">
        <v>143</v>
      </c>
      <c r="F4192">
        <v>-20531920</v>
      </c>
      <c r="G4192">
        <v>15012979</v>
      </c>
      <c r="H4192">
        <v>14023669</v>
      </c>
      <c r="I4192">
        <v>6033415</v>
      </c>
      <c r="J4192">
        <v>29427791</v>
      </c>
      <c r="K4192">
        <v>59260014</v>
      </c>
      <c r="L4192">
        <v>82619083</v>
      </c>
      <c r="M4192">
        <v>65378654</v>
      </c>
      <c r="P4192">
        <v>135</v>
      </c>
      <c r="Q4192" t="s">
        <v>8728</v>
      </c>
    </row>
    <row r="4193" spans="1:17" x14ac:dyDescent="0.3">
      <c r="A4193" t="s">
        <v>4664</v>
      </c>
      <c r="B4193" t="str">
        <f>"300437"</f>
        <v>300437</v>
      </c>
      <c r="C4193" t="s">
        <v>8729</v>
      </c>
      <c r="D4193" t="s">
        <v>33</v>
      </c>
      <c r="F4193">
        <v>20121077</v>
      </c>
      <c r="G4193">
        <v>72256408</v>
      </c>
      <c r="H4193">
        <v>103626464</v>
      </c>
      <c r="I4193">
        <v>153853894</v>
      </c>
      <c r="J4193">
        <v>42444281</v>
      </c>
      <c r="K4193">
        <v>23746109</v>
      </c>
      <c r="L4193">
        <v>25304653</v>
      </c>
      <c r="M4193">
        <v>28744811</v>
      </c>
      <c r="P4193">
        <v>143</v>
      </c>
      <c r="Q4193" t="s">
        <v>8730</v>
      </c>
    </row>
    <row r="4194" spans="1:17" x14ac:dyDescent="0.3">
      <c r="A4194" t="s">
        <v>4664</v>
      </c>
      <c r="B4194" t="str">
        <f>"300438"</f>
        <v>300438</v>
      </c>
      <c r="C4194" t="s">
        <v>8731</v>
      </c>
      <c r="D4194" t="s">
        <v>359</v>
      </c>
      <c r="F4194">
        <v>164002902</v>
      </c>
      <c r="G4194">
        <v>140732896</v>
      </c>
      <c r="H4194">
        <v>270091022</v>
      </c>
      <c r="I4194">
        <v>269360109</v>
      </c>
      <c r="J4194">
        <v>193339324</v>
      </c>
      <c r="K4194">
        <v>86721842</v>
      </c>
      <c r="L4194">
        <v>52446637</v>
      </c>
      <c r="M4194">
        <v>43793253</v>
      </c>
      <c r="P4194">
        <v>394</v>
      </c>
      <c r="Q4194" t="s">
        <v>8732</v>
      </c>
    </row>
    <row r="4195" spans="1:17" x14ac:dyDescent="0.3">
      <c r="A4195" t="s">
        <v>4664</v>
      </c>
      <c r="B4195" t="str">
        <f>"300439"</f>
        <v>300439</v>
      </c>
      <c r="C4195" t="s">
        <v>8733</v>
      </c>
      <c r="D4195" t="s">
        <v>1305</v>
      </c>
      <c r="F4195">
        <v>172650768</v>
      </c>
      <c r="G4195">
        <v>299455506</v>
      </c>
      <c r="H4195">
        <v>205412734</v>
      </c>
      <c r="I4195">
        <v>198143299</v>
      </c>
      <c r="J4195">
        <v>159425120</v>
      </c>
      <c r="K4195">
        <v>142829856</v>
      </c>
      <c r="L4195">
        <v>113849852</v>
      </c>
      <c r="M4195">
        <v>102685251</v>
      </c>
      <c r="P4195">
        <v>209</v>
      </c>
      <c r="Q4195" t="s">
        <v>8734</v>
      </c>
    </row>
    <row r="4196" spans="1:17" x14ac:dyDescent="0.3">
      <c r="A4196" t="s">
        <v>4664</v>
      </c>
      <c r="B4196" t="str">
        <f>"300440"</f>
        <v>300440</v>
      </c>
      <c r="C4196" t="s">
        <v>8735</v>
      </c>
      <c r="D4196" t="s">
        <v>316</v>
      </c>
      <c r="F4196">
        <v>61025217</v>
      </c>
      <c r="G4196">
        <v>76291781</v>
      </c>
      <c r="H4196">
        <v>74510659</v>
      </c>
      <c r="I4196">
        <v>58992511</v>
      </c>
      <c r="J4196">
        <v>95937595</v>
      </c>
      <c r="K4196">
        <v>75360244</v>
      </c>
      <c r="L4196">
        <v>65244917</v>
      </c>
      <c r="M4196">
        <v>55841800</v>
      </c>
      <c r="P4196">
        <v>151</v>
      </c>
      <c r="Q4196" t="s">
        <v>8736</v>
      </c>
    </row>
    <row r="4197" spans="1:17" x14ac:dyDescent="0.3">
      <c r="A4197" t="s">
        <v>4664</v>
      </c>
      <c r="B4197" t="str">
        <f>"300441"</f>
        <v>300441</v>
      </c>
      <c r="C4197" t="s">
        <v>8737</v>
      </c>
      <c r="D4197" t="s">
        <v>560</v>
      </c>
      <c r="F4197">
        <v>236874610</v>
      </c>
      <c r="G4197">
        <v>189360440</v>
      </c>
      <c r="H4197">
        <v>102248092</v>
      </c>
      <c r="I4197">
        <v>134892090</v>
      </c>
      <c r="J4197">
        <v>115998248</v>
      </c>
      <c r="K4197">
        <v>51032286</v>
      </c>
      <c r="L4197">
        <v>24665782</v>
      </c>
      <c r="M4197">
        <v>34782904</v>
      </c>
      <c r="P4197">
        <v>96</v>
      </c>
      <c r="Q4197" t="s">
        <v>8738</v>
      </c>
    </row>
    <row r="4198" spans="1:17" x14ac:dyDescent="0.3">
      <c r="A4198" t="s">
        <v>4664</v>
      </c>
      <c r="B4198" t="str">
        <f>"300442"</f>
        <v>300442</v>
      </c>
      <c r="C4198" t="s">
        <v>8739</v>
      </c>
      <c r="D4198" t="s">
        <v>3388</v>
      </c>
      <c r="F4198">
        <v>6549180</v>
      </c>
      <c r="G4198">
        <v>-61880926</v>
      </c>
      <c r="H4198">
        <v>18942451</v>
      </c>
      <c r="I4198">
        <v>-28615521</v>
      </c>
      <c r="J4198">
        <v>1124126</v>
      </c>
      <c r="K4198">
        <v>2441062</v>
      </c>
      <c r="L4198">
        <v>25391955</v>
      </c>
      <c r="M4198">
        <v>59432231</v>
      </c>
      <c r="P4198">
        <v>66</v>
      </c>
      <c r="Q4198" t="s">
        <v>8740</v>
      </c>
    </row>
    <row r="4199" spans="1:17" x14ac:dyDescent="0.3">
      <c r="A4199" t="s">
        <v>4664</v>
      </c>
      <c r="B4199" t="str">
        <f>"300443"</f>
        <v>300443</v>
      </c>
      <c r="C4199" t="s">
        <v>8741</v>
      </c>
      <c r="D4199" t="s">
        <v>950</v>
      </c>
      <c r="F4199">
        <v>407866471</v>
      </c>
      <c r="G4199">
        <v>335993220</v>
      </c>
      <c r="H4199">
        <v>139849570</v>
      </c>
      <c r="I4199">
        <v>82635814</v>
      </c>
      <c r="J4199">
        <v>126948082</v>
      </c>
      <c r="K4199">
        <v>132502762</v>
      </c>
      <c r="L4199">
        <v>103533365</v>
      </c>
      <c r="M4199">
        <v>73660819</v>
      </c>
      <c r="P4199">
        <v>357</v>
      </c>
      <c r="Q4199" t="s">
        <v>8742</v>
      </c>
    </row>
    <row r="4200" spans="1:17" x14ac:dyDescent="0.3">
      <c r="A4200" t="s">
        <v>4664</v>
      </c>
      <c r="B4200" t="str">
        <f>"300444"</f>
        <v>300444</v>
      </c>
      <c r="C4200" t="s">
        <v>8743</v>
      </c>
      <c r="D4200" t="s">
        <v>210</v>
      </c>
      <c r="F4200">
        <v>3240885</v>
      </c>
      <c r="G4200">
        <v>30894648</v>
      </c>
      <c r="H4200">
        <v>51893845</v>
      </c>
      <c r="I4200">
        <v>201125302</v>
      </c>
      <c r="J4200">
        <v>30658709</v>
      </c>
      <c r="K4200">
        <v>48711415</v>
      </c>
      <c r="L4200">
        <v>30808734</v>
      </c>
      <c r="M4200">
        <v>26221606</v>
      </c>
      <c r="P4200">
        <v>101</v>
      </c>
      <c r="Q4200" t="s">
        <v>8744</v>
      </c>
    </row>
    <row r="4201" spans="1:17" x14ac:dyDescent="0.3">
      <c r="A4201" t="s">
        <v>4664</v>
      </c>
      <c r="B4201" t="str">
        <f>"300445"</f>
        <v>300445</v>
      </c>
      <c r="C4201" t="s">
        <v>8745</v>
      </c>
      <c r="D4201" t="s">
        <v>2551</v>
      </c>
      <c r="F4201">
        <v>54096907</v>
      </c>
      <c r="G4201">
        <v>43590571</v>
      </c>
      <c r="H4201">
        <v>53541711</v>
      </c>
      <c r="I4201">
        <v>44225258</v>
      </c>
      <c r="J4201">
        <v>33146722</v>
      </c>
      <c r="K4201">
        <v>23847774</v>
      </c>
      <c r="L4201">
        <v>21849685</v>
      </c>
      <c r="M4201">
        <v>14793199</v>
      </c>
      <c r="P4201">
        <v>169</v>
      </c>
      <c r="Q4201" t="s">
        <v>8746</v>
      </c>
    </row>
    <row r="4202" spans="1:17" x14ac:dyDescent="0.3">
      <c r="A4202" t="s">
        <v>4664</v>
      </c>
      <c r="B4202" t="str">
        <f>"300446"</f>
        <v>300446</v>
      </c>
      <c r="C4202" t="s">
        <v>8747</v>
      </c>
      <c r="D4202" t="s">
        <v>2399</v>
      </c>
      <c r="F4202">
        <v>6121522</v>
      </c>
      <c r="G4202">
        <v>-25531431</v>
      </c>
      <c r="H4202">
        <v>76778701</v>
      </c>
      <c r="I4202">
        <v>70115781</v>
      </c>
      <c r="J4202">
        <v>68438888</v>
      </c>
      <c r="K4202">
        <v>76566036</v>
      </c>
      <c r="L4202">
        <v>74829298</v>
      </c>
      <c r="M4202">
        <v>59950346</v>
      </c>
      <c r="P4202">
        <v>980</v>
      </c>
      <c r="Q4202" t="s">
        <v>8748</v>
      </c>
    </row>
    <row r="4203" spans="1:17" x14ac:dyDescent="0.3">
      <c r="A4203" t="s">
        <v>4664</v>
      </c>
      <c r="B4203" t="str">
        <f>"300447"</f>
        <v>300447</v>
      </c>
      <c r="C4203" t="s">
        <v>8749</v>
      </c>
      <c r="D4203" t="s">
        <v>1136</v>
      </c>
      <c r="F4203">
        <v>134131313</v>
      </c>
      <c r="G4203">
        <v>97676501</v>
      </c>
      <c r="H4203">
        <v>92588704</v>
      </c>
      <c r="I4203">
        <v>124809808</v>
      </c>
      <c r="J4203">
        <v>123185373</v>
      </c>
      <c r="K4203">
        <v>87029155</v>
      </c>
      <c r="L4203">
        <v>56857808</v>
      </c>
      <c r="M4203">
        <v>42262813</v>
      </c>
      <c r="P4203">
        <v>119</v>
      </c>
      <c r="Q4203" t="s">
        <v>8750</v>
      </c>
    </row>
    <row r="4204" spans="1:17" x14ac:dyDescent="0.3">
      <c r="A4204" t="s">
        <v>4664</v>
      </c>
      <c r="B4204" t="str">
        <f>"300448"</f>
        <v>300448</v>
      </c>
      <c r="C4204" t="s">
        <v>8751</v>
      </c>
      <c r="D4204" t="s">
        <v>316</v>
      </c>
      <c r="F4204">
        <v>18191736</v>
      </c>
      <c r="G4204">
        <v>6626340</v>
      </c>
      <c r="H4204">
        <v>31211288</v>
      </c>
      <c r="I4204">
        <v>24745556</v>
      </c>
      <c r="J4204">
        <v>14711910</v>
      </c>
      <c r="K4204">
        <v>13880440</v>
      </c>
      <c r="L4204">
        <v>10688562</v>
      </c>
      <c r="M4204">
        <v>9483978</v>
      </c>
      <c r="P4204">
        <v>157</v>
      </c>
      <c r="Q4204" t="s">
        <v>8752</v>
      </c>
    </row>
    <row r="4205" spans="1:17" x14ac:dyDescent="0.3">
      <c r="A4205" t="s">
        <v>4664</v>
      </c>
      <c r="B4205" t="str">
        <f>"300449"</f>
        <v>300449</v>
      </c>
      <c r="C4205" t="s">
        <v>8753</v>
      </c>
      <c r="D4205" t="s">
        <v>2953</v>
      </c>
      <c r="F4205">
        <v>-33353593</v>
      </c>
      <c r="G4205">
        <v>34842974</v>
      </c>
      <c r="H4205">
        <v>13195362</v>
      </c>
      <c r="I4205">
        <v>31504685</v>
      </c>
      <c r="J4205">
        <v>1588833</v>
      </c>
      <c r="K4205">
        <v>12077724</v>
      </c>
      <c r="L4205">
        <v>17010606</v>
      </c>
      <c r="M4205">
        <v>20916913</v>
      </c>
      <c r="P4205">
        <v>85</v>
      </c>
      <c r="Q4205" t="s">
        <v>8754</v>
      </c>
    </row>
    <row r="4206" spans="1:17" x14ac:dyDescent="0.3">
      <c r="A4206" t="s">
        <v>4664</v>
      </c>
      <c r="B4206" t="str">
        <f>"300450"</f>
        <v>300450</v>
      </c>
      <c r="C4206" t="s">
        <v>8755</v>
      </c>
      <c r="D4206" t="s">
        <v>3749</v>
      </c>
      <c r="F4206">
        <v>1003759386</v>
      </c>
      <c r="G4206">
        <v>639514253</v>
      </c>
      <c r="H4206">
        <v>635330864</v>
      </c>
      <c r="I4206">
        <v>547058651</v>
      </c>
      <c r="J4206">
        <v>278585048</v>
      </c>
      <c r="K4206">
        <v>153022324</v>
      </c>
      <c r="L4206">
        <v>66836074</v>
      </c>
      <c r="M4206">
        <v>19268033</v>
      </c>
      <c r="P4206">
        <v>9753</v>
      </c>
      <c r="Q4206" t="s">
        <v>8756</v>
      </c>
    </row>
    <row r="4207" spans="1:17" x14ac:dyDescent="0.3">
      <c r="A4207" t="s">
        <v>4664</v>
      </c>
      <c r="B4207" t="str">
        <f>"300451"</f>
        <v>300451</v>
      </c>
      <c r="C4207" t="s">
        <v>8757</v>
      </c>
      <c r="D4207" t="s">
        <v>945</v>
      </c>
      <c r="F4207">
        <v>230023276</v>
      </c>
      <c r="G4207">
        <v>167497507</v>
      </c>
      <c r="H4207">
        <v>185062378</v>
      </c>
      <c r="I4207">
        <v>111826309</v>
      </c>
      <c r="J4207">
        <v>67388271</v>
      </c>
      <c r="K4207">
        <v>20442223</v>
      </c>
      <c r="L4207">
        <v>19184163</v>
      </c>
      <c r="M4207">
        <v>16376631</v>
      </c>
      <c r="P4207">
        <v>351</v>
      </c>
      <c r="Q4207" t="s">
        <v>8758</v>
      </c>
    </row>
    <row r="4208" spans="1:17" x14ac:dyDescent="0.3">
      <c r="A4208" t="s">
        <v>4664</v>
      </c>
      <c r="B4208" t="str">
        <f>"300452"</f>
        <v>300452</v>
      </c>
      <c r="C4208" t="s">
        <v>8759</v>
      </c>
      <c r="D4208" t="s">
        <v>496</v>
      </c>
      <c r="F4208">
        <v>72541671</v>
      </c>
      <c r="G4208">
        <v>68366538</v>
      </c>
      <c r="H4208">
        <v>62221415</v>
      </c>
      <c r="I4208">
        <v>50193339</v>
      </c>
      <c r="J4208">
        <v>34094489</v>
      </c>
      <c r="K4208">
        <v>35972294</v>
      </c>
      <c r="L4208">
        <v>30892359</v>
      </c>
      <c r="M4208">
        <v>23233451</v>
      </c>
      <c r="P4208">
        <v>300</v>
      </c>
      <c r="Q4208" t="s">
        <v>8760</v>
      </c>
    </row>
    <row r="4209" spans="1:17" x14ac:dyDescent="0.3">
      <c r="A4209" t="s">
        <v>4664</v>
      </c>
      <c r="B4209" t="str">
        <f>"300453"</f>
        <v>300453</v>
      </c>
      <c r="C4209" t="s">
        <v>8761</v>
      </c>
      <c r="D4209" t="s">
        <v>1077</v>
      </c>
      <c r="F4209">
        <v>114500392</v>
      </c>
      <c r="G4209">
        <v>82057071</v>
      </c>
      <c r="H4209">
        <v>39938694</v>
      </c>
      <c r="I4209">
        <v>29200765</v>
      </c>
      <c r="J4209">
        <v>31852869</v>
      </c>
      <c r="K4209">
        <v>30971342</v>
      </c>
      <c r="L4209">
        <v>35717590</v>
      </c>
      <c r="M4209">
        <v>33224119</v>
      </c>
      <c r="P4209">
        <v>226</v>
      </c>
      <c r="Q4209" t="s">
        <v>8762</v>
      </c>
    </row>
    <row r="4210" spans="1:17" x14ac:dyDescent="0.3">
      <c r="A4210" t="s">
        <v>4664</v>
      </c>
      <c r="B4210" t="str">
        <f>"300454"</f>
        <v>300454</v>
      </c>
      <c r="C4210" t="s">
        <v>8763</v>
      </c>
      <c r="D4210" t="s">
        <v>1189</v>
      </c>
      <c r="F4210">
        <v>-132505857</v>
      </c>
      <c r="G4210">
        <v>69247876</v>
      </c>
      <c r="H4210">
        <v>312726692</v>
      </c>
      <c r="I4210">
        <v>312804185</v>
      </c>
      <c r="J4210">
        <v>272822154</v>
      </c>
      <c r="P4210">
        <v>799</v>
      </c>
      <c r="Q4210" t="s">
        <v>8764</v>
      </c>
    </row>
    <row r="4211" spans="1:17" x14ac:dyDescent="0.3">
      <c r="A4211" t="s">
        <v>4664</v>
      </c>
      <c r="B4211" t="str">
        <f>"300455"</f>
        <v>300455</v>
      </c>
      <c r="C4211" t="s">
        <v>8765</v>
      </c>
      <c r="D4211" t="s">
        <v>236</v>
      </c>
      <c r="F4211">
        <v>28451807</v>
      </c>
      <c r="G4211">
        <v>42628123</v>
      </c>
      <c r="H4211">
        <v>44077558</v>
      </c>
      <c r="I4211">
        <v>43200668</v>
      </c>
      <c r="J4211">
        <v>41670442</v>
      </c>
      <c r="K4211">
        <v>36510697</v>
      </c>
      <c r="L4211">
        <v>31242200</v>
      </c>
      <c r="M4211">
        <v>27890157</v>
      </c>
      <c r="P4211">
        <v>137</v>
      </c>
      <c r="Q4211" t="s">
        <v>8766</v>
      </c>
    </row>
    <row r="4212" spans="1:17" x14ac:dyDescent="0.3">
      <c r="A4212" t="s">
        <v>4664</v>
      </c>
      <c r="B4212" t="str">
        <f>"300456"</f>
        <v>300456</v>
      </c>
      <c r="C4212" t="s">
        <v>8767</v>
      </c>
      <c r="D4212" t="s">
        <v>4269</v>
      </c>
      <c r="F4212">
        <v>87548659</v>
      </c>
      <c r="G4212">
        <v>73885510</v>
      </c>
      <c r="H4212">
        <v>50738558</v>
      </c>
      <c r="I4212">
        <v>81995610</v>
      </c>
      <c r="J4212">
        <v>26337422</v>
      </c>
      <c r="K4212">
        <v>17627027</v>
      </c>
      <c r="L4212">
        <v>20653859</v>
      </c>
      <c r="M4212">
        <v>17856962</v>
      </c>
      <c r="P4212">
        <v>376</v>
      </c>
      <c r="Q4212" t="s">
        <v>8768</v>
      </c>
    </row>
    <row r="4213" spans="1:17" x14ac:dyDescent="0.3">
      <c r="A4213" t="s">
        <v>4664</v>
      </c>
      <c r="B4213" t="str">
        <f>"300457"</f>
        <v>300457</v>
      </c>
      <c r="C4213" t="s">
        <v>8769</v>
      </c>
      <c r="D4213" t="s">
        <v>3749</v>
      </c>
      <c r="F4213">
        <v>168310807</v>
      </c>
      <c r="G4213">
        <v>279624160</v>
      </c>
      <c r="H4213">
        <v>238204229</v>
      </c>
      <c r="I4213">
        <v>208106543</v>
      </c>
      <c r="J4213">
        <v>140471524</v>
      </c>
      <c r="K4213">
        <v>92953443</v>
      </c>
      <c r="L4213">
        <v>50759979</v>
      </c>
      <c r="M4213">
        <v>38672684</v>
      </c>
      <c r="P4213">
        <v>359</v>
      </c>
      <c r="Q4213" t="s">
        <v>8770</v>
      </c>
    </row>
    <row r="4214" spans="1:17" x14ac:dyDescent="0.3">
      <c r="A4214" t="s">
        <v>4664</v>
      </c>
      <c r="B4214" t="str">
        <f>"300458"</f>
        <v>300458</v>
      </c>
      <c r="C4214" t="s">
        <v>8771</v>
      </c>
      <c r="D4214" t="s">
        <v>461</v>
      </c>
      <c r="F4214">
        <v>389103966</v>
      </c>
      <c r="G4214">
        <v>175940271</v>
      </c>
      <c r="H4214">
        <v>151834934</v>
      </c>
      <c r="I4214">
        <v>144701048</v>
      </c>
      <c r="J4214">
        <v>5577775</v>
      </c>
      <c r="K4214">
        <v>138110194</v>
      </c>
      <c r="L4214">
        <v>97819654</v>
      </c>
      <c r="M4214">
        <v>82953928</v>
      </c>
      <c r="P4214">
        <v>561</v>
      </c>
      <c r="Q4214" t="s">
        <v>8772</v>
      </c>
    </row>
    <row r="4215" spans="1:17" x14ac:dyDescent="0.3">
      <c r="A4215" t="s">
        <v>4664</v>
      </c>
      <c r="B4215" t="str">
        <f>"300459"</f>
        <v>300459</v>
      </c>
      <c r="C4215" t="s">
        <v>8773</v>
      </c>
      <c r="D4215" t="s">
        <v>517</v>
      </c>
      <c r="F4215">
        <v>600324750</v>
      </c>
      <c r="G4215">
        <v>620875243</v>
      </c>
      <c r="H4215">
        <v>641119838</v>
      </c>
      <c r="I4215">
        <v>755811634</v>
      </c>
      <c r="J4215">
        <v>293740637</v>
      </c>
      <c r="K4215">
        <v>136729031</v>
      </c>
      <c r="L4215">
        <v>36722466</v>
      </c>
      <c r="M4215">
        <v>28800119</v>
      </c>
      <c r="P4215">
        <v>287</v>
      </c>
      <c r="Q4215" t="s">
        <v>8774</v>
      </c>
    </row>
    <row r="4216" spans="1:17" x14ac:dyDescent="0.3">
      <c r="A4216" t="s">
        <v>4664</v>
      </c>
      <c r="B4216" t="str">
        <f>"300460"</f>
        <v>300460</v>
      </c>
      <c r="C4216" t="s">
        <v>8775</v>
      </c>
      <c r="D4216" t="s">
        <v>546</v>
      </c>
      <c r="F4216">
        <v>138108465</v>
      </c>
      <c r="G4216">
        <v>10421999</v>
      </c>
      <c r="H4216">
        <v>3124236</v>
      </c>
      <c r="I4216">
        <v>10373921</v>
      </c>
      <c r="J4216">
        <v>11636816</v>
      </c>
      <c r="K4216">
        <v>15636651</v>
      </c>
      <c r="L4216">
        <v>35077777</v>
      </c>
      <c r="M4216">
        <v>33616785</v>
      </c>
      <c r="P4216">
        <v>154</v>
      </c>
      <c r="Q4216" t="s">
        <v>8776</v>
      </c>
    </row>
    <row r="4217" spans="1:17" x14ac:dyDescent="0.3">
      <c r="A4217" t="s">
        <v>4664</v>
      </c>
      <c r="B4217" t="str">
        <f>"300461"</f>
        <v>300461</v>
      </c>
      <c r="C4217" t="s">
        <v>8777</v>
      </c>
      <c r="D4217" t="s">
        <v>3450</v>
      </c>
      <c r="F4217">
        <v>12450564</v>
      </c>
      <c r="G4217">
        <v>33217348</v>
      </c>
      <c r="H4217">
        <v>-85136365</v>
      </c>
      <c r="I4217">
        <v>85290930</v>
      </c>
      <c r="J4217">
        <v>23152966</v>
      </c>
      <c r="K4217">
        <v>3429989</v>
      </c>
      <c r="L4217">
        <v>18654512</v>
      </c>
      <c r="M4217">
        <v>19678255</v>
      </c>
      <c r="P4217">
        <v>153</v>
      </c>
      <c r="Q4217" t="s">
        <v>8778</v>
      </c>
    </row>
    <row r="4218" spans="1:17" x14ac:dyDescent="0.3">
      <c r="A4218" t="s">
        <v>4664</v>
      </c>
      <c r="B4218" t="str">
        <f>"300462"</f>
        <v>300462</v>
      </c>
      <c r="C4218" t="s">
        <v>8779</v>
      </c>
      <c r="D4218" t="s">
        <v>236</v>
      </c>
      <c r="F4218">
        <v>11117616</v>
      </c>
      <c r="G4218">
        <v>188485066</v>
      </c>
      <c r="H4218">
        <v>46015744</v>
      </c>
      <c r="I4218">
        <v>42414246</v>
      </c>
      <c r="J4218">
        <v>26102154</v>
      </c>
      <c r="K4218">
        <v>38992142</v>
      </c>
      <c r="L4218">
        <v>25230579</v>
      </c>
      <c r="M4218">
        <v>31553026</v>
      </c>
      <c r="P4218">
        <v>176</v>
      </c>
      <c r="Q4218" t="s">
        <v>8780</v>
      </c>
    </row>
    <row r="4219" spans="1:17" x14ac:dyDescent="0.3">
      <c r="A4219" t="s">
        <v>4664</v>
      </c>
      <c r="B4219" t="str">
        <f>"300463"</f>
        <v>300463</v>
      </c>
      <c r="C4219" t="s">
        <v>8781</v>
      </c>
      <c r="D4219" t="s">
        <v>1305</v>
      </c>
      <c r="F4219">
        <v>796158159</v>
      </c>
      <c r="G4219">
        <v>566072179</v>
      </c>
      <c r="H4219">
        <v>414168765</v>
      </c>
      <c r="I4219">
        <v>355496482</v>
      </c>
      <c r="J4219">
        <v>298228433</v>
      </c>
      <c r="K4219">
        <v>245728107</v>
      </c>
      <c r="L4219">
        <v>193802827</v>
      </c>
      <c r="M4219">
        <v>176024558</v>
      </c>
      <c r="P4219">
        <v>1101</v>
      </c>
      <c r="Q4219" t="s">
        <v>8782</v>
      </c>
    </row>
    <row r="4220" spans="1:17" x14ac:dyDescent="0.3">
      <c r="A4220" t="s">
        <v>4664</v>
      </c>
      <c r="B4220" t="str">
        <f>"300464"</f>
        <v>300464</v>
      </c>
      <c r="C4220" t="s">
        <v>8783</v>
      </c>
      <c r="D4220" t="s">
        <v>2014</v>
      </c>
      <c r="F4220">
        <v>-35078180</v>
      </c>
      <c r="G4220">
        <v>202683153</v>
      </c>
      <c r="H4220">
        <v>90044761</v>
      </c>
      <c r="I4220">
        <v>850466</v>
      </c>
      <c r="J4220">
        <v>20550769</v>
      </c>
      <c r="K4220">
        <v>28582899</v>
      </c>
      <c r="L4220">
        <v>20709508</v>
      </c>
      <c r="M4220">
        <v>22421155</v>
      </c>
      <c r="P4220">
        <v>121</v>
      </c>
      <c r="Q4220" t="s">
        <v>8784</v>
      </c>
    </row>
    <row r="4221" spans="1:17" x14ac:dyDescent="0.3">
      <c r="A4221" t="s">
        <v>4664</v>
      </c>
      <c r="B4221" t="str">
        <f>"300465"</f>
        <v>300465</v>
      </c>
      <c r="C4221" t="s">
        <v>8785</v>
      </c>
      <c r="D4221" t="s">
        <v>945</v>
      </c>
      <c r="F4221">
        <v>75537838</v>
      </c>
      <c r="G4221">
        <v>40106788</v>
      </c>
      <c r="H4221">
        <v>56682894</v>
      </c>
      <c r="I4221">
        <v>24775297</v>
      </c>
      <c r="J4221">
        <v>11349000</v>
      </c>
      <c r="K4221">
        <v>11790794</v>
      </c>
      <c r="L4221">
        <v>23891376</v>
      </c>
      <c r="M4221">
        <v>36571467</v>
      </c>
      <c r="P4221">
        <v>252</v>
      </c>
      <c r="Q4221" t="s">
        <v>8786</v>
      </c>
    </row>
    <row r="4222" spans="1:17" x14ac:dyDescent="0.3">
      <c r="A4222" t="s">
        <v>4664</v>
      </c>
      <c r="B4222" t="str">
        <f>"300466"</f>
        <v>300466</v>
      </c>
      <c r="C4222" t="s">
        <v>8787</v>
      </c>
      <c r="D4222" t="s">
        <v>2171</v>
      </c>
      <c r="F4222">
        <v>16781380</v>
      </c>
      <c r="G4222">
        <v>32017149</v>
      </c>
      <c r="H4222">
        <v>27335584</v>
      </c>
      <c r="I4222">
        <v>26550379</v>
      </c>
      <c r="J4222">
        <v>22321919</v>
      </c>
      <c r="K4222">
        <v>21736552</v>
      </c>
      <c r="L4222">
        <v>15387601</v>
      </c>
      <c r="M4222">
        <v>15570652</v>
      </c>
      <c r="P4222">
        <v>121</v>
      </c>
      <c r="Q4222" t="s">
        <v>8788</v>
      </c>
    </row>
    <row r="4223" spans="1:17" x14ac:dyDescent="0.3">
      <c r="A4223" t="s">
        <v>4664</v>
      </c>
      <c r="B4223" t="str">
        <f>"300467"</f>
        <v>300467</v>
      </c>
      <c r="C4223" t="s">
        <v>8789</v>
      </c>
      <c r="D4223" t="s">
        <v>517</v>
      </c>
      <c r="F4223">
        <v>37783518</v>
      </c>
      <c r="G4223">
        <v>43825217</v>
      </c>
      <c r="H4223">
        <v>117794660</v>
      </c>
      <c r="I4223">
        <v>172129054</v>
      </c>
      <c r="J4223">
        <v>50430867</v>
      </c>
      <c r="K4223">
        <v>35590741</v>
      </c>
      <c r="L4223">
        <v>45007800</v>
      </c>
      <c r="M4223">
        <v>45944728</v>
      </c>
      <c r="P4223">
        <v>187</v>
      </c>
      <c r="Q4223" t="s">
        <v>8790</v>
      </c>
    </row>
    <row r="4224" spans="1:17" x14ac:dyDescent="0.3">
      <c r="A4224" t="s">
        <v>4664</v>
      </c>
      <c r="B4224" t="str">
        <f>"300468"</f>
        <v>300468</v>
      </c>
      <c r="C4224" t="s">
        <v>8791</v>
      </c>
      <c r="D4224" t="s">
        <v>945</v>
      </c>
      <c r="F4224">
        <v>53506828</v>
      </c>
      <c r="G4224">
        <v>50908880</v>
      </c>
      <c r="H4224">
        <v>56736027</v>
      </c>
      <c r="I4224">
        <v>54983480</v>
      </c>
      <c r="J4224">
        <v>53999887</v>
      </c>
      <c r="K4224">
        <v>41321804</v>
      </c>
      <c r="L4224">
        <v>35101832</v>
      </c>
      <c r="M4224">
        <v>46798058</v>
      </c>
      <c r="P4224">
        <v>213</v>
      </c>
      <c r="Q4224" t="s">
        <v>8792</v>
      </c>
    </row>
    <row r="4225" spans="1:17" x14ac:dyDescent="0.3">
      <c r="A4225" t="s">
        <v>4664</v>
      </c>
      <c r="B4225" t="str">
        <f>"300469"</f>
        <v>300469</v>
      </c>
      <c r="C4225" t="s">
        <v>8793</v>
      </c>
      <c r="D4225" t="s">
        <v>945</v>
      </c>
      <c r="F4225">
        <v>-16799292</v>
      </c>
      <c r="G4225">
        <v>-5493591</v>
      </c>
      <c r="H4225">
        <v>610576</v>
      </c>
      <c r="I4225">
        <v>7295188</v>
      </c>
      <c r="J4225">
        <v>1667245</v>
      </c>
      <c r="K4225">
        <v>1312814</v>
      </c>
      <c r="L4225">
        <v>-2317291</v>
      </c>
      <c r="M4225">
        <v>-8822545</v>
      </c>
      <c r="P4225">
        <v>96</v>
      </c>
      <c r="Q4225" t="s">
        <v>8794</v>
      </c>
    </row>
    <row r="4226" spans="1:17" x14ac:dyDescent="0.3">
      <c r="A4226" t="s">
        <v>4664</v>
      </c>
      <c r="B4226" t="str">
        <f>"300470"</f>
        <v>300470</v>
      </c>
      <c r="C4226" t="s">
        <v>8795</v>
      </c>
      <c r="D4226" t="s">
        <v>560</v>
      </c>
      <c r="F4226">
        <v>213304664</v>
      </c>
      <c r="G4226">
        <v>153465018</v>
      </c>
      <c r="H4226">
        <v>157711863</v>
      </c>
      <c r="I4226">
        <v>123535659</v>
      </c>
      <c r="J4226">
        <v>78204166</v>
      </c>
      <c r="K4226">
        <v>60409812</v>
      </c>
      <c r="L4226">
        <v>51974604</v>
      </c>
      <c r="M4226">
        <v>63510447</v>
      </c>
      <c r="P4226">
        <v>347</v>
      </c>
      <c r="Q4226" t="s">
        <v>8796</v>
      </c>
    </row>
    <row r="4227" spans="1:17" x14ac:dyDescent="0.3">
      <c r="A4227" t="s">
        <v>4664</v>
      </c>
      <c r="B4227" t="str">
        <f>"300471"</f>
        <v>300471</v>
      </c>
      <c r="C4227" t="s">
        <v>8797</v>
      </c>
      <c r="D4227" t="s">
        <v>741</v>
      </c>
      <c r="F4227">
        <v>11625040</v>
      </c>
      <c r="G4227">
        <v>-53931890</v>
      </c>
      <c r="H4227">
        <v>3210829</v>
      </c>
      <c r="I4227">
        <v>-152346646</v>
      </c>
      <c r="J4227">
        <v>65059707</v>
      </c>
      <c r="K4227">
        <v>89376547</v>
      </c>
      <c r="L4227">
        <v>123680106</v>
      </c>
      <c r="M4227">
        <v>106509757</v>
      </c>
      <c r="P4227">
        <v>166</v>
      </c>
      <c r="Q4227" t="s">
        <v>8798</v>
      </c>
    </row>
    <row r="4228" spans="1:17" x14ac:dyDescent="0.3">
      <c r="A4228" t="s">
        <v>4664</v>
      </c>
      <c r="B4228" t="str">
        <f>"300472"</f>
        <v>300472</v>
      </c>
      <c r="C4228" t="s">
        <v>8799</v>
      </c>
      <c r="D4228" t="s">
        <v>741</v>
      </c>
      <c r="F4228">
        <v>52332808</v>
      </c>
      <c r="G4228">
        <v>18715721</v>
      </c>
      <c r="H4228">
        <v>25328985</v>
      </c>
      <c r="I4228">
        <v>20067662</v>
      </c>
      <c r="J4228">
        <v>6107630</v>
      </c>
      <c r="K4228">
        <v>4906659</v>
      </c>
      <c r="L4228">
        <v>14940171</v>
      </c>
      <c r="M4228">
        <v>15768261</v>
      </c>
      <c r="P4228">
        <v>78</v>
      </c>
      <c r="Q4228" t="s">
        <v>8800</v>
      </c>
    </row>
    <row r="4229" spans="1:17" x14ac:dyDescent="0.3">
      <c r="A4229" t="s">
        <v>4664</v>
      </c>
      <c r="B4229" t="str">
        <f>"300473"</f>
        <v>300473</v>
      </c>
      <c r="C4229" t="s">
        <v>8801</v>
      </c>
      <c r="D4229" t="s">
        <v>985</v>
      </c>
      <c r="F4229">
        <v>30340294</v>
      </c>
      <c r="G4229">
        <v>-59285874</v>
      </c>
      <c r="H4229">
        <v>57028756</v>
      </c>
      <c r="I4229">
        <v>148791796</v>
      </c>
      <c r="J4229">
        <v>91309499</v>
      </c>
      <c r="K4229">
        <v>89715345</v>
      </c>
      <c r="L4229">
        <v>125463401</v>
      </c>
      <c r="M4229">
        <v>120203243</v>
      </c>
      <c r="P4229">
        <v>142</v>
      </c>
      <c r="Q4229" t="s">
        <v>8802</v>
      </c>
    </row>
    <row r="4230" spans="1:17" x14ac:dyDescent="0.3">
      <c r="A4230" t="s">
        <v>4664</v>
      </c>
      <c r="B4230" t="str">
        <f>"300474"</f>
        <v>300474</v>
      </c>
      <c r="C4230" t="s">
        <v>8803</v>
      </c>
      <c r="D4230" t="s">
        <v>1136</v>
      </c>
      <c r="F4230">
        <v>249453203</v>
      </c>
      <c r="G4230">
        <v>146737122</v>
      </c>
      <c r="H4230">
        <v>123062345</v>
      </c>
      <c r="I4230">
        <v>98680955</v>
      </c>
      <c r="J4230">
        <v>93912467</v>
      </c>
      <c r="K4230">
        <v>90969047</v>
      </c>
      <c r="L4230">
        <v>75411565</v>
      </c>
      <c r="P4230">
        <v>513</v>
      </c>
      <c r="Q4230" t="s">
        <v>8804</v>
      </c>
    </row>
    <row r="4231" spans="1:17" x14ac:dyDescent="0.3">
      <c r="A4231" t="s">
        <v>4664</v>
      </c>
      <c r="B4231" t="str">
        <f>"300475"</f>
        <v>300475</v>
      </c>
      <c r="C4231" t="s">
        <v>8805</v>
      </c>
      <c r="D4231" t="s">
        <v>1253</v>
      </c>
      <c r="F4231">
        <v>140659485</v>
      </c>
      <c r="G4231">
        <v>41929012</v>
      </c>
      <c r="H4231">
        <v>54289972</v>
      </c>
      <c r="I4231">
        <v>24721272</v>
      </c>
      <c r="J4231">
        <v>51531755</v>
      </c>
      <c r="K4231">
        <v>79835284</v>
      </c>
      <c r="L4231">
        <v>78730078</v>
      </c>
      <c r="M4231">
        <v>119278904</v>
      </c>
      <c r="P4231">
        <v>92</v>
      </c>
      <c r="Q4231" t="s">
        <v>8806</v>
      </c>
    </row>
    <row r="4232" spans="1:17" x14ac:dyDescent="0.3">
      <c r="A4232" t="s">
        <v>4664</v>
      </c>
      <c r="B4232" t="str">
        <f>"300476"</f>
        <v>300476</v>
      </c>
      <c r="C4232" t="s">
        <v>8807</v>
      </c>
      <c r="D4232" t="s">
        <v>425</v>
      </c>
      <c r="F4232">
        <v>622240220</v>
      </c>
      <c r="G4232">
        <v>424127203</v>
      </c>
      <c r="H4232">
        <v>358654512</v>
      </c>
      <c r="I4232">
        <v>320155699</v>
      </c>
      <c r="J4232">
        <v>193462138</v>
      </c>
      <c r="K4232">
        <v>159933204</v>
      </c>
      <c r="L4232">
        <v>93818947</v>
      </c>
      <c r="M4232">
        <v>80349154</v>
      </c>
      <c r="P4232">
        <v>633</v>
      </c>
      <c r="Q4232" t="s">
        <v>8808</v>
      </c>
    </row>
    <row r="4233" spans="1:17" x14ac:dyDescent="0.3">
      <c r="A4233" t="s">
        <v>4664</v>
      </c>
      <c r="B4233" t="str">
        <f>"300477"</f>
        <v>300477</v>
      </c>
      <c r="C4233" t="s">
        <v>8809</v>
      </c>
      <c r="D4233" t="s">
        <v>210</v>
      </c>
      <c r="F4233">
        <v>71872818</v>
      </c>
      <c r="G4233">
        <v>-166787930</v>
      </c>
      <c r="H4233">
        <v>47486951</v>
      </c>
      <c r="I4233">
        <v>81188413</v>
      </c>
      <c r="J4233">
        <v>70665873</v>
      </c>
      <c r="K4233">
        <v>46850981</v>
      </c>
      <c r="L4233">
        <v>51712093</v>
      </c>
      <c r="M4233">
        <v>46298107</v>
      </c>
      <c r="P4233">
        <v>100</v>
      </c>
      <c r="Q4233" t="s">
        <v>8810</v>
      </c>
    </row>
    <row r="4234" spans="1:17" x14ac:dyDescent="0.3">
      <c r="A4234" t="s">
        <v>4664</v>
      </c>
      <c r="B4234" t="str">
        <f>"300478"</f>
        <v>300478</v>
      </c>
      <c r="C4234" t="s">
        <v>8811</v>
      </c>
      <c r="D4234" t="s">
        <v>341</v>
      </c>
      <c r="F4234">
        <v>17618606</v>
      </c>
      <c r="G4234">
        <v>-33165574</v>
      </c>
      <c r="H4234">
        <v>-13524692</v>
      </c>
      <c r="I4234">
        <v>26457669</v>
      </c>
      <c r="J4234">
        <v>16809410</v>
      </c>
      <c r="K4234">
        <v>23198401</v>
      </c>
      <c r="L4234">
        <v>28764551</v>
      </c>
      <c r="M4234">
        <v>34065694</v>
      </c>
      <c r="P4234">
        <v>58</v>
      </c>
      <c r="Q4234" t="s">
        <v>8812</v>
      </c>
    </row>
    <row r="4235" spans="1:17" x14ac:dyDescent="0.3">
      <c r="A4235" t="s">
        <v>4664</v>
      </c>
      <c r="B4235" t="str">
        <f>"300479"</f>
        <v>300479</v>
      </c>
      <c r="C4235" t="s">
        <v>8813</v>
      </c>
      <c r="D4235" t="s">
        <v>236</v>
      </c>
      <c r="F4235">
        <v>-25704726</v>
      </c>
      <c r="G4235">
        <v>1578916</v>
      </c>
      <c r="H4235">
        <v>12184365</v>
      </c>
      <c r="I4235">
        <v>6367124</v>
      </c>
      <c r="J4235">
        <v>11352545</v>
      </c>
      <c r="K4235">
        <v>9978258</v>
      </c>
      <c r="L4235">
        <v>31990021</v>
      </c>
      <c r="M4235">
        <v>22183586</v>
      </c>
      <c r="P4235">
        <v>167</v>
      </c>
      <c r="Q4235" t="s">
        <v>8814</v>
      </c>
    </row>
    <row r="4236" spans="1:17" x14ac:dyDescent="0.3">
      <c r="A4236" t="s">
        <v>4664</v>
      </c>
      <c r="B4236" t="str">
        <f>"300480"</f>
        <v>300480</v>
      </c>
      <c r="C4236" t="s">
        <v>8815</v>
      </c>
      <c r="D4236" t="s">
        <v>395</v>
      </c>
      <c r="F4236">
        <v>80013349</v>
      </c>
      <c r="G4236">
        <v>41993645</v>
      </c>
      <c r="H4236">
        <v>30805186</v>
      </c>
      <c r="I4236">
        <v>23768349</v>
      </c>
      <c r="J4236">
        <v>20273630</v>
      </c>
      <c r="K4236">
        <v>15012191</v>
      </c>
      <c r="L4236">
        <v>21883847</v>
      </c>
      <c r="M4236">
        <v>20994600</v>
      </c>
      <c r="P4236">
        <v>84</v>
      </c>
      <c r="Q4236" t="s">
        <v>8816</v>
      </c>
    </row>
    <row r="4237" spans="1:17" x14ac:dyDescent="0.3">
      <c r="A4237" t="s">
        <v>4664</v>
      </c>
      <c r="B4237" t="str">
        <f>"300481"</f>
        <v>300481</v>
      </c>
      <c r="C4237" t="s">
        <v>8817</v>
      </c>
      <c r="D4237" t="s">
        <v>2399</v>
      </c>
      <c r="F4237">
        <v>176467859</v>
      </c>
      <c r="G4237">
        <v>140197914</v>
      </c>
      <c r="H4237">
        <v>114820010</v>
      </c>
      <c r="I4237">
        <v>85082753</v>
      </c>
      <c r="J4237">
        <v>55301094</v>
      </c>
      <c r="K4237">
        <v>46878080</v>
      </c>
      <c r="L4237">
        <v>42755032</v>
      </c>
      <c r="M4237">
        <v>38591639</v>
      </c>
      <c r="P4237">
        <v>352</v>
      </c>
      <c r="Q4237" t="s">
        <v>8818</v>
      </c>
    </row>
    <row r="4238" spans="1:17" x14ac:dyDescent="0.3">
      <c r="A4238" t="s">
        <v>4664</v>
      </c>
      <c r="B4238" t="str">
        <f>"300482"</f>
        <v>300482</v>
      </c>
      <c r="C4238" t="s">
        <v>8819</v>
      </c>
      <c r="D4238" t="s">
        <v>1305</v>
      </c>
      <c r="F4238">
        <v>627236534</v>
      </c>
      <c r="G4238">
        <v>565944832</v>
      </c>
      <c r="H4238">
        <v>290170275</v>
      </c>
      <c r="I4238">
        <v>222463152</v>
      </c>
      <c r="J4238">
        <v>153087054</v>
      </c>
      <c r="K4238">
        <v>117432800</v>
      </c>
      <c r="L4238">
        <v>85258213</v>
      </c>
      <c r="M4238">
        <v>77326030</v>
      </c>
      <c r="P4238">
        <v>17070</v>
      </c>
      <c r="Q4238" t="s">
        <v>8820</v>
      </c>
    </row>
    <row r="4239" spans="1:17" x14ac:dyDescent="0.3">
      <c r="A4239" t="s">
        <v>4664</v>
      </c>
      <c r="B4239" t="str">
        <f>"300483"</f>
        <v>300483</v>
      </c>
      <c r="C4239" t="s">
        <v>8821</v>
      </c>
      <c r="D4239" t="s">
        <v>749</v>
      </c>
      <c r="F4239">
        <v>72136739</v>
      </c>
      <c r="G4239">
        <v>82937974</v>
      </c>
      <c r="H4239">
        <v>60103082</v>
      </c>
      <c r="I4239">
        <v>3837593</v>
      </c>
      <c r="J4239">
        <v>7208954</v>
      </c>
      <c r="K4239">
        <v>12704653</v>
      </c>
      <c r="L4239">
        <v>12032043</v>
      </c>
      <c r="M4239">
        <v>12750223</v>
      </c>
      <c r="P4239">
        <v>140</v>
      </c>
      <c r="Q4239" t="s">
        <v>8822</v>
      </c>
    </row>
    <row r="4240" spans="1:17" x14ac:dyDescent="0.3">
      <c r="A4240" t="s">
        <v>4664</v>
      </c>
      <c r="B4240" t="str">
        <f>"300484"</f>
        <v>300484</v>
      </c>
      <c r="C4240" t="s">
        <v>8823</v>
      </c>
      <c r="D4240" t="s">
        <v>2423</v>
      </c>
      <c r="F4240">
        <v>48221053</v>
      </c>
      <c r="G4240">
        <v>40111171</v>
      </c>
      <c r="H4240">
        <v>-80242596</v>
      </c>
      <c r="I4240">
        <v>13981872</v>
      </c>
      <c r="J4240">
        <v>106954508</v>
      </c>
      <c r="K4240">
        <v>105963069</v>
      </c>
      <c r="L4240">
        <v>38641651</v>
      </c>
      <c r="P4240">
        <v>219</v>
      </c>
      <c r="Q4240" t="s">
        <v>8824</v>
      </c>
    </row>
    <row r="4241" spans="1:17" x14ac:dyDescent="0.3">
      <c r="A4241" t="s">
        <v>4664</v>
      </c>
      <c r="B4241" t="str">
        <f>"300485"</f>
        <v>300485</v>
      </c>
      <c r="C4241" t="s">
        <v>8825</v>
      </c>
      <c r="D4241" t="s">
        <v>1379</v>
      </c>
      <c r="F4241">
        <v>137713159</v>
      </c>
      <c r="G4241">
        <v>129149520</v>
      </c>
      <c r="H4241">
        <v>126716795</v>
      </c>
      <c r="I4241">
        <v>210166120</v>
      </c>
      <c r="J4241">
        <v>199822589</v>
      </c>
      <c r="K4241">
        <v>201452214</v>
      </c>
      <c r="L4241">
        <v>155963032</v>
      </c>
      <c r="M4241">
        <v>154332849</v>
      </c>
      <c r="P4241">
        <v>196</v>
      </c>
      <c r="Q4241" t="s">
        <v>8826</v>
      </c>
    </row>
    <row r="4242" spans="1:17" x14ac:dyDescent="0.3">
      <c r="A4242" t="s">
        <v>4664</v>
      </c>
      <c r="B4242" t="str">
        <f>"300486"</f>
        <v>300486</v>
      </c>
      <c r="C4242" t="s">
        <v>8827</v>
      </c>
      <c r="D4242" t="s">
        <v>3450</v>
      </c>
      <c r="F4242">
        <v>62789318</v>
      </c>
      <c r="G4242">
        <v>55121408</v>
      </c>
      <c r="H4242">
        <v>54736934</v>
      </c>
      <c r="I4242">
        <v>45576008</v>
      </c>
      <c r="J4242">
        <v>32954066</v>
      </c>
      <c r="K4242">
        <v>-50721912</v>
      </c>
      <c r="L4242">
        <v>21963179</v>
      </c>
      <c r="M4242">
        <v>13351773</v>
      </c>
      <c r="P4242">
        <v>74</v>
      </c>
      <c r="Q4242" t="s">
        <v>8828</v>
      </c>
    </row>
    <row r="4243" spans="1:17" x14ac:dyDescent="0.3">
      <c r="A4243" t="s">
        <v>4664</v>
      </c>
      <c r="B4243" t="str">
        <f>"300487"</f>
        <v>300487</v>
      </c>
      <c r="C4243" t="s">
        <v>8829</v>
      </c>
      <c r="D4243" t="s">
        <v>3350</v>
      </c>
      <c r="F4243">
        <v>237659408</v>
      </c>
      <c r="G4243">
        <v>164117220</v>
      </c>
      <c r="H4243">
        <v>230357913</v>
      </c>
      <c r="I4243">
        <v>87062001</v>
      </c>
      <c r="J4243">
        <v>76821498</v>
      </c>
      <c r="K4243">
        <v>44570221</v>
      </c>
      <c r="L4243">
        <v>37961992</v>
      </c>
      <c r="M4243">
        <v>37812866</v>
      </c>
      <c r="P4243">
        <v>374</v>
      </c>
      <c r="Q4243" t="s">
        <v>8830</v>
      </c>
    </row>
    <row r="4244" spans="1:17" x14ac:dyDescent="0.3">
      <c r="A4244" t="s">
        <v>4664</v>
      </c>
      <c r="B4244" t="str">
        <f>"300488"</f>
        <v>300488</v>
      </c>
      <c r="C4244" t="s">
        <v>8831</v>
      </c>
      <c r="D4244" t="s">
        <v>274</v>
      </c>
      <c r="F4244">
        <v>108135097</v>
      </c>
      <c r="G4244">
        <v>63551901</v>
      </c>
      <c r="H4244">
        <v>82578771</v>
      </c>
      <c r="I4244">
        <v>88810345</v>
      </c>
      <c r="J4244">
        <v>75862953</v>
      </c>
      <c r="K4244">
        <v>52877446</v>
      </c>
      <c r="L4244">
        <v>50069017</v>
      </c>
      <c r="M4244">
        <v>45154689</v>
      </c>
      <c r="P4244">
        <v>120</v>
      </c>
      <c r="Q4244" t="s">
        <v>8832</v>
      </c>
    </row>
    <row r="4245" spans="1:17" x14ac:dyDescent="0.3">
      <c r="A4245" t="s">
        <v>4664</v>
      </c>
      <c r="B4245" t="str">
        <f>"300489"</f>
        <v>300489</v>
      </c>
      <c r="C4245" t="s">
        <v>8833</v>
      </c>
      <c r="D4245" t="s">
        <v>504</v>
      </c>
      <c r="F4245">
        <v>12232055</v>
      </c>
      <c r="G4245">
        <v>9243600</v>
      </c>
      <c r="H4245">
        <v>-25395758</v>
      </c>
      <c r="I4245">
        <v>911953</v>
      </c>
      <c r="J4245">
        <v>12582746</v>
      </c>
      <c r="K4245">
        <v>18959435</v>
      </c>
      <c r="L4245">
        <v>19082390</v>
      </c>
      <c r="M4245">
        <v>28293712</v>
      </c>
      <c r="P4245">
        <v>71</v>
      </c>
      <c r="Q4245" t="s">
        <v>8834</v>
      </c>
    </row>
    <row r="4246" spans="1:17" x14ac:dyDescent="0.3">
      <c r="A4246" t="s">
        <v>4664</v>
      </c>
      <c r="B4246" t="str">
        <f>"300490"</f>
        <v>300490</v>
      </c>
      <c r="C4246" t="s">
        <v>8835</v>
      </c>
      <c r="D4246" t="s">
        <v>610</v>
      </c>
      <c r="F4246">
        <v>31479483</v>
      </c>
      <c r="G4246">
        <v>-12359350</v>
      </c>
      <c r="H4246">
        <v>56124821</v>
      </c>
      <c r="I4246">
        <v>44475666</v>
      </c>
      <c r="J4246">
        <v>25608766</v>
      </c>
      <c r="K4246">
        <v>27689708</v>
      </c>
      <c r="L4246">
        <v>31314589</v>
      </c>
      <c r="M4246">
        <v>29233501</v>
      </c>
      <c r="P4246">
        <v>161</v>
      </c>
      <c r="Q4246" t="s">
        <v>8836</v>
      </c>
    </row>
    <row r="4247" spans="1:17" x14ac:dyDescent="0.3">
      <c r="A4247" t="s">
        <v>4664</v>
      </c>
      <c r="B4247" t="str">
        <f>"300491"</f>
        <v>300491</v>
      </c>
      <c r="C4247" t="s">
        <v>8837</v>
      </c>
      <c r="D4247" t="s">
        <v>880</v>
      </c>
      <c r="F4247">
        <v>5721850</v>
      </c>
      <c r="G4247">
        <v>6994547</v>
      </c>
      <c r="H4247">
        <v>19133119</v>
      </c>
      <c r="I4247">
        <v>3242739</v>
      </c>
      <c r="J4247">
        <v>-4386231</v>
      </c>
      <c r="K4247">
        <v>27132366</v>
      </c>
      <c r="L4247">
        <v>26250462</v>
      </c>
      <c r="M4247">
        <v>23098525</v>
      </c>
      <c r="P4247">
        <v>94</v>
      </c>
      <c r="Q4247" t="s">
        <v>8838</v>
      </c>
    </row>
    <row r="4248" spans="1:17" x14ac:dyDescent="0.3">
      <c r="A4248" t="s">
        <v>4664</v>
      </c>
      <c r="B4248" t="str">
        <f>"300492"</f>
        <v>300492</v>
      </c>
      <c r="C4248" t="s">
        <v>8839</v>
      </c>
      <c r="D4248" t="s">
        <v>1272</v>
      </c>
      <c r="F4248">
        <v>5197525</v>
      </c>
      <c r="G4248">
        <v>1565895</v>
      </c>
      <c r="H4248">
        <v>16012129</v>
      </c>
      <c r="I4248">
        <v>12337809</v>
      </c>
      <c r="J4248">
        <v>6762944</v>
      </c>
      <c r="K4248">
        <v>7296802</v>
      </c>
      <c r="L4248">
        <v>17125467</v>
      </c>
      <c r="M4248">
        <v>-1314460</v>
      </c>
      <c r="P4248">
        <v>94</v>
      </c>
      <c r="Q4248" t="s">
        <v>8840</v>
      </c>
    </row>
    <row r="4249" spans="1:17" x14ac:dyDescent="0.3">
      <c r="A4249" t="s">
        <v>4664</v>
      </c>
      <c r="B4249" t="str">
        <f>"300493"</f>
        <v>300493</v>
      </c>
      <c r="C4249" t="s">
        <v>8841</v>
      </c>
      <c r="D4249" t="s">
        <v>651</v>
      </c>
      <c r="F4249">
        <v>44955892</v>
      </c>
      <c r="G4249">
        <v>31355556</v>
      </c>
      <c r="H4249">
        <v>25894135</v>
      </c>
      <c r="I4249">
        <v>30935825</v>
      </c>
      <c r="J4249">
        <v>43609159</v>
      </c>
      <c r="K4249">
        <v>34973116</v>
      </c>
      <c r="L4249">
        <v>28872308</v>
      </c>
      <c r="M4249">
        <v>32384215</v>
      </c>
      <c r="P4249">
        <v>187</v>
      </c>
      <c r="Q4249" t="s">
        <v>8842</v>
      </c>
    </row>
    <row r="4250" spans="1:17" x14ac:dyDescent="0.3">
      <c r="A4250" t="s">
        <v>4664</v>
      </c>
      <c r="B4250" t="str">
        <f>"300494"</f>
        <v>300494</v>
      </c>
      <c r="C4250" t="s">
        <v>8843</v>
      </c>
      <c r="D4250" t="s">
        <v>517</v>
      </c>
      <c r="F4250">
        <v>111004583</v>
      </c>
      <c r="G4250">
        <v>58409080</v>
      </c>
      <c r="H4250">
        <v>36224101</v>
      </c>
      <c r="I4250">
        <v>52281482</v>
      </c>
      <c r="J4250">
        <v>63385442</v>
      </c>
      <c r="K4250">
        <v>69430423</v>
      </c>
      <c r="L4250">
        <v>53959590</v>
      </c>
      <c r="M4250">
        <v>83639779</v>
      </c>
      <c r="P4250">
        <v>134</v>
      </c>
      <c r="Q4250" t="s">
        <v>8844</v>
      </c>
    </row>
    <row r="4251" spans="1:17" x14ac:dyDescent="0.3">
      <c r="A4251" t="s">
        <v>4664</v>
      </c>
      <c r="B4251" t="str">
        <f>"300495"</f>
        <v>300495</v>
      </c>
      <c r="C4251" t="s">
        <v>8845</v>
      </c>
      <c r="D4251" t="s">
        <v>2408</v>
      </c>
      <c r="F4251">
        <v>-55542663</v>
      </c>
      <c r="G4251">
        <v>89728398</v>
      </c>
      <c r="H4251">
        <v>181082633</v>
      </c>
      <c r="I4251">
        <v>208227731</v>
      </c>
      <c r="J4251">
        <v>151814974</v>
      </c>
      <c r="K4251">
        <v>96195052</v>
      </c>
      <c r="L4251">
        <v>76389700</v>
      </c>
      <c r="M4251">
        <v>81838700</v>
      </c>
      <c r="P4251">
        <v>103</v>
      </c>
      <c r="Q4251" t="s">
        <v>8846</v>
      </c>
    </row>
    <row r="4252" spans="1:17" x14ac:dyDescent="0.3">
      <c r="A4252" t="s">
        <v>4664</v>
      </c>
      <c r="B4252" t="str">
        <f>"300496"</f>
        <v>300496</v>
      </c>
      <c r="C4252" t="s">
        <v>8847</v>
      </c>
      <c r="D4252" t="s">
        <v>316</v>
      </c>
      <c r="F4252">
        <v>450375855</v>
      </c>
      <c r="G4252">
        <v>291999112</v>
      </c>
      <c r="H4252">
        <v>155277504</v>
      </c>
      <c r="I4252">
        <v>103015480</v>
      </c>
      <c r="J4252">
        <v>73185017</v>
      </c>
      <c r="K4252">
        <v>98710561</v>
      </c>
      <c r="L4252">
        <v>101230522</v>
      </c>
      <c r="M4252">
        <v>100272573</v>
      </c>
      <c r="P4252">
        <v>1141</v>
      </c>
      <c r="Q4252" t="s">
        <v>8848</v>
      </c>
    </row>
    <row r="4253" spans="1:17" x14ac:dyDescent="0.3">
      <c r="A4253" t="s">
        <v>4664</v>
      </c>
      <c r="B4253" t="str">
        <f>"300497"</f>
        <v>300497</v>
      </c>
      <c r="C4253" t="s">
        <v>8849</v>
      </c>
      <c r="D4253" t="s">
        <v>496</v>
      </c>
      <c r="F4253">
        <v>161074495</v>
      </c>
      <c r="G4253">
        <v>293564446</v>
      </c>
      <c r="H4253">
        <v>216031435</v>
      </c>
      <c r="I4253">
        <v>172697870</v>
      </c>
      <c r="J4253">
        <v>139449611</v>
      </c>
      <c r="K4253">
        <v>131698603</v>
      </c>
      <c r="L4253">
        <v>64353697</v>
      </c>
      <c r="M4253">
        <v>43551757</v>
      </c>
      <c r="P4253">
        <v>4722</v>
      </c>
      <c r="Q4253" t="s">
        <v>8850</v>
      </c>
    </row>
    <row r="4254" spans="1:17" x14ac:dyDescent="0.3">
      <c r="A4254" t="s">
        <v>4664</v>
      </c>
      <c r="B4254" t="str">
        <f>"300498"</f>
        <v>300498</v>
      </c>
      <c r="C4254" t="s">
        <v>8851</v>
      </c>
      <c r="D4254" t="s">
        <v>1894</v>
      </c>
      <c r="F4254">
        <v>-9701319911</v>
      </c>
      <c r="G4254">
        <v>8241484078</v>
      </c>
      <c r="H4254">
        <v>6085005458</v>
      </c>
      <c r="I4254">
        <v>2899873643</v>
      </c>
      <c r="J4254">
        <v>4038867820</v>
      </c>
      <c r="K4254">
        <v>10837096828</v>
      </c>
      <c r="L4254">
        <v>4788276426</v>
      </c>
      <c r="M4254">
        <v>1253201000</v>
      </c>
      <c r="P4254">
        <v>2457</v>
      </c>
      <c r="Q4254" t="s">
        <v>8852</v>
      </c>
    </row>
    <row r="4255" spans="1:17" x14ac:dyDescent="0.3">
      <c r="A4255" t="s">
        <v>4664</v>
      </c>
      <c r="B4255" t="str">
        <f>"300499"</f>
        <v>300499</v>
      </c>
      <c r="C4255" t="s">
        <v>8853</v>
      </c>
      <c r="D4255" t="s">
        <v>741</v>
      </c>
      <c r="F4255">
        <v>35759993</v>
      </c>
      <c r="G4255">
        <v>43885893</v>
      </c>
      <c r="H4255">
        <v>35736997</v>
      </c>
      <c r="I4255">
        <v>35082695</v>
      </c>
      <c r="J4255">
        <v>26744990</v>
      </c>
      <c r="K4255">
        <v>23049050</v>
      </c>
      <c r="L4255">
        <v>18872399</v>
      </c>
      <c r="M4255">
        <v>18209352</v>
      </c>
      <c r="P4255">
        <v>135</v>
      </c>
      <c r="Q4255" t="s">
        <v>8854</v>
      </c>
    </row>
    <row r="4256" spans="1:17" x14ac:dyDescent="0.3">
      <c r="A4256" t="s">
        <v>4664</v>
      </c>
      <c r="B4256" t="str">
        <f>"300500"</f>
        <v>300500</v>
      </c>
      <c r="C4256" t="s">
        <v>8855</v>
      </c>
      <c r="D4256" t="s">
        <v>1272</v>
      </c>
      <c r="F4256">
        <v>84682182</v>
      </c>
      <c r="G4256">
        <v>65826386</v>
      </c>
      <c r="H4256">
        <v>109226842</v>
      </c>
      <c r="I4256">
        <v>61021814</v>
      </c>
      <c r="J4256">
        <v>42582298</v>
      </c>
      <c r="K4256">
        <v>37675206</v>
      </c>
      <c r="L4256">
        <v>27201100</v>
      </c>
      <c r="M4256">
        <v>32658100</v>
      </c>
      <c r="P4256">
        <v>100</v>
      </c>
      <c r="Q4256" t="s">
        <v>8856</v>
      </c>
    </row>
    <row r="4257" spans="1:17" x14ac:dyDescent="0.3">
      <c r="A4257" t="s">
        <v>4664</v>
      </c>
      <c r="B4257" t="str">
        <f>"300501"</f>
        <v>300501</v>
      </c>
      <c r="C4257" t="s">
        <v>8857</v>
      </c>
      <c r="D4257" t="s">
        <v>2439</v>
      </c>
      <c r="F4257">
        <v>78982619</v>
      </c>
      <c r="G4257">
        <v>72508421</v>
      </c>
      <c r="H4257">
        <v>51978572</v>
      </c>
      <c r="I4257">
        <v>51808624</v>
      </c>
      <c r="J4257">
        <v>47282691</v>
      </c>
      <c r="K4257">
        <v>47629299</v>
      </c>
      <c r="L4257">
        <v>44161046</v>
      </c>
      <c r="P4257">
        <v>131</v>
      </c>
      <c r="Q4257" t="s">
        <v>8858</v>
      </c>
    </row>
    <row r="4258" spans="1:17" x14ac:dyDescent="0.3">
      <c r="A4258" t="s">
        <v>4664</v>
      </c>
      <c r="B4258" t="str">
        <f>"300502"</f>
        <v>300502</v>
      </c>
      <c r="C4258" t="s">
        <v>8859</v>
      </c>
      <c r="D4258" t="s">
        <v>1019</v>
      </c>
      <c r="F4258">
        <v>464867506</v>
      </c>
      <c r="G4258">
        <v>341847922</v>
      </c>
      <c r="H4258">
        <v>132981191</v>
      </c>
      <c r="I4258">
        <v>5415476</v>
      </c>
      <c r="J4258">
        <v>96621576</v>
      </c>
      <c r="K4258">
        <v>80496227</v>
      </c>
      <c r="L4258">
        <v>71385784</v>
      </c>
      <c r="P4258">
        <v>636</v>
      </c>
      <c r="Q4258" t="s">
        <v>8860</v>
      </c>
    </row>
    <row r="4259" spans="1:17" x14ac:dyDescent="0.3">
      <c r="A4259" t="s">
        <v>4664</v>
      </c>
      <c r="B4259" t="str">
        <f>"300503"</f>
        <v>300503</v>
      </c>
      <c r="C4259" t="s">
        <v>8861</v>
      </c>
      <c r="D4259" t="s">
        <v>560</v>
      </c>
      <c r="F4259">
        <v>167997701</v>
      </c>
      <c r="G4259">
        <v>90044948</v>
      </c>
      <c r="H4259">
        <v>13402196</v>
      </c>
      <c r="I4259">
        <v>45610782</v>
      </c>
      <c r="J4259">
        <v>54916298</v>
      </c>
      <c r="K4259">
        <v>53826243</v>
      </c>
      <c r="L4259">
        <v>27160386</v>
      </c>
      <c r="P4259">
        <v>136</v>
      </c>
      <c r="Q4259" t="s">
        <v>8862</v>
      </c>
    </row>
    <row r="4260" spans="1:17" x14ac:dyDescent="0.3">
      <c r="A4260" t="s">
        <v>4664</v>
      </c>
      <c r="B4260" t="str">
        <f>"300504"</f>
        <v>300504</v>
      </c>
      <c r="C4260" t="s">
        <v>8863</v>
      </c>
      <c r="D4260" t="s">
        <v>786</v>
      </c>
      <c r="F4260">
        <v>146358188</v>
      </c>
      <c r="G4260">
        <v>102001869</v>
      </c>
      <c r="H4260">
        <v>119073571</v>
      </c>
      <c r="I4260">
        <v>131079082</v>
      </c>
      <c r="J4260">
        <v>180765895</v>
      </c>
      <c r="P4260">
        <v>176</v>
      </c>
      <c r="Q4260" t="s">
        <v>8864</v>
      </c>
    </row>
    <row r="4261" spans="1:17" x14ac:dyDescent="0.3">
      <c r="A4261" t="s">
        <v>4664</v>
      </c>
      <c r="B4261" t="str">
        <f>"300505"</f>
        <v>300505</v>
      </c>
      <c r="C4261" t="s">
        <v>8865</v>
      </c>
      <c r="D4261" t="s">
        <v>183</v>
      </c>
      <c r="F4261">
        <v>100022658</v>
      </c>
      <c r="G4261">
        <v>50142725</v>
      </c>
      <c r="H4261">
        <v>54760076</v>
      </c>
      <c r="I4261">
        <v>41666277</v>
      </c>
      <c r="J4261">
        <v>38917988</v>
      </c>
      <c r="K4261">
        <v>43803909</v>
      </c>
      <c r="L4261">
        <v>18513866</v>
      </c>
      <c r="P4261">
        <v>97</v>
      </c>
      <c r="Q4261" t="s">
        <v>8866</v>
      </c>
    </row>
    <row r="4262" spans="1:17" x14ac:dyDescent="0.3">
      <c r="A4262" t="s">
        <v>4664</v>
      </c>
      <c r="B4262" t="str">
        <f>"300506"</f>
        <v>300506</v>
      </c>
      <c r="C4262" t="s">
        <v>8867</v>
      </c>
      <c r="D4262" t="s">
        <v>450</v>
      </c>
      <c r="F4262">
        <v>-84895955</v>
      </c>
      <c r="G4262">
        <v>-66452328</v>
      </c>
      <c r="H4262">
        <v>261091265</v>
      </c>
      <c r="I4262">
        <v>253228067</v>
      </c>
      <c r="J4262">
        <v>117517493</v>
      </c>
      <c r="K4262">
        <v>49062558</v>
      </c>
      <c r="L4262">
        <v>31616375</v>
      </c>
      <c r="P4262">
        <v>294</v>
      </c>
      <c r="Q4262" t="s">
        <v>8868</v>
      </c>
    </row>
    <row r="4263" spans="1:17" x14ac:dyDescent="0.3">
      <c r="A4263" t="s">
        <v>4664</v>
      </c>
      <c r="B4263" t="str">
        <f>"300507"</f>
        <v>300507</v>
      </c>
      <c r="C4263" t="s">
        <v>8869</v>
      </c>
      <c r="D4263" t="s">
        <v>348</v>
      </c>
      <c r="F4263">
        <v>70387212</v>
      </c>
      <c r="G4263">
        <v>68994682</v>
      </c>
      <c r="H4263">
        <v>38601076</v>
      </c>
      <c r="I4263">
        <v>73217259</v>
      </c>
      <c r="J4263">
        <v>73203886</v>
      </c>
      <c r="K4263">
        <v>67220745</v>
      </c>
      <c r="L4263">
        <v>59061148</v>
      </c>
      <c r="P4263">
        <v>137</v>
      </c>
      <c r="Q4263" t="s">
        <v>8870</v>
      </c>
    </row>
    <row r="4264" spans="1:17" x14ac:dyDescent="0.3">
      <c r="A4264" t="s">
        <v>4664</v>
      </c>
      <c r="B4264" t="str">
        <f>"300508"</f>
        <v>300508</v>
      </c>
      <c r="C4264" t="s">
        <v>8871</v>
      </c>
      <c r="D4264" t="s">
        <v>236</v>
      </c>
      <c r="F4264">
        <v>57376726</v>
      </c>
      <c r="G4264">
        <v>11573992</v>
      </c>
      <c r="H4264">
        <v>28533920</v>
      </c>
      <c r="I4264">
        <v>3391556</v>
      </c>
      <c r="J4264">
        <v>69160977</v>
      </c>
      <c r="K4264">
        <v>35301542</v>
      </c>
      <c r="L4264">
        <v>41610972</v>
      </c>
      <c r="P4264">
        <v>130</v>
      </c>
      <c r="Q4264" t="s">
        <v>8872</v>
      </c>
    </row>
    <row r="4265" spans="1:17" x14ac:dyDescent="0.3">
      <c r="A4265" t="s">
        <v>4664</v>
      </c>
      <c r="B4265" t="str">
        <f>"300509"</f>
        <v>300509</v>
      </c>
      <c r="C4265" t="s">
        <v>8873</v>
      </c>
      <c r="D4265" t="s">
        <v>3388</v>
      </c>
      <c r="F4265">
        <v>39285947</v>
      </c>
      <c r="G4265">
        <v>32160615</v>
      </c>
      <c r="H4265">
        <v>38073523</v>
      </c>
      <c r="I4265">
        <v>36534855</v>
      </c>
      <c r="J4265">
        <v>34897711</v>
      </c>
      <c r="K4265">
        <v>38139239</v>
      </c>
      <c r="L4265">
        <v>37809671</v>
      </c>
      <c r="P4265">
        <v>64</v>
      </c>
      <c r="Q4265" t="s">
        <v>8874</v>
      </c>
    </row>
    <row r="4266" spans="1:17" x14ac:dyDescent="0.3">
      <c r="A4266" t="s">
        <v>4664</v>
      </c>
      <c r="B4266" t="str">
        <f>"300510"</f>
        <v>300510</v>
      </c>
      <c r="C4266" t="s">
        <v>8875</v>
      </c>
      <c r="D4266" t="s">
        <v>610</v>
      </c>
      <c r="F4266">
        <v>11236222</v>
      </c>
      <c r="G4266">
        <v>-67199221</v>
      </c>
      <c r="H4266">
        <v>25284583</v>
      </c>
      <c r="I4266">
        <v>115284550</v>
      </c>
      <c r="J4266">
        <v>71926743</v>
      </c>
      <c r="K4266">
        <v>31351704</v>
      </c>
      <c r="L4266">
        <v>25420932</v>
      </c>
      <c r="P4266">
        <v>115</v>
      </c>
      <c r="Q4266" t="s">
        <v>8876</v>
      </c>
    </row>
    <row r="4267" spans="1:17" x14ac:dyDescent="0.3">
      <c r="A4267" t="s">
        <v>4664</v>
      </c>
      <c r="B4267" t="str">
        <f>"300511"</f>
        <v>300511</v>
      </c>
      <c r="C4267" t="s">
        <v>8877</v>
      </c>
      <c r="D4267" t="s">
        <v>7244</v>
      </c>
      <c r="F4267">
        <v>-115389733</v>
      </c>
      <c r="G4267">
        <v>216632647</v>
      </c>
      <c r="H4267">
        <v>109951432</v>
      </c>
      <c r="I4267">
        <v>133746812</v>
      </c>
      <c r="J4267">
        <v>82387078</v>
      </c>
      <c r="K4267">
        <v>30908875</v>
      </c>
      <c r="L4267">
        <v>12208702</v>
      </c>
      <c r="P4267">
        <v>301</v>
      </c>
      <c r="Q4267" t="s">
        <v>8878</v>
      </c>
    </row>
    <row r="4268" spans="1:17" x14ac:dyDescent="0.3">
      <c r="A4268" t="s">
        <v>4664</v>
      </c>
      <c r="B4268" t="str">
        <f>"300512"</f>
        <v>300512</v>
      </c>
      <c r="C4268" t="s">
        <v>8879</v>
      </c>
      <c r="D4268" t="s">
        <v>3388</v>
      </c>
      <c r="F4268">
        <v>126715418</v>
      </c>
      <c r="G4268">
        <v>44174220</v>
      </c>
      <c r="H4268">
        <v>101267438</v>
      </c>
      <c r="I4268">
        <v>148928362</v>
      </c>
      <c r="J4268">
        <v>139853029</v>
      </c>
      <c r="K4268">
        <v>119681185</v>
      </c>
      <c r="L4268">
        <v>101855993</v>
      </c>
      <c r="P4268">
        <v>161</v>
      </c>
      <c r="Q4268" t="s">
        <v>8880</v>
      </c>
    </row>
    <row r="4269" spans="1:17" x14ac:dyDescent="0.3">
      <c r="A4269" t="s">
        <v>4664</v>
      </c>
      <c r="B4269" t="str">
        <f>"300513"</f>
        <v>300513</v>
      </c>
      <c r="C4269" t="s">
        <v>8881</v>
      </c>
      <c r="D4269" t="s">
        <v>654</v>
      </c>
      <c r="F4269">
        <v>56735302</v>
      </c>
      <c r="G4269">
        <v>52563872</v>
      </c>
      <c r="H4269">
        <v>83031699</v>
      </c>
      <c r="I4269">
        <v>73984477</v>
      </c>
      <c r="J4269">
        <v>5701320</v>
      </c>
      <c r="K4269">
        <v>3737976</v>
      </c>
      <c r="L4269">
        <v>1236792</v>
      </c>
      <c r="P4269">
        <v>160</v>
      </c>
      <c r="Q4269" t="s">
        <v>8882</v>
      </c>
    </row>
    <row r="4270" spans="1:17" x14ac:dyDescent="0.3">
      <c r="A4270" t="s">
        <v>4664</v>
      </c>
      <c r="B4270" t="str">
        <f>"300514"</f>
        <v>300514</v>
      </c>
      <c r="C4270" t="s">
        <v>8883</v>
      </c>
      <c r="D4270" t="s">
        <v>2171</v>
      </c>
      <c r="F4270">
        <v>31096154</v>
      </c>
      <c r="G4270">
        <v>9552825</v>
      </c>
      <c r="H4270">
        <v>20799638</v>
      </c>
      <c r="I4270">
        <v>23898731</v>
      </c>
      <c r="J4270">
        <v>47278086</v>
      </c>
      <c r="K4270">
        <v>25206272</v>
      </c>
      <c r="P4270">
        <v>148</v>
      </c>
      <c r="Q4270" t="s">
        <v>8884</v>
      </c>
    </row>
    <row r="4271" spans="1:17" x14ac:dyDescent="0.3">
      <c r="A4271" t="s">
        <v>4664</v>
      </c>
      <c r="B4271" t="str">
        <f>"300515"</f>
        <v>300515</v>
      </c>
      <c r="C4271" t="s">
        <v>8885</v>
      </c>
      <c r="D4271" t="s">
        <v>2551</v>
      </c>
      <c r="F4271">
        <v>61201046</v>
      </c>
      <c r="G4271">
        <v>47856087</v>
      </c>
      <c r="H4271">
        <v>35619104</v>
      </c>
      <c r="I4271">
        <v>30147602</v>
      </c>
      <c r="J4271">
        <v>20522012</v>
      </c>
      <c r="K4271">
        <v>22901879</v>
      </c>
      <c r="L4271">
        <v>23704626</v>
      </c>
      <c r="P4271">
        <v>80</v>
      </c>
      <c r="Q4271" t="s">
        <v>8886</v>
      </c>
    </row>
    <row r="4272" spans="1:17" x14ac:dyDescent="0.3">
      <c r="A4272" t="s">
        <v>4664</v>
      </c>
      <c r="B4272" t="str">
        <f>"300516"</f>
        <v>300516</v>
      </c>
      <c r="C4272" t="s">
        <v>8887</v>
      </c>
      <c r="D4272" t="s">
        <v>651</v>
      </c>
      <c r="F4272">
        <v>46902056</v>
      </c>
      <c r="G4272">
        <v>23866467</v>
      </c>
      <c r="H4272">
        <v>30989269</v>
      </c>
      <c r="I4272">
        <v>22923700</v>
      </c>
      <c r="J4272">
        <v>27808456</v>
      </c>
      <c r="K4272">
        <v>52137586</v>
      </c>
      <c r="L4272">
        <v>57208679</v>
      </c>
      <c r="P4272">
        <v>118</v>
      </c>
      <c r="Q4272" t="s">
        <v>8888</v>
      </c>
    </row>
    <row r="4273" spans="1:17" x14ac:dyDescent="0.3">
      <c r="A4273" t="s">
        <v>4664</v>
      </c>
      <c r="B4273" t="str">
        <f>"300517"</f>
        <v>300517</v>
      </c>
      <c r="C4273" t="s">
        <v>8889</v>
      </c>
      <c r="D4273" t="s">
        <v>978</v>
      </c>
      <c r="F4273">
        <v>72229920</v>
      </c>
      <c r="G4273">
        <v>34204226</v>
      </c>
      <c r="H4273">
        <v>35253852</v>
      </c>
      <c r="I4273">
        <v>22168641</v>
      </c>
      <c r="J4273">
        <v>21475152</v>
      </c>
      <c r="K4273">
        <v>27417213</v>
      </c>
      <c r="L4273">
        <v>26777047</v>
      </c>
      <c r="P4273">
        <v>76</v>
      </c>
      <c r="Q4273" t="s">
        <v>8890</v>
      </c>
    </row>
    <row r="4274" spans="1:17" x14ac:dyDescent="0.3">
      <c r="A4274" t="s">
        <v>4664</v>
      </c>
      <c r="B4274" t="str">
        <f>"300518"</f>
        <v>300518</v>
      </c>
      <c r="C4274" t="s">
        <v>8891</v>
      </c>
      <c r="D4274" t="s">
        <v>517</v>
      </c>
      <c r="F4274">
        <v>192289112</v>
      </c>
      <c r="G4274">
        <v>65520765</v>
      </c>
      <c r="H4274">
        <v>15637324</v>
      </c>
      <c r="I4274">
        <v>3016110</v>
      </c>
      <c r="J4274">
        <v>51400646</v>
      </c>
      <c r="K4274">
        <v>69790121</v>
      </c>
      <c r="L4274">
        <v>63051019</v>
      </c>
      <c r="P4274">
        <v>91</v>
      </c>
      <c r="Q4274" t="s">
        <v>8892</v>
      </c>
    </row>
    <row r="4275" spans="1:17" x14ac:dyDescent="0.3">
      <c r="A4275" t="s">
        <v>4664</v>
      </c>
      <c r="B4275" t="str">
        <f>"300519"</f>
        <v>300519</v>
      </c>
      <c r="C4275" t="s">
        <v>8893</v>
      </c>
      <c r="D4275" t="s">
        <v>188</v>
      </c>
      <c r="F4275">
        <v>87978148</v>
      </c>
      <c r="G4275">
        <v>75224413</v>
      </c>
      <c r="H4275">
        <v>69251238</v>
      </c>
      <c r="I4275">
        <v>66236515</v>
      </c>
      <c r="J4275">
        <v>75110700</v>
      </c>
      <c r="K4275">
        <v>84522790</v>
      </c>
      <c r="L4275">
        <v>85868697</v>
      </c>
      <c r="P4275">
        <v>251</v>
      </c>
      <c r="Q4275" t="s">
        <v>8894</v>
      </c>
    </row>
    <row r="4276" spans="1:17" x14ac:dyDescent="0.3">
      <c r="A4276" t="s">
        <v>4664</v>
      </c>
      <c r="B4276" t="str">
        <f>"300520"</f>
        <v>300520</v>
      </c>
      <c r="C4276" t="s">
        <v>8895</v>
      </c>
      <c r="D4276" t="s">
        <v>945</v>
      </c>
      <c r="F4276">
        <v>50676904</v>
      </c>
      <c r="G4276">
        <v>52152702</v>
      </c>
      <c r="H4276">
        <v>50461576</v>
      </c>
      <c r="I4276">
        <v>19879657</v>
      </c>
      <c r="J4276">
        <v>-9154052</v>
      </c>
      <c r="K4276">
        <v>19048485</v>
      </c>
      <c r="L4276">
        <v>16340592</v>
      </c>
      <c r="P4276">
        <v>255</v>
      </c>
      <c r="Q4276" t="s">
        <v>8896</v>
      </c>
    </row>
    <row r="4277" spans="1:17" x14ac:dyDescent="0.3">
      <c r="A4277" t="s">
        <v>4664</v>
      </c>
      <c r="B4277" t="str">
        <f>"300521"</f>
        <v>300521</v>
      </c>
      <c r="C4277" t="s">
        <v>8897</v>
      </c>
      <c r="D4277" t="s">
        <v>3388</v>
      </c>
      <c r="F4277">
        <v>-699787</v>
      </c>
      <c r="G4277">
        <v>-9816266</v>
      </c>
      <c r="H4277">
        <v>9791279</v>
      </c>
      <c r="I4277">
        <v>18252537</v>
      </c>
      <c r="J4277">
        <v>29012388</v>
      </c>
      <c r="K4277">
        <v>32378481</v>
      </c>
      <c r="L4277">
        <v>28273916</v>
      </c>
      <c r="P4277">
        <v>57</v>
      </c>
      <c r="Q4277" t="s">
        <v>8898</v>
      </c>
    </row>
    <row r="4278" spans="1:17" x14ac:dyDescent="0.3">
      <c r="A4278" t="s">
        <v>4664</v>
      </c>
      <c r="B4278" t="str">
        <f>"300522"</f>
        <v>300522</v>
      </c>
      <c r="C4278" t="s">
        <v>8899</v>
      </c>
      <c r="D4278" t="s">
        <v>2570</v>
      </c>
      <c r="F4278">
        <v>97566433</v>
      </c>
      <c r="G4278">
        <v>72756627</v>
      </c>
      <c r="H4278">
        <v>65577412</v>
      </c>
      <c r="I4278">
        <v>59661838</v>
      </c>
      <c r="J4278">
        <v>47676057</v>
      </c>
      <c r="K4278">
        <v>52655079</v>
      </c>
      <c r="L4278">
        <v>40991126</v>
      </c>
      <c r="P4278">
        <v>99</v>
      </c>
      <c r="Q4278" t="s">
        <v>8900</v>
      </c>
    </row>
    <row r="4279" spans="1:17" x14ac:dyDescent="0.3">
      <c r="A4279" t="s">
        <v>4664</v>
      </c>
      <c r="B4279" t="str">
        <f>"300523"</f>
        <v>300523</v>
      </c>
      <c r="C4279" t="s">
        <v>8901</v>
      </c>
      <c r="D4279" t="s">
        <v>316</v>
      </c>
      <c r="F4279">
        <v>-174998961</v>
      </c>
      <c r="G4279">
        <v>3208120</v>
      </c>
      <c r="H4279">
        <v>19935293</v>
      </c>
      <c r="I4279">
        <v>80902389</v>
      </c>
      <c r="J4279">
        <v>1611045</v>
      </c>
      <c r="K4279">
        <v>5036122</v>
      </c>
      <c r="L4279">
        <v>-5626088</v>
      </c>
      <c r="P4279">
        <v>135</v>
      </c>
      <c r="Q4279" t="s">
        <v>8902</v>
      </c>
    </row>
    <row r="4280" spans="1:17" x14ac:dyDescent="0.3">
      <c r="A4280" t="s">
        <v>4664</v>
      </c>
      <c r="B4280" t="str">
        <f>"300525"</f>
        <v>300525</v>
      </c>
      <c r="C4280" t="s">
        <v>8903</v>
      </c>
      <c r="D4280" t="s">
        <v>945</v>
      </c>
      <c r="F4280">
        <v>2819434</v>
      </c>
      <c r="G4280">
        <v>3853617</v>
      </c>
      <c r="H4280">
        <v>4183777</v>
      </c>
      <c r="I4280">
        <v>2401068</v>
      </c>
      <c r="J4280">
        <v>12511226</v>
      </c>
      <c r="K4280">
        <v>12312644</v>
      </c>
      <c r="L4280">
        <v>13662327</v>
      </c>
      <c r="P4280">
        <v>241</v>
      </c>
      <c r="Q4280" t="s">
        <v>8904</v>
      </c>
    </row>
    <row r="4281" spans="1:17" x14ac:dyDescent="0.3">
      <c r="A4281" t="s">
        <v>4664</v>
      </c>
      <c r="B4281" t="str">
        <f>"300526"</f>
        <v>300526</v>
      </c>
      <c r="C4281" t="s">
        <v>8905</v>
      </c>
      <c r="D4281" t="s">
        <v>330</v>
      </c>
      <c r="F4281">
        <v>-52937524</v>
      </c>
      <c r="G4281">
        <v>-86276650</v>
      </c>
      <c r="H4281">
        <v>20624334</v>
      </c>
      <c r="I4281">
        <v>20582252</v>
      </c>
      <c r="J4281">
        <v>33203027</v>
      </c>
      <c r="K4281">
        <v>23127614</v>
      </c>
      <c r="L4281">
        <v>22082838</v>
      </c>
      <c r="P4281">
        <v>104</v>
      </c>
      <c r="Q4281" t="s">
        <v>8906</v>
      </c>
    </row>
    <row r="4282" spans="1:17" x14ac:dyDescent="0.3">
      <c r="A4282" t="s">
        <v>4664</v>
      </c>
      <c r="B4282" t="str">
        <f>"300527"</f>
        <v>300527</v>
      </c>
      <c r="C4282" t="s">
        <v>8907</v>
      </c>
      <c r="D4282" t="s">
        <v>428</v>
      </c>
      <c r="F4282">
        <v>8399615</v>
      </c>
      <c r="G4282">
        <v>-3898232</v>
      </c>
      <c r="H4282">
        <v>105276637</v>
      </c>
      <c r="I4282">
        <v>131433358</v>
      </c>
      <c r="J4282">
        <v>129253604</v>
      </c>
      <c r="K4282">
        <v>82249669</v>
      </c>
      <c r="L4282">
        <v>27618598</v>
      </c>
      <c r="P4282">
        <v>144</v>
      </c>
      <c r="Q4282" t="s">
        <v>8908</v>
      </c>
    </row>
    <row r="4283" spans="1:17" x14ac:dyDescent="0.3">
      <c r="A4283" t="s">
        <v>4664</v>
      </c>
      <c r="B4283" t="str">
        <f>"300528"</f>
        <v>300528</v>
      </c>
      <c r="C4283" t="s">
        <v>8909</v>
      </c>
      <c r="D4283" t="s">
        <v>2558</v>
      </c>
      <c r="F4283">
        <v>-112798150</v>
      </c>
      <c r="G4283">
        <v>-274749487</v>
      </c>
      <c r="H4283">
        <v>-35513059</v>
      </c>
      <c r="I4283">
        <v>103770412</v>
      </c>
      <c r="J4283">
        <v>68891982</v>
      </c>
      <c r="K4283">
        <v>73155042</v>
      </c>
      <c r="L4283">
        <v>62805276</v>
      </c>
      <c r="P4283">
        <v>81</v>
      </c>
      <c r="Q4283" t="s">
        <v>8910</v>
      </c>
    </row>
    <row r="4284" spans="1:17" x14ac:dyDescent="0.3">
      <c r="A4284" t="s">
        <v>4664</v>
      </c>
      <c r="B4284" t="str">
        <f>"300529"</f>
        <v>300529</v>
      </c>
      <c r="C4284" t="s">
        <v>8911</v>
      </c>
      <c r="D4284" t="s">
        <v>1077</v>
      </c>
      <c r="F4284">
        <v>863085579</v>
      </c>
      <c r="G4284">
        <v>627410475</v>
      </c>
      <c r="H4284">
        <v>417913065</v>
      </c>
      <c r="I4284">
        <v>305899975</v>
      </c>
      <c r="J4284">
        <v>203455543</v>
      </c>
      <c r="K4284">
        <v>139235847</v>
      </c>
      <c r="L4284">
        <v>135347347</v>
      </c>
      <c r="P4284">
        <v>5944</v>
      </c>
      <c r="Q4284" t="s">
        <v>8912</v>
      </c>
    </row>
    <row r="4285" spans="1:17" x14ac:dyDescent="0.3">
      <c r="A4285" t="s">
        <v>4664</v>
      </c>
      <c r="B4285" t="str">
        <f>"300530"</f>
        <v>300530</v>
      </c>
      <c r="C4285" t="s">
        <v>8913</v>
      </c>
      <c r="D4285" t="s">
        <v>386</v>
      </c>
      <c r="F4285">
        <v>-109974447</v>
      </c>
      <c r="G4285">
        <v>-6890567</v>
      </c>
      <c r="H4285">
        <v>24382473</v>
      </c>
      <c r="I4285">
        <v>43721717</v>
      </c>
      <c r="J4285">
        <v>43837346</v>
      </c>
      <c r="K4285">
        <v>33664998</v>
      </c>
      <c r="L4285">
        <v>31170602</v>
      </c>
      <c r="P4285">
        <v>64</v>
      </c>
      <c r="Q4285" t="s">
        <v>8914</v>
      </c>
    </row>
    <row r="4286" spans="1:17" x14ac:dyDescent="0.3">
      <c r="A4286" t="s">
        <v>4664</v>
      </c>
      <c r="B4286" t="str">
        <f>"300531"</f>
        <v>300531</v>
      </c>
      <c r="C4286" t="s">
        <v>8915</v>
      </c>
      <c r="D4286" t="s">
        <v>236</v>
      </c>
      <c r="F4286">
        <v>137401863</v>
      </c>
      <c r="G4286">
        <v>123897091</v>
      </c>
      <c r="H4286">
        <v>75981699</v>
      </c>
      <c r="I4286">
        <v>98918635</v>
      </c>
      <c r="J4286">
        <v>40685080</v>
      </c>
      <c r="K4286">
        <v>37316035</v>
      </c>
      <c r="L4286">
        <v>32949543</v>
      </c>
      <c r="P4286">
        <v>173</v>
      </c>
      <c r="Q4286" t="s">
        <v>8916</v>
      </c>
    </row>
    <row r="4287" spans="1:17" x14ac:dyDescent="0.3">
      <c r="A4287" t="s">
        <v>4664</v>
      </c>
      <c r="B4287" t="str">
        <f>"300532"</f>
        <v>300532</v>
      </c>
      <c r="C4287" t="s">
        <v>8917</v>
      </c>
      <c r="D4287" t="s">
        <v>316</v>
      </c>
      <c r="F4287">
        <v>56999867</v>
      </c>
      <c r="G4287">
        <v>44479911</v>
      </c>
      <c r="H4287">
        <v>26332725</v>
      </c>
      <c r="I4287">
        <v>21533108</v>
      </c>
      <c r="J4287">
        <v>62756260</v>
      </c>
      <c r="K4287">
        <v>37128164</v>
      </c>
      <c r="L4287">
        <v>13673688</v>
      </c>
      <c r="P4287">
        <v>220</v>
      </c>
      <c r="Q4287" t="s">
        <v>8918</v>
      </c>
    </row>
    <row r="4288" spans="1:17" x14ac:dyDescent="0.3">
      <c r="A4288" t="s">
        <v>4664</v>
      </c>
      <c r="B4288" t="str">
        <f>"300533"</f>
        <v>300533</v>
      </c>
      <c r="C4288" t="s">
        <v>8919</v>
      </c>
      <c r="D4288" t="s">
        <v>517</v>
      </c>
      <c r="F4288">
        <v>6751905</v>
      </c>
      <c r="G4288">
        <v>117299560</v>
      </c>
      <c r="H4288">
        <v>106222920</v>
      </c>
      <c r="I4288">
        <v>69229707</v>
      </c>
      <c r="J4288">
        <v>66844979</v>
      </c>
      <c r="K4288">
        <v>115330220</v>
      </c>
      <c r="L4288">
        <v>138626292</v>
      </c>
      <c r="P4288">
        <v>131</v>
      </c>
      <c r="Q4288" t="s">
        <v>8920</v>
      </c>
    </row>
    <row r="4289" spans="1:17" x14ac:dyDescent="0.3">
      <c r="A4289" t="s">
        <v>4664</v>
      </c>
      <c r="B4289" t="str">
        <f>"300534"</f>
        <v>300534</v>
      </c>
      <c r="C4289" t="s">
        <v>8921</v>
      </c>
      <c r="D4289" t="s">
        <v>188</v>
      </c>
      <c r="F4289">
        <v>-8186792</v>
      </c>
      <c r="G4289">
        <v>-12759857</v>
      </c>
      <c r="H4289">
        <v>5443860</v>
      </c>
      <c r="I4289">
        <v>10638258</v>
      </c>
      <c r="J4289">
        <v>12893449</v>
      </c>
      <c r="K4289">
        <v>37565538</v>
      </c>
      <c r="L4289">
        <v>43441000</v>
      </c>
      <c r="P4289">
        <v>109</v>
      </c>
      <c r="Q4289" t="s">
        <v>8922</v>
      </c>
    </row>
    <row r="4290" spans="1:17" x14ac:dyDescent="0.3">
      <c r="A4290" t="s">
        <v>4664</v>
      </c>
      <c r="B4290" t="str">
        <f>"300535"</f>
        <v>300535</v>
      </c>
      <c r="C4290" t="s">
        <v>8923</v>
      </c>
      <c r="D4290" t="s">
        <v>386</v>
      </c>
      <c r="F4290">
        <v>58441767</v>
      </c>
      <c r="G4290">
        <v>35019436</v>
      </c>
      <c r="H4290">
        <v>29085712</v>
      </c>
      <c r="I4290">
        <v>35434392</v>
      </c>
      <c r="J4290">
        <v>41948889</v>
      </c>
      <c r="K4290">
        <v>38880051</v>
      </c>
      <c r="L4290">
        <v>30421639</v>
      </c>
      <c r="P4290">
        <v>73</v>
      </c>
      <c r="Q4290" t="s">
        <v>8924</v>
      </c>
    </row>
    <row r="4291" spans="1:17" x14ac:dyDescent="0.3">
      <c r="A4291" t="s">
        <v>4664</v>
      </c>
      <c r="B4291" t="str">
        <f>"300536"</f>
        <v>300536</v>
      </c>
      <c r="C4291" t="s">
        <v>8925</v>
      </c>
      <c r="D4291" t="s">
        <v>2408</v>
      </c>
      <c r="F4291">
        <v>2427191</v>
      </c>
      <c r="G4291">
        <v>2419001</v>
      </c>
      <c r="H4291">
        <v>44531056</v>
      </c>
      <c r="I4291">
        <v>42357131</v>
      </c>
      <c r="J4291">
        <v>40845929</v>
      </c>
      <c r="K4291">
        <v>38066271</v>
      </c>
      <c r="L4291">
        <v>35539208</v>
      </c>
      <c r="P4291">
        <v>63</v>
      </c>
      <c r="Q4291" t="s">
        <v>8926</v>
      </c>
    </row>
    <row r="4292" spans="1:17" x14ac:dyDescent="0.3">
      <c r="A4292" t="s">
        <v>4664</v>
      </c>
      <c r="B4292" t="str">
        <f>"300537"</f>
        <v>300537</v>
      </c>
      <c r="C4292" t="s">
        <v>8927</v>
      </c>
      <c r="D4292" t="s">
        <v>2399</v>
      </c>
      <c r="F4292">
        <v>-12975353</v>
      </c>
      <c r="G4292">
        <v>12243507</v>
      </c>
      <c r="H4292">
        <v>73263302</v>
      </c>
      <c r="I4292">
        <v>36954057</v>
      </c>
      <c r="J4292">
        <v>47247692</v>
      </c>
      <c r="K4292">
        <v>30414586</v>
      </c>
      <c r="L4292">
        <v>28229724</v>
      </c>
      <c r="P4292">
        <v>225</v>
      </c>
      <c r="Q4292" t="s">
        <v>8928</v>
      </c>
    </row>
    <row r="4293" spans="1:17" x14ac:dyDescent="0.3">
      <c r="A4293" t="s">
        <v>4664</v>
      </c>
      <c r="B4293" t="str">
        <f>"300538"</f>
        <v>300538</v>
      </c>
      <c r="C4293" t="s">
        <v>8929</v>
      </c>
      <c r="D4293" t="s">
        <v>341</v>
      </c>
      <c r="F4293">
        <v>31681121</v>
      </c>
      <c r="G4293">
        <v>20729760</v>
      </c>
      <c r="H4293">
        <v>28468340</v>
      </c>
      <c r="I4293">
        <v>25977797</v>
      </c>
      <c r="J4293">
        <v>10849379</v>
      </c>
      <c r="K4293">
        <v>27609427</v>
      </c>
      <c r="L4293">
        <v>31140880</v>
      </c>
      <c r="P4293">
        <v>186</v>
      </c>
      <c r="Q4293" t="s">
        <v>8930</v>
      </c>
    </row>
    <row r="4294" spans="1:17" x14ac:dyDescent="0.3">
      <c r="A4294" t="s">
        <v>4664</v>
      </c>
      <c r="B4294" t="str">
        <f>"300539"</f>
        <v>300539</v>
      </c>
      <c r="C4294" t="s">
        <v>8931</v>
      </c>
      <c r="D4294" t="s">
        <v>1192</v>
      </c>
      <c r="F4294">
        <v>14835676</v>
      </c>
      <c r="G4294">
        <v>8164200</v>
      </c>
      <c r="H4294">
        <v>6759693</v>
      </c>
      <c r="I4294">
        <v>12448989</v>
      </c>
      <c r="J4294">
        <v>26832305</v>
      </c>
      <c r="K4294">
        <v>23117146</v>
      </c>
      <c r="L4294">
        <v>19511042</v>
      </c>
      <c r="P4294">
        <v>84</v>
      </c>
      <c r="Q4294" t="s">
        <v>8932</v>
      </c>
    </row>
    <row r="4295" spans="1:17" x14ac:dyDescent="0.3">
      <c r="A4295" t="s">
        <v>4664</v>
      </c>
      <c r="B4295" t="str">
        <f>"300540"</f>
        <v>300540</v>
      </c>
      <c r="C4295" t="s">
        <v>8933</v>
      </c>
      <c r="D4295" t="s">
        <v>741</v>
      </c>
      <c r="F4295">
        <v>7270929</v>
      </c>
      <c r="G4295">
        <v>6855559</v>
      </c>
      <c r="H4295">
        <v>10291677</v>
      </c>
      <c r="I4295">
        <v>6234340</v>
      </c>
      <c r="J4295">
        <v>10372042</v>
      </c>
      <c r="K4295">
        <v>35409308</v>
      </c>
      <c r="L4295">
        <v>35877086</v>
      </c>
      <c r="P4295">
        <v>65</v>
      </c>
      <c r="Q4295" t="s">
        <v>8934</v>
      </c>
    </row>
    <row r="4296" spans="1:17" x14ac:dyDescent="0.3">
      <c r="A4296" t="s">
        <v>4664</v>
      </c>
      <c r="B4296" t="str">
        <f>"300541"</f>
        <v>300541</v>
      </c>
      <c r="C4296" t="s">
        <v>8935</v>
      </c>
      <c r="D4296" t="s">
        <v>316</v>
      </c>
      <c r="F4296">
        <v>83499813</v>
      </c>
      <c r="G4296">
        <v>84950906</v>
      </c>
      <c r="H4296">
        <v>39741903</v>
      </c>
      <c r="I4296">
        <v>22753853</v>
      </c>
      <c r="J4296">
        <v>19086871</v>
      </c>
      <c r="K4296">
        <v>23786537</v>
      </c>
      <c r="L4296">
        <v>22296659</v>
      </c>
      <c r="P4296">
        <v>177</v>
      </c>
      <c r="Q4296" t="s">
        <v>8936</v>
      </c>
    </row>
    <row r="4297" spans="1:17" x14ac:dyDescent="0.3">
      <c r="A4297" t="s">
        <v>4664</v>
      </c>
      <c r="B4297" t="str">
        <f>"300542"</f>
        <v>300542</v>
      </c>
      <c r="C4297" t="s">
        <v>8937</v>
      </c>
      <c r="D4297" t="s">
        <v>945</v>
      </c>
      <c r="F4297">
        <v>7880422</v>
      </c>
      <c r="G4297">
        <v>11126273</v>
      </c>
      <c r="H4297">
        <v>10259725</v>
      </c>
      <c r="I4297">
        <v>10625349</v>
      </c>
      <c r="J4297">
        <v>10540176</v>
      </c>
      <c r="K4297">
        <v>9682969</v>
      </c>
      <c r="L4297">
        <v>7273313</v>
      </c>
      <c r="P4297">
        <v>143</v>
      </c>
      <c r="Q4297" t="s">
        <v>8938</v>
      </c>
    </row>
    <row r="4298" spans="1:17" x14ac:dyDescent="0.3">
      <c r="A4298" t="s">
        <v>4664</v>
      </c>
      <c r="B4298" t="str">
        <f>"300543"</f>
        <v>300543</v>
      </c>
      <c r="C4298" t="s">
        <v>8939</v>
      </c>
      <c r="D4298" t="s">
        <v>313</v>
      </c>
      <c r="F4298">
        <v>111292858</v>
      </c>
      <c r="G4298">
        <v>86956231</v>
      </c>
      <c r="H4298">
        <v>75775655</v>
      </c>
      <c r="I4298">
        <v>32150625</v>
      </c>
      <c r="J4298">
        <v>64485834</v>
      </c>
      <c r="K4298">
        <v>61328600</v>
      </c>
      <c r="L4298">
        <v>52695449</v>
      </c>
      <c r="P4298">
        <v>152</v>
      </c>
      <c r="Q4298" t="s">
        <v>8940</v>
      </c>
    </row>
    <row r="4299" spans="1:17" x14ac:dyDescent="0.3">
      <c r="A4299" t="s">
        <v>4664</v>
      </c>
      <c r="B4299" t="str">
        <f>"300545"</f>
        <v>300545</v>
      </c>
      <c r="C4299" t="s">
        <v>8941</v>
      </c>
      <c r="D4299" t="s">
        <v>1117</v>
      </c>
      <c r="F4299">
        <v>20545369</v>
      </c>
      <c r="G4299">
        <v>49434165</v>
      </c>
      <c r="H4299">
        <v>56520962</v>
      </c>
      <c r="I4299">
        <v>70494584</v>
      </c>
      <c r="J4299">
        <v>42725849</v>
      </c>
      <c r="K4299">
        <v>22728473.27</v>
      </c>
      <c r="L4299">
        <v>27800317</v>
      </c>
      <c r="P4299">
        <v>182</v>
      </c>
      <c r="Q4299" t="s">
        <v>8942</v>
      </c>
    </row>
    <row r="4300" spans="1:17" x14ac:dyDescent="0.3">
      <c r="A4300" t="s">
        <v>4664</v>
      </c>
      <c r="B4300" t="str">
        <f>"300546"</f>
        <v>300546</v>
      </c>
      <c r="C4300" t="s">
        <v>8943</v>
      </c>
      <c r="D4300" t="s">
        <v>236</v>
      </c>
      <c r="F4300">
        <v>-9292074</v>
      </c>
      <c r="G4300">
        <v>-16600003</v>
      </c>
      <c r="H4300">
        <v>77633504</v>
      </c>
      <c r="I4300">
        <v>58805796</v>
      </c>
      <c r="J4300">
        <v>41026237</v>
      </c>
      <c r="K4300">
        <v>32359348</v>
      </c>
      <c r="L4300">
        <v>27535089</v>
      </c>
      <c r="P4300">
        <v>196</v>
      </c>
      <c r="Q4300" t="s">
        <v>8944</v>
      </c>
    </row>
    <row r="4301" spans="1:17" x14ac:dyDescent="0.3">
      <c r="A4301" t="s">
        <v>4664</v>
      </c>
      <c r="B4301" t="str">
        <f>"300547"</f>
        <v>300547</v>
      </c>
      <c r="C4301" t="s">
        <v>8945</v>
      </c>
      <c r="D4301" t="s">
        <v>348</v>
      </c>
      <c r="F4301">
        <v>68806128</v>
      </c>
      <c r="G4301">
        <v>71546693</v>
      </c>
      <c r="H4301">
        <v>81023363</v>
      </c>
      <c r="I4301">
        <v>92895721</v>
      </c>
      <c r="J4301">
        <v>73791930</v>
      </c>
      <c r="K4301">
        <v>54436900</v>
      </c>
      <c r="L4301">
        <v>48530873</v>
      </c>
      <c r="P4301">
        <v>181</v>
      </c>
      <c r="Q4301" t="s">
        <v>8946</v>
      </c>
    </row>
    <row r="4302" spans="1:17" x14ac:dyDescent="0.3">
      <c r="A4302" t="s">
        <v>4664</v>
      </c>
      <c r="B4302" t="str">
        <f>"300548"</f>
        <v>300548</v>
      </c>
      <c r="C4302" t="s">
        <v>8947</v>
      </c>
      <c r="D4302" t="s">
        <v>1019</v>
      </c>
      <c r="F4302">
        <v>115406849</v>
      </c>
      <c r="G4302">
        <v>57871604</v>
      </c>
      <c r="H4302">
        <v>7525817</v>
      </c>
      <c r="I4302">
        <v>44811243</v>
      </c>
      <c r="J4302">
        <v>58387783</v>
      </c>
      <c r="K4302">
        <v>51858952</v>
      </c>
      <c r="L4302">
        <v>32219377</v>
      </c>
      <c r="P4302">
        <v>289</v>
      </c>
      <c r="Q4302" t="s">
        <v>8948</v>
      </c>
    </row>
    <row r="4303" spans="1:17" x14ac:dyDescent="0.3">
      <c r="A4303" t="s">
        <v>4664</v>
      </c>
      <c r="B4303" t="str">
        <f>"300549"</f>
        <v>300549</v>
      </c>
      <c r="C4303" t="s">
        <v>8949</v>
      </c>
      <c r="D4303" t="s">
        <v>741</v>
      </c>
      <c r="F4303">
        <v>28894862</v>
      </c>
      <c r="G4303">
        <v>11525211</v>
      </c>
      <c r="H4303">
        <v>16631843</v>
      </c>
      <c r="I4303">
        <v>35510912</v>
      </c>
      <c r="J4303">
        <v>59545486</v>
      </c>
      <c r="K4303">
        <v>32976378</v>
      </c>
      <c r="L4303">
        <v>29471937</v>
      </c>
      <c r="P4303">
        <v>92</v>
      </c>
      <c r="Q4303" t="s">
        <v>8950</v>
      </c>
    </row>
    <row r="4304" spans="1:17" x14ac:dyDescent="0.3">
      <c r="A4304" t="s">
        <v>4664</v>
      </c>
      <c r="B4304" t="str">
        <f>"300550"</f>
        <v>300550</v>
      </c>
      <c r="C4304" t="s">
        <v>8951</v>
      </c>
      <c r="D4304" t="s">
        <v>945</v>
      </c>
      <c r="F4304">
        <v>35259577</v>
      </c>
      <c r="G4304">
        <v>24780665</v>
      </c>
      <c r="H4304">
        <v>34673376</v>
      </c>
      <c r="I4304">
        <v>25688647</v>
      </c>
      <c r="J4304">
        <v>20673074</v>
      </c>
      <c r="K4304">
        <v>35148447</v>
      </c>
      <c r="L4304">
        <v>25337948</v>
      </c>
      <c r="P4304">
        <v>123</v>
      </c>
      <c r="Q4304" t="s">
        <v>8952</v>
      </c>
    </row>
    <row r="4305" spans="1:17" x14ac:dyDescent="0.3">
      <c r="A4305" t="s">
        <v>4664</v>
      </c>
      <c r="B4305" t="str">
        <f>"300551"</f>
        <v>300551</v>
      </c>
      <c r="C4305" t="s">
        <v>8953</v>
      </c>
      <c r="D4305" t="s">
        <v>236</v>
      </c>
      <c r="F4305">
        <v>-37019763</v>
      </c>
      <c r="G4305">
        <v>-22615561</v>
      </c>
      <c r="H4305">
        <v>13887754</v>
      </c>
      <c r="I4305">
        <v>-8294196</v>
      </c>
      <c r="J4305">
        <v>-2876784</v>
      </c>
      <c r="K4305">
        <v>15437128</v>
      </c>
      <c r="L4305">
        <v>5181151</v>
      </c>
      <c r="P4305">
        <v>89</v>
      </c>
      <c r="Q4305" t="s">
        <v>8954</v>
      </c>
    </row>
    <row r="4306" spans="1:17" x14ac:dyDescent="0.3">
      <c r="A4306" t="s">
        <v>4664</v>
      </c>
      <c r="B4306" t="str">
        <f>"300552"</f>
        <v>300552</v>
      </c>
      <c r="C4306" t="s">
        <v>8955</v>
      </c>
      <c r="D4306" t="s">
        <v>236</v>
      </c>
      <c r="F4306">
        <v>67137727</v>
      </c>
      <c r="G4306">
        <v>459690600</v>
      </c>
      <c r="H4306">
        <v>128857061</v>
      </c>
      <c r="I4306">
        <v>-15984494</v>
      </c>
      <c r="J4306">
        <v>12156070</v>
      </c>
      <c r="K4306">
        <v>55974472</v>
      </c>
      <c r="L4306">
        <v>-16202282</v>
      </c>
      <c r="P4306">
        <v>327</v>
      </c>
      <c r="Q4306" t="s">
        <v>8956</v>
      </c>
    </row>
    <row r="4307" spans="1:17" x14ac:dyDescent="0.3">
      <c r="A4307" t="s">
        <v>4664</v>
      </c>
      <c r="B4307" t="str">
        <f>"300553"</f>
        <v>300553</v>
      </c>
      <c r="C4307" t="s">
        <v>8957</v>
      </c>
      <c r="D4307" t="s">
        <v>2551</v>
      </c>
      <c r="F4307">
        <v>21798475</v>
      </c>
      <c r="G4307">
        <v>8440075</v>
      </c>
      <c r="H4307">
        <v>15482445</v>
      </c>
      <c r="I4307">
        <v>18149600</v>
      </c>
      <c r="J4307">
        <v>17862245</v>
      </c>
      <c r="K4307">
        <v>23711736</v>
      </c>
      <c r="L4307">
        <v>22204077</v>
      </c>
      <c r="P4307">
        <v>72</v>
      </c>
      <c r="Q4307" t="s">
        <v>8958</v>
      </c>
    </row>
    <row r="4308" spans="1:17" x14ac:dyDescent="0.3">
      <c r="A4308" t="s">
        <v>4664</v>
      </c>
      <c r="B4308" t="str">
        <f>"300554"</f>
        <v>300554</v>
      </c>
      <c r="C4308" t="s">
        <v>8959</v>
      </c>
      <c r="D4308" t="s">
        <v>404</v>
      </c>
      <c r="F4308">
        <v>11163477</v>
      </c>
      <c r="G4308">
        <v>23661155</v>
      </c>
      <c r="H4308">
        <v>12237343</v>
      </c>
      <c r="I4308">
        <v>63477079</v>
      </c>
      <c r="J4308">
        <v>40897458</v>
      </c>
      <c r="K4308">
        <v>26340872</v>
      </c>
      <c r="P4308">
        <v>123</v>
      </c>
      <c r="Q4308" t="s">
        <v>8960</v>
      </c>
    </row>
    <row r="4309" spans="1:17" x14ac:dyDescent="0.3">
      <c r="A4309" t="s">
        <v>4664</v>
      </c>
      <c r="B4309" t="str">
        <f>"300555"</f>
        <v>300555</v>
      </c>
      <c r="C4309" t="s">
        <v>8961</v>
      </c>
      <c r="D4309" t="s">
        <v>786</v>
      </c>
      <c r="F4309">
        <v>-8248384</v>
      </c>
      <c r="G4309">
        <v>1151370</v>
      </c>
      <c r="H4309">
        <v>2493738</v>
      </c>
      <c r="I4309">
        <v>13524519</v>
      </c>
      <c r="J4309">
        <v>28974165</v>
      </c>
      <c r="K4309">
        <v>39621352</v>
      </c>
      <c r="L4309">
        <v>38019556</v>
      </c>
      <c r="P4309">
        <v>72</v>
      </c>
      <c r="Q4309" t="s">
        <v>8962</v>
      </c>
    </row>
    <row r="4310" spans="1:17" x14ac:dyDescent="0.3">
      <c r="A4310" t="s">
        <v>4664</v>
      </c>
      <c r="B4310" t="str">
        <f>"300556"</f>
        <v>300556</v>
      </c>
      <c r="C4310" t="s">
        <v>8963</v>
      </c>
      <c r="D4310" t="s">
        <v>945</v>
      </c>
      <c r="F4310">
        <v>41661827</v>
      </c>
      <c r="G4310">
        <v>48447144</v>
      </c>
      <c r="H4310">
        <v>16476809</v>
      </c>
      <c r="I4310">
        <v>41556333</v>
      </c>
      <c r="J4310">
        <v>11899527</v>
      </c>
      <c r="K4310">
        <v>11633416</v>
      </c>
      <c r="L4310">
        <v>554783</v>
      </c>
      <c r="P4310">
        <v>112</v>
      </c>
      <c r="Q4310" t="s">
        <v>8964</v>
      </c>
    </row>
    <row r="4311" spans="1:17" x14ac:dyDescent="0.3">
      <c r="A4311" t="s">
        <v>4664</v>
      </c>
      <c r="B4311" t="str">
        <f>"300557"</f>
        <v>300557</v>
      </c>
      <c r="C4311" t="s">
        <v>8965</v>
      </c>
      <c r="D4311" t="s">
        <v>2551</v>
      </c>
      <c r="F4311">
        <v>907618</v>
      </c>
      <c r="G4311">
        <v>-10702942</v>
      </c>
      <c r="H4311">
        <v>-29133147</v>
      </c>
      <c r="I4311">
        <v>-31279885</v>
      </c>
      <c r="J4311">
        <v>11268691</v>
      </c>
      <c r="K4311">
        <v>15585212</v>
      </c>
      <c r="L4311">
        <v>6692147</v>
      </c>
      <c r="P4311">
        <v>60</v>
      </c>
      <c r="Q4311" t="s">
        <v>8966</v>
      </c>
    </row>
    <row r="4312" spans="1:17" x14ac:dyDescent="0.3">
      <c r="A4312" t="s">
        <v>4664</v>
      </c>
      <c r="B4312" t="str">
        <f>"300558"</f>
        <v>300558</v>
      </c>
      <c r="C4312" t="s">
        <v>8967</v>
      </c>
      <c r="D4312" t="s">
        <v>143</v>
      </c>
      <c r="F4312">
        <v>346853779</v>
      </c>
      <c r="G4312">
        <v>513827655</v>
      </c>
      <c r="H4312">
        <v>198542887</v>
      </c>
      <c r="I4312">
        <v>147759400</v>
      </c>
      <c r="J4312">
        <v>203427861</v>
      </c>
      <c r="K4312">
        <v>308352258</v>
      </c>
      <c r="L4312">
        <v>289893963</v>
      </c>
      <c r="P4312">
        <v>756</v>
      </c>
      <c r="Q4312" t="s">
        <v>8968</v>
      </c>
    </row>
    <row r="4313" spans="1:17" x14ac:dyDescent="0.3">
      <c r="A4313" t="s">
        <v>4664</v>
      </c>
      <c r="B4313" t="str">
        <f>"300559"</f>
        <v>300559</v>
      </c>
      <c r="C4313" t="s">
        <v>8969</v>
      </c>
      <c r="D4313" t="s">
        <v>945</v>
      </c>
      <c r="F4313">
        <v>91843597</v>
      </c>
      <c r="G4313">
        <v>172636262</v>
      </c>
      <c r="H4313">
        <v>155193425</v>
      </c>
      <c r="I4313">
        <v>77132796</v>
      </c>
      <c r="J4313">
        <v>39647768</v>
      </c>
      <c r="K4313">
        <v>39889095</v>
      </c>
      <c r="L4313">
        <v>41305234</v>
      </c>
      <c r="P4313">
        <v>369</v>
      </c>
      <c r="Q4313" t="s">
        <v>8970</v>
      </c>
    </row>
    <row r="4314" spans="1:17" x14ac:dyDescent="0.3">
      <c r="A4314" t="s">
        <v>4664</v>
      </c>
      <c r="B4314" t="str">
        <f>"300560"</f>
        <v>300560</v>
      </c>
      <c r="C4314" t="s">
        <v>8971</v>
      </c>
      <c r="D4314" t="s">
        <v>654</v>
      </c>
      <c r="F4314">
        <v>42208609</v>
      </c>
      <c r="G4314">
        <v>48093314</v>
      </c>
      <c r="H4314">
        <v>34801851</v>
      </c>
      <c r="I4314">
        <v>34788221</v>
      </c>
      <c r="J4314">
        <v>32285259</v>
      </c>
      <c r="K4314">
        <v>29013545</v>
      </c>
      <c r="L4314">
        <v>24316633</v>
      </c>
      <c r="P4314">
        <v>192</v>
      </c>
      <c r="Q4314" t="s">
        <v>8972</v>
      </c>
    </row>
    <row r="4315" spans="1:17" x14ac:dyDescent="0.3">
      <c r="A4315" t="s">
        <v>4664</v>
      </c>
      <c r="B4315" t="str">
        <f>"300561"</f>
        <v>300561</v>
      </c>
      <c r="C4315" t="s">
        <v>8973</v>
      </c>
      <c r="D4315" t="s">
        <v>945</v>
      </c>
      <c r="F4315">
        <v>17819425</v>
      </c>
      <c r="G4315">
        <v>16136087</v>
      </c>
      <c r="H4315">
        <v>17507826</v>
      </c>
      <c r="I4315">
        <v>15850449</v>
      </c>
      <c r="J4315">
        <v>44200945</v>
      </c>
      <c r="K4315">
        <v>59471543</v>
      </c>
      <c r="L4315">
        <v>56606992</v>
      </c>
      <c r="P4315">
        <v>114</v>
      </c>
      <c r="Q4315" t="s">
        <v>8974</v>
      </c>
    </row>
    <row r="4316" spans="1:17" x14ac:dyDescent="0.3">
      <c r="A4316" t="s">
        <v>4664</v>
      </c>
      <c r="B4316" t="str">
        <f>"300562"</f>
        <v>300562</v>
      </c>
      <c r="C4316" t="s">
        <v>8975</v>
      </c>
      <c r="D4316" t="s">
        <v>122</v>
      </c>
      <c r="F4316">
        <v>38465215</v>
      </c>
      <c r="G4316">
        <v>53287782</v>
      </c>
      <c r="H4316">
        <v>25089875</v>
      </c>
      <c r="I4316">
        <v>17543235</v>
      </c>
      <c r="J4316">
        <v>-2847793</v>
      </c>
      <c r="K4316">
        <v>56915491</v>
      </c>
      <c r="L4316">
        <v>27964400</v>
      </c>
      <c r="P4316">
        <v>155</v>
      </c>
      <c r="Q4316" t="s">
        <v>8976</v>
      </c>
    </row>
    <row r="4317" spans="1:17" x14ac:dyDescent="0.3">
      <c r="A4317" t="s">
        <v>4664</v>
      </c>
      <c r="B4317" t="str">
        <f>"300563"</f>
        <v>300563</v>
      </c>
      <c r="C4317" t="s">
        <v>8977</v>
      </c>
      <c r="D4317" t="s">
        <v>250</v>
      </c>
      <c r="F4317">
        <v>52380506</v>
      </c>
      <c r="G4317">
        <v>50911324</v>
      </c>
      <c r="H4317">
        <v>37269530</v>
      </c>
      <c r="I4317">
        <v>33536003</v>
      </c>
      <c r="J4317">
        <v>32616230</v>
      </c>
      <c r="K4317">
        <v>28575693</v>
      </c>
      <c r="L4317">
        <v>25130958</v>
      </c>
      <c r="P4317">
        <v>144</v>
      </c>
      <c r="Q4317" t="s">
        <v>8978</v>
      </c>
    </row>
    <row r="4318" spans="1:17" x14ac:dyDescent="0.3">
      <c r="A4318" t="s">
        <v>4664</v>
      </c>
      <c r="B4318" t="str">
        <f>"300564"</f>
        <v>300564</v>
      </c>
      <c r="C4318" t="s">
        <v>8979</v>
      </c>
      <c r="D4318" t="s">
        <v>1272</v>
      </c>
      <c r="F4318">
        <v>85490962</v>
      </c>
      <c r="G4318">
        <v>79063151</v>
      </c>
      <c r="H4318">
        <v>95180104</v>
      </c>
      <c r="I4318">
        <v>81036091</v>
      </c>
      <c r="P4318">
        <v>211</v>
      </c>
      <c r="Q4318" t="s">
        <v>8980</v>
      </c>
    </row>
    <row r="4319" spans="1:17" x14ac:dyDescent="0.3">
      <c r="A4319" t="s">
        <v>4664</v>
      </c>
      <c r="B4319" t="str">
        <f>"300565"</f>
        <v>300565</v>
      </c>
      <c r="C4319" t="s">
        <v>8981</v>
      </c>
      <c r="D4319" t="s">
        <v>1019</v>
      </c>
      <c r="F4319">
        <v>-81439973</v>
      </c>
      <c r="G4319">
        <v>3176245</v>
      </c>
      <c r="H4319">
        <v>-48559299</v>
      </c>
      <c r="I4319">
        <v>20726524</v>
      </c>
      <c r="J4319">
        <v>40324787</v>
      </c>
      <c r="K4319">
        <v>55104639</v>
      </c>
      <c r="L4319">
        <v>53380641</v>
      </c>
      <c r="P4319">
        <v>113</v>
      </c>
      <c r="Q4319" t="s">
        <v>8982</v>
      </c>
    </row>
    <row r="4320" spans="1:17" x14ac:dyDescent="0.3">
      <c r="A4320" t="s">
        <v>4664</v>
      </c>
      <c r="B4320" t="str">
        <f>"300566"</f>
        <v>300566</v>
      </c>
      <c r="C4320" t="s">
        <v>8983</v>
      </c>
      <c r="D4320" t="s">
        <v>164</v>
      </c>
      <c r="F4320">
        <v>102563474</v>
      </c>
      <c r="G4320">
        <v>90865690</v>
      </c>
      <c r="H4320">
        <v>49178662</v>
      </c>
      <c r="I4320">
        <v>46383668</v>
      </c>
      <c r="J4320">
        <v>45144472</v>
      </c>
      <c r="K4320">
        <v>44228942</v>
      </c>
      <c r="L4320">
        <v>39097251</v>
      </c>
      <c r="P4320">
        <v>197</v>
      </c>
      <c r="Q4320" t="s">
        <v>8984</v>
      </c>
    </row>
    <row r="4321" spans="1:17" x14ac:dyDescent="0.3">
      <c r="A4321" t="s">
        <v>4664</v>
      </c>
      <c r="B4321" t="str">
        <f>"300567"</f>
        <v>300567</v>
      </c>
      <c r="C4321" t="s">
        <v>8985</v>
      </c>
      <c r="D4321" t="s">
        <v>2551</v>
      </c>
      <c r="F4321">
        <v>182418206</v>
      </c>
      <c r="G4321">
        <v>151593246</v>
      </c>
      <c r="H4321">
        <v>220149562</v>
      </c>
      <c r="I4321">
        <v>190819528</v>
      </c>
      <c r="J4321">
        <v>114691442</v>
      </c>
      <c r="K4321">
        <v>50045341</v>
      </c>
      <c r="L4321">
        <v>15516575</v>
      </c>
      <c r="P4321">
        <v>1242</v>
      </c>
      <c r="Q4321" t="s">
        <v>8986</v>
      </c>
    </row>
    <row r="4322" spans="1:17" x14ac:dyDescent="0.3">
      <c r="A4322" t="s">
        <v>4664</v>
      </c>
      <c r="B4322" t="str">
        <f>"300568"</f>
        <v>300568</v>
      </c>
      <c r="C4322" t="s">
        <v>8987</v>
      </c>
      <c r="D4322" t="s">
        <v>1786</v>
      </c>
      <c r="F4322">
        <v>212309684</v>
      </c>
      <c r="G4322">
        <v>102582586</v>
      </c>
      <c r="H4322">
        <v>195583635</v>
      </c>
      <c r="I4322">
        <v>178691540</v>
      </c>
      <c r="J4322">
        <v>91761828</v>
      </c>
      <c r="K4322">
        <v>123557259</v>
      </c>
      <c r="L4322">
        <v>67795403</v>
      </c>
      <c r="P4322">
        <v>474</v>
      </c>
      <c r="Q4322" t="s">
        <v>8988</v>
      </c>
    </row>
    <row r="4323" spans="1:17" x14ac:dyDescent="0.3">
      <c r="A4323" t="s">
        <v>4664</v>
      </c>
      <c r="B4323" t="str">
        <f>"300569"</f>
        <v>300569</v>
      </c>
      <c r="C4323" t="s">
        <v>8989</v>
      </c>
      <c r="D4323" t="s">
        <v>950</v>
      </c>
      <c r="F4323">
        <v>280318408</v>
      </c>
      <c r="G4323">
        <v>251463727</v>
      </c>
      <c r="H4323">
        <v>145931643</v>
      </c>
      <c r="I4323">
        <v>60029562</v>
      </c>
      <c r="J4323">
        <v>70117939</v>
      </c>
      <c r="K4323">
        <v>152638107</v>
      </c>
      <c r="L4323">
        <v>99106474</v>
      </c>
      <c r="P4323">
        <v>201</v>
      </c>
      <c r="Q4323" t="s">
        <v>8990</v>
      </c>
    </row>
    <row r="4324" spans="1:17" x14ac:dyDescent="0.3">
      <c r="A4324" t="s">
        <v>4664</v>
      </c>
      <c r="B4324" t="str">
        <f>"300570"</f>
        <v>300570</v>
      </c>
      <c r="C4324" t="s">
        <v>8991</v>
      </c>
      <c r="D4324" t="s">
        <v>1019</v>
      </c>
      <c r="F4324">
        <v>63441052</v>
      </c>
      <c r="G4324">
        <v>54771300</v>
      </c>
      <c r="H4324">
        <v>148198529</v>
      </c>
      <c r="I4324">
        <v>107791480</v>
      </c>
      <c r="J4324">
        <v>78216119</v>
      </c>
      <c r="K4324">
        <v>75772451</v>
      </c>
      <c r="L4324">
        <v>90989393</v>
      </c>
      <c r="P4324">
        <v>229</v>
      </c>
      <c r="Q4324" t="s">
        <v>8992</v>
      </c>
    </row>
    <row r="4325" spans="1:17" x14ac:dyDescent="0.3">
      <c r="A4325" t="s">
        <v>4664</v>
      </c>
      <c r="B4325" t="str">
        <f>"300571"</f>
        <v>300571</v>
      </c>
      <c r="C4325" t="s">
        <v>8993</v>
      </c>
      <c r="D4325" t="s">
        <v>5597</v>
      </c>
      <c r="F4325">
        <v>244333638</v>
      </c>
      <c r="G4325">
        <v>173656076</v>
      </c>
      <c r="H4325">
        <v>230895186</v>
      </c>
      <c r="I4325">
        <v>178246789</v>
      </c>
      <c r="J4325">
        <v>61388231</v>
      </c>
      <c r="K4325">
        <v>35551292</v>
      </c>
      <c r="L4325">
        <v>13902107</v>
      </c>
      <c r="P4325">
        <v>2110</v>
      </c>
      <c r="Q4325" t="s">
        <v>8994</v>
      </c>
    </row>
    <row r="4326" spans="1:17" x14ac:dyDescent="0.3">
      <c r="A4326" t="s">
        <v>4664</v>
      </c>
      <c r="B4326" t="str">
        <f>"300572"</f>
        <v>300572</v>
      </c>
      <c r="C4326" t="s">
        <v>8995</v>
      </c>
      <c r="D4326" t="s">
        <v>2499</v>
      </c>
      <c r="F4326">
        <v>26962813</v>
      </c>
      <c r="G4326">
        <v>157517508</v>
      </c>
      <c r="H4326">
        <v>160215885</v>
      </c>
      <c r="I4326">
        <v>93927918</v>
      </c>
      <c r="J4326">
        <v>60515374</v>
      </c>
      <c r="K4326">
        <v>38899621</v>
      </c>
      <c r="L4326">
        <v>32533316</v>
      </c>
      <c r="P4326">
        <v>466</v>
      </c>
      <c r="Q4326" t="s">
        <v>8996</v>
      </c>
    </row>
    <row r="4327" spans="1:17" x14ac:dyDescent="0.3">
      <c r="A4327" t="s">
        <v>4664</v>
      </c>
      <c r="B4327" t="str">
        <f>"300573"</f>
        <v>300573</v>
      </c>
      <c r="C4327" t="s">
        <v>8997</v>
      </c>
      <c r="D4327" t="s">
        <v>143</v>
      </c>
      <c r="F4327">
        <v>156074590</v>
      </c>
      <c r="G4327">
        <v>53734796</v>
      </c>
      <c r="H4327">
        <v>28550547</v>
      </c>
      <c r="I4327">
        <v>13196669</v>
      </c>
      <c r="J4327">
        <v>41858417</v>
      </c>
      <c r="K4327">
        <v>45377388</v>
      </c>
      <c r="P4327">
        <v>315</v>
      </c>
      <c r="Q4327" t="s">
        <v>8998</v>
      </c>
    </row>
    <row r="4328" spans="1:17" x14ac:dyDescent="0.3">
      <c r="A4328" t="s">
        <v>4664</v>
      </c>
      <c r="B4328" t="str">
        <f>"300575"</f>
        <v>300575</v>
      </c>
      <c r="C4328" t="s">
        <v>8999</v>
      </c>
      <c r="D4328" t="s">
        <v>853</v>
      </c>
      <c r="F4328">
        <v>126366113</v>
      </c>
      <c r="G4328">
        <v>150735987</v>
      </c>
      <c r="H4328">
        <v>121530260</v>
      </c>
      <c r="I4328">
        <v>133417098</v>
      </c>
      <c r="J4328">
        <v>79520945</v>
      </c>
      <c r="K4328">
        <v>55828469</v>
      </c>
      <c r="L4328">
        <v>68823815</v>
      </c>
      <c r="P4328">
        <v>187</v>
      </c>
      <c r="Q4328" t="s">
        <v>9000</v>
      </c>
    </row>
    <row r="4329" spans="1:17" x14ac:dyDescent="0.3">
      <c r="A4329" t="s">
        <v>4664</v>
      </c>
      <c r="B4329" t="str">
        <f>"300576"</f>
        <v>300576</v>
      </c>
      <c r="C4329" t="s">
        <v>9001</v>
      </c>
      <c r="D4329" t="s">
        <v>2399</v>
      </c>
      <c r="F4329">
        <v>42509056</v>
      </c>
      <c r="G4329">
        <v>41185090</v>
      </c>
      <c r="H4329">
        <v>26283048</v>
      </c>
      <c r="I4329">
        <v>31156638</v>
      </c>
      <c r="J4329">
        <v>31120937</v>
      </c>
      <c r="K4329">
        <v>27581261</v>
      </c>
      <c r="L4329">
        <v>20540282</v>
      </c>
      <c r="P4329">
        <v>189</v>
      </c>
      <c r="Q4329" t="s">
        <v>9002</v>
      </c>
    </row>
    <row r="4330" spans="1:17" x14ac:dyDescent="0.3">
      <c r="A4330" t="s">
        <v>4664</v>
      </c>
      <c r="B4330" t="str">
        <f>"300577"</f>
        <v>300577</v>
      </c>
      <c r="C4330" t="s">
        <v>9003</v>
      </c>
      <c r="D4330" t="s">
        <v>330</v>
      </c>
      <c r="F4330">
        <v>151251405</v>
      </c>
      <c r="G4330">
        <v>37288605</v>
      </c>
      <c r="H4330">
        <v>175416275</v>
      </c>
      <c r="I4330">
        <v>128125513</v>
      </c>
      <c r="J4330">
        <v>93194871</v>
      </c>
      <c r="K4330">
        <v>64140265</v>
      </c>
      <c r="L4330">
        <v>44999221</v>
      </c>
      <c r="P4330">
        <v>486</v>
      </c>
      <c r="Q4330" t="s">
        <v>9004</v>
      </c>
    </row>
    <row r="4331" spans="1:17" x14ac:dyDescent="0.3">
      <c r="A4331" t="s">
        <v>4664</v>
      </c>
      <c r="B4331" t="str">
        <f>"300578"</f>
        <v>300578</v>
      </c>
      <c r="C4331" t="s">
        <v>9005</v>
      </c>
      <c r="D4331" t="s">
        <v>5597</v>
      </c>
      <c r="F4331">
        <v>53770782</v>
      </c>
      <c r="G4331">
        <v>109632083</v>
      </c>
      <c r="H4331">
        <v>65300958</v>
      </c>
      <c r="I4331">
        <v>30018502</v>
      </c>
      <c r="J4331">
        <v>24934818</v>
      </c>
      <c r="K4331">
        <v>27812075</v>
      </c>
      <c r="P4331">
        <v>305</v>
      </c>
      <c r="Q4331" t="s">
        <v>9006</v>
      </c>
    </row>
    <row r="4332" spans="1:17" x14ac:dyDescent="0.3">
      <c r="A4332" t="s">
        <v>4664</v>
      </c>
      <c r="B4332" t="str">
        <f>"300579"</f>
        <v>300579</v>
      </c>
      <c r="C4332" t="s">
        <v>9007</v>
      </c>
      <c r="D4332" t="s">
        <v>945</v>
      </c>
      <c r="F4332">
        <v>20968269</v>
      </c>
      <c r="G4332">
        <v>16879397</v>
      </c>
      <c r="H4332">
        <v>42304135</v>
      </c>
      <c r="I4332">
        <v>39164489</v>
      </c>
      <c r="J4332">
        <v>47149698</v>
      </c>
      <c r="K4332">
        <v>18026111</v>
      </c>
      <c r="L4332">
        <v>13209083</v>
      </c>
      <c r="P4332">
        <v>335</v>
      </c>
      <c r="Q4332" t="s">
        <v>9008</v>
      </c>
    </row>
    <row r="4333" spans="1:17" x14ac:dyDescent="0.3">
      <c r="A4333" t="s">
        <v>4664</v>
      </c>
      <c r="B4333" t="str">
        <f>"300580"</f>
        <v>300580</v>
      </c>
      <c r="C4333" t="s">
        <v>9009</v>
      </c>
      <c r="D4333" t="s">
        <v>348</v>
      </c>
      <c r="F4333">
        <v>158516400</v>
      </c>
      <c r="G4333">
        <v>123605523</v>
      </c>
      <c r="H4333">
        <v>117007654</v>
      </c>
      <c r="I4333">
        <v>110676835</v>
      </c>
      <c r="J4333">
        <v>98159476</v>
      </c>
      <c r="K4333">
        <v>82872542</v>
      </c>
      <c r="L4333">
        <v>61850613</v>
      </c>
      <c r="P4333">
        <v>148</v>
      </c>
      <c r="Q4333" t="s">
        <v>9010</v>
      </c>
    </row>
    <row r="4334" spans="1:17" x14ac:dyDescent="0.3">
      <c r="A4334" t="s">
        <v>4664</v>
      </c>
      <c r="B4334" t="str">
        <f>"300581"</f>
        <v>300581</v>
      </c>
      <c r="C4334" t="s">
        <v>9011</v>
      </c>
      <c r="D4334" t="s">
        <v>98</v>
      </c>
      <c r="F4334">
        <v>10086157</v>
      </c>
      <c r="G4334">
        <v>23468790</v>
      </c>
      <c r="H4334">
        <v>28380724</v>
      </c>
      <c r="I4334">
        <v>32102287</v>
      </c>
      <c r="J4334">
        <v>22549689</v>
      </c>
      <c r="K4334">
        <v>21651320</v>
      </c>
      <c r="L4334">
        <v>21793348</v>
      </c>
      <c r="P4334">
        <v>151</v>
      </c>
      <c r="Q4334" t="s">
        <v>9012</v>
      </c>
    </row>
    <row r="4335" spans="1:17" x14ac:dyDescent="0.3">
      <c r="A4335" t="s">
        <v>4664</v>
      </c>
      <c r="B4335" t="str">
        <f>"300582"</f>
        <v>300582</v>
      </c>
      <c r="C4335" t="s">
        <v>9013</v>
      </c>
      <c r="D4335" t="s">
        <v>803</v>
      </c>
      <c r="F4335">
        <v>162621643</v>
      </c>
      <c r="G4335">
        <v>75872341</v>
      </c>
      <c r="H4335">
        <v>64220063</v>
      </c>
      <c r="I4335">
        <v>52334348</v>
      </c>
      <c r="J4335">
        <v>30114563</v>
      </c>
      <c r="K4335">
        <v>46241418</v>
      </c>
      <c r="L4335">
        <v>51711306</v>
      </c>
      <c r="P4335">
        <v>152</v>
      </c>
      <c r="Q4335" t="s">
        <v>9014</v>
      </c>
    </row>
    <row r="4336" spans="1:17" x14ac:dyDescent="0.3">
      <c r="A4336" t="s">
        <v>4664</v>
      </c>
      <c r="B4336" t="str">
        <f>"300583"</f>
        <v>300583</v>
      </c>
      <c r="C4336" t="s">
        <v>9015</v>
      </c>
      <c r="D4336" t="s">
        <v>496</v>
      </c>
      <c r="F4336">
        <v>31582001</v>
      </c>
      <c r="G4336">
        <v>-49125784</v>
      </c>
      <c r="H4336">
        <v>83229258</v>
      </c>
      <c r="I4336">
        <v>99769577</v>
      </c>
      <c r="J4336">
        <v>45126621</v>
      </c>
      <c r="K4336">
        <v>72367800</v>
      </c>
      <c r="L4336">
        <v>144027400</v>
      </c>
      <c r="P4336">
        <v>76</v>
      </c>
      <c r="Q4336" t="s">
        <v>9016</v>
      </c>
    </row>
    <row r="4337" spans="1:17" x14ac:dyDescent="0.3">
      <c r="A4337" t="s">
        <v>4664</v>
      </c>
      <c r="B4337" t="str">
        <f>"300584"</f>
        <v>300584</v>
      </c>
      <c r="C4337" t="s">
        <v>9017</v>
      </c>
      <c r="D4337" t="s">
        <v>143</v>
      </c>
      <c r="F4337">
        <v>28233311</v>
      </c>
      <c r="G4337">
        <v>48340329</v>
      </c>
      <c r="H4337">
        <v>77461746</v>
      </c>
      <c r="I4337">
        <v>62296528</v>
      </c>
      <c r="J4337">
        <v>45895570</v>
      </c>
      <c r="K4337">
        <v>31195947</v>
      </c>
      <c r="L4337">
        <v>23412461</v>
      </c>
      <c r="P4337">
        <v>195</v>
      </c>
      <c r="Q4337" t="s">
        <v>9018</v>
      </c>
    </row>
    <row r="4338" spans="1:17" x14ac:dyDescent="0.3">
      <c r="A4338" t="s">
        <v>4664</v>
      </c>
      <c r="B4338" t="str">
        <f>"300585"</f>
        <v>300585</v>
      </c>
      <c r="C4338" t="s">
        <v>9019</v>
      </c>
      <c r="D4338" t="s">
        <v>348</v>
      </c>
      <c r="F4338">
        <v>31218549</v>
      </c>
      <c r="G4338">
        <v>40328923</v>
      </c>
      <c r="H4338">
        <v>22636129</v>
      </c>
      <c r="I4338">
        <v>34452807</v>
      </c>
      <c r="J4338">
        <v>46078188</v>
      </c>
      <c r="K4338">
        <v>36856324</v>
      </c>
      <c r="L4338">
        <v>29506434</v>
      </c>
      <c r="P4338">
        <v>92</v>
      </c>
      <c r="Q4338" t="s">
        <v>9020</v>
      </c>
    </row>
    <row r="4339" spans="1:17" x14ac:dyDescent="0.3">
      <c r="A4339" t="s">
        <v>4664</v>
      </c>
      <c r="B4339" t="str">
        <f>"300586"</f>
        <v>300586</v>
      </c>
      <c r="C4339" t="s">
        <v>9021</v>
      </c>
      <c r="D4339" t="s">
        <v>341</v>
      </c>
      <c r="F4339">
        <v>15814054</v>
      </c>
      <c r="G4339">
        <v>66306380</v>
      </c>
      <c r="H4339">
        <v>84150284</v>
      </c>
      <c r="I4339">
        <v>42674442</v>
      </c>
      <c r="J4339">
        <v>41818381</v>
      </c>
      <c r="K4339">
        <v>38510480</v>
      </c>
      <c r="L4339">
        <v>29941985</v>
      </c>
      <c r="P4339">
        <v>132</v>
      </c>
      <c r="Q4339" t="s">
        <v>9022</v>
      </c>
    </row>
    <row r="4340" spans="1:17" x14ac:dyDescent="0.3">
      <c r="A4340" t="s">
        <v>4664</v>
      </c>
      <c r="B4340" t="str">
        <f>"300587"</f>
        <v>300587</v>
      </c>
      <c r="C4340" t="s">
        <v>9023</v>
      </c>
      <c r="D4340" t="s">
        <v>2460</v>
      </c>
      <c r="F4340">
        <v>286677807</v>
      </c>
      <c r="G4340">
        <v>117658492</v>
      </c>
      <c r="H4340">
        <v>50306702</v>
      </c>
      <c r="I4340">
        <v>42225859</v>
      </c>
      <c r="J4340">
        <v>47427963</v>
      </c>
      <c r="K4340">
        <v>46778498</v>
      </c>
      <c r="L4340">
        <v>40242959</v>
      </c>
      <c r="P4340">
        <v>153</v>
      </c>
      <c r="Q4340" t="s">
        <v>9024</v>
      </c>
    </row>
    <row r="4341" spans="1:17" x14ac:dyDescent="0.3">
      <c r="A4341" t="s">
        <v>4664</v>
      </c>
      <c r="B4341" t="str">
        <f>"300588"</f>
        <v>300588</v>
      </c>
      <c r="C4341" t="s">
        <v>9025</v>
      </c>
      <c r="D4341" t="s">
        <v>2953</v>
      </c>
      <c r="F4341">
        <v>-19885606</v>
      </c>
      <c r="G4341">
        <v>-63101303</v>
      </c>
      <c r="H4341">
        <v>-28498007</v>
      </c>
      <c r="I4341">
        <v>3538045</v>
      </c>
      <c r="J4341">
        <v>35462768</v>
      </c>
      <c r="K4341">
        <v>19128961</v>
      </c>
      <c r="P4341">
        <v>144</v>
      </c>
      <c r="Q4341" t="s">
        <v>9026</v>
      </c>
    </row>
    <row r="4342" spans="1:17" x14ac:dyDescent="0.3">
      <c r="A4342" t="s">
        <v>4664</v>
      </c>
      <c r="B4342" t="str">
        <f>"300589"</f>
        <v>300589</v>
      </c>
      <c r="C4342" t="s">
        <v>9027</v>
      </c>
      <c r="D4342" t="s">
        <v>167</v>
      </c>
      <c r="F4342">
        <v>15929531</v>
      </c>
      <c r="G4342">
        <v>15565202</v>
      </c>
      <c r="H4342">
        <v>16591939</v>
      </c>
      <c r="I4342">
        <v>14596391</v>
      </c>
      <c r="J4342">
        <v>21499810</v>
      </c>
      <c r="K4342">
        <v>20216900</v>
      </c>
      <c r="L4342">
        <v>11729500</v>
      </c>
      <c r="P4342">
        <v>87</v>
      </c>
      <c r="Q4342" t="s">
        <v>9028</v>
      </c>
    </row>
    <row r="4343" spans="1:17" x14ac:dyDescent="0.3">
      <c r="A4343" t="s">
        <v>4664</v>
      </c>
      <c r="B4343" t="str">
        <f>"300590"</f>
        <v>300590</v>
      </c>
      <c r="C4343" t="s">
        <v>9029</v>
      </c>
      <c r="D4343" t="s">
        <v>786</v>
      </c>
      <c r="F4343">
        <v>111797728</v>
      </c>
      <c r="G4343">
        <v>62265582</v>
      </c>
      <c r="H4343">
        <v>99260236</v>
      </c>
      <c r="I4343">
        <v>82467740</v>
      </c>
      <c r="J4343">
        <v>60593585</v>
      </c>
      <c r="K4343">
        <v>57688448</v>
      </c>
      <c r="L4343">
        <v>71172091</v>
      </c>
      <c r="P4343">
        <v>410</v>
      </c>
      <c r="Q4343" t="s">
        <v>9030</v>
      </c>
    </row>
    <row r="4344" spans="1:17" x14ac:dyDescent="0.3">
      <c r="A4344" t="s">
        <v>4664</v>
      </c>
      <c r="B4344" t="str">
        <f>"300591"</f>
        <v>300591</v>
      </c>
      <c r="C4344" t="s">
        <v>9031</v>
      </c>
      <c r="D4344" t="s">
        <v>330</v>
      </c>
      <c r="F4344">
        <v>-36240407</v>
      </c>
      <c r="G4344">
        <v>-68852597</v>
      </c>
      <c r="H4344">
        <v>11367832</v>
      </c>
      <c r="I4344">
        <v>12547496</v>
      </c>
      <c r="J4344">
        <v>22864943</v>
      </c>
      <c r="K4344">
        <v>27184901</v>
      </c>
      <c r="L4344">
        <v>17296018</v>
      </c>
      <c r="P4344">
        <v>88</v>
      </c>
      <c r="Q4344" t="s">
        <v>9032</v>
      </c>
    </row>
    <row r="4345" spans="1:17" x14ac:dyDescent="0.3">
      <c r="A4345" t="s">
        <v>4664</v>
      </c>
      <c r="B4345" t="str">
        <f>"300592"</f>
        <v>300592</v>
      </c>
      <c r="C4345" t="s">
        <v>9033</v>
      </c>
      <c r="D4345" t="s">
        <v>450</v>
      </c>
      <c r="F4345">
        <v>-16709017</v>
      </c>
      <c r="G4345">
        <v>-19699934</v>
      </c>
      <c r="H4345">
        <v>14387447</v>
      </c>
      <c r="I4345">
        <v>18998820</v>
      </c>
      <c r="J4345">
        <v>35901806</v>
      </c>
      <c r="K4345">
        <v>28260034</v>
      </c>
      <c r="L4345">
        <v>8775123</v>
      </c>
      <c r="P4345">
        <v>65</v>
      </c>
      <c r="Q4345" t="s">
        <v>9034</v>
      </c>
    </row>
    <row r="4346" spans="1:17" x14ac:dyDescent="0.3">
      <c r="A4346" t="s">
        <v>4664</v>
      </c>
      <c r="B4346" t="str">
        <f>"300593"</f>
        <v>300593</v>
      </c>
      <c r="C4346" t="s">
        <v>9035</v>
      </c>
      <c r="D4346" t="s">
        <v>880</v>
      </c>
      <c r="F4346">
        <v>194665747</v>
      </c>
      <c r="G4346">
        <v>68371548</v>
      </c>
      <c r="H4346">
        <v>50253593</v>
      </c>
      <c r="I4346">
        <v>33314747</v>
      </c>
      <c r="J4346">
        <v>30271049</v>
      </c>
      <c r="K4346">
        <v>37454695</v>
      </c>
      <c r="L4346">
        <v>32038152</v>
      </c>
      <c r="P4346">
        <v>254</v>
      </c>
      <c r="Q4346" t="s">
        <v>9036</v>
      </c>
    </row>
    <row r="4347" spans="1:17" x14ac:dyDescent="0.3">
      <c r="A4347" t="s">
        <v>4664</v>
      </c>
      <c r="B4347" t="str">
        <f>"300594"</f>
        <v>300594</v>
      </c>
      <c r="C4347" t="s">
        <v>9037</v>
      </c>
      <c r="D4347" t="s">
        <v>1012</v>
      </c>
      <c r="F4347">
        <v>-9280745</v>
      </c>
      <c r="G4347">
        <v>63603629</v>
      </c>
      <c r="H4347">
        <v>60499783</v>
      </c>
      <c r="I4347">
        <v>49501831</v>
      </c>
      <c r="P4347">
        <v>72</v>
      </c>
      <c r="Q4347" t="s">
        <v>9038</v>
      </c>
    </row>
    <row r="4348" spans="1:17" x14ac:dyDescent="0.3">
      <c r="A4348" t="s">
        <v>4664</v>
      </c>
      <c r="B4348" t="str">
        <f>"300595"</f>
        <v>300595</v>
      </c>
      <c r="C4348" t="s">
        <v>9039</v>
      </c>
      <c r="D4348" t="s">
        <v>1077</v>
      </c>
      <c r="F4348">
        <v>442962945</v>
      </c>
      <c r="G4348">
        <v>277501108</v>
      </c>
      <c r="H4348">
        <v>229355640</v>
      </c>
      <c r="I4348">
        <v>165483283</v>
      </c>
      <c r="J4348">
        <v>112780266</v>
      </c>
      <c r="K4348">
        <v>87047477</v>
      </c>
      <c r="L4348">
        <v>65948748</v>
      </c>
      <c r="P4348">
        <v>4329</v>
      </c>
      <c r="Q4348" t="s">
        <v>9040</v>
      </c>
    </row>
    <row r="4349" spans="1:17" x14ac:dyDescent="0.3">
      <c r="A4349" t="s">
        <v>4664</v>
      </c>
      <c r="B4349" t="str">
        <f>"300596"</f>
        <v>300596</v>
      </c>
      <c r="C4349" t="s">
        <v>9041</v>
      </c>
      <c r="D4349" t="s">
        <v>1192</v>
      </c>
      <c r="F4349">
        <v>299752875</v>
      </c>
      <c r="G4349">
        <v>213331422</v>
      </c>
      <c r="H4349">
        <v>218969915</v>
      </c>
      <c r="I4349">
        <v>148104738</v>
      </c>
      <c r="J4349">
        <v>93392335</v>
      </c>
      <c r="K4349">
        <v>73456801</v>
      </c>
      <c r="L4349">
        <v>56940362</v>
      </c>
      <c r="P4349">
        <v>391</v>
      </c>
      <c r="Q4349" t="s">
        <v>9042</v>
      </c>
    </row>
    <row r="4350" spans="1:17" x14ac:dyDescent="0.3">
      <c r="A4350" t="s">
        <v>4664</v>
      </c>
      <c r="B4350" t="str">
        <f>"300597"</f>
        <v>300597</v>
      </c>
      <c r="C4350" t="s">
        <v>9043</v>
      </c>
      <c r="D4350" t="s">
        <v>654</v>
      </c>
      <c r="F4350">
        <v>18912244</v>
      </c>
      <c r="G4350">
        <v>16107433</v>
      </c>
      <c r="H4350">
        <v>18696788</v>
      </c>
      <c r="I4350">
        <v>24334668</v>
      </c>
      <c r="J4350">
        <v>33883653</v>
      </c>
      <c r="K4350">
        <v>36204798</v>
      </c>
      <c r="L4350">
        <v>35741048</v>
      </c>
      <c r="P4350">
        <v>110</v>
      </c>
      <c r="Q4350" t="s">
        <v>9044</v>
      </c>
    </row>
    <row r="4351" spans="1:17" x14ac:dyDescent="0.3">
      <c r="A4351" t="s">
        <v>4664</v>
      </c>
      <c r="B4351" t="str">
        <f>"300598"</f>
        <v>300598</v>
      </c>
      <c r="C4351" t="s">
        <v>9045</v>
      </c>
      <c r="D4351" t="s">
        <v>945</v>
      </c>
      <c r="F4351">
        <v>-17046612</v>
      </c>
      <c r="G4351">
        <v>-12700545</v>
      </c>
      <c r="H4351">
        <v>5696867</v>
      </c>
      <c r="I4351">
        <v>9810721</v>
      </c>
      <c r="J4351">
        <v>23739384</v>
      </c>
      <c r="K4351">
        <v>32844967</v>
      </c>
      <c r="L4351">
        <v>30318203</v>
      </c>
      <c r="P4351">
        <v>319</v>
      </c>
      <c r="Q4351" t="s">
        <v>9046</v>
      </c>
    </row>
    <row r="4352" spans="1:17" x14ac:dyDescent="0.3">
      <c r="A4352" t="s">
        <v>4664</v>
      </c>
      <c r="B4352" t="str">
        <f>"300599"</f>
        <v>300599</v>
      </c>
      <c r="C4352" t="s">
        <v>9047</v>
      </c>
      <c r="D4352" t="s">
        <v>3320</v>
      </c>
      <c r="F4352">
        <v>111828878</v>
      </c>
      <c r="G4352">
        <v>161173961</v>
      </c>
      <c r="H4352">
        <v>179453293</v>
      </c>
      <c r="I4352">
        <v>152238770</v>
      </c>
      <c r="J4352">
        <v>87630881</v>
      </c>
      <c r="K4352">
        <v>72377478</v>
      </c>
      <c r="L4352">
        <v>61378488</v>
      </c>
      <c r="P4352">
        <v>102</v>
      </c>
      <c r="Q4352" t="s">
        <v>9048</v>
      </c>
    </row>
    <row r="4353" spans="1:17" x14ac:dyDescent="0.3">
      <c r="A4353" t="s">
        <v>4664</v>
      </c>
      <c r="B4353" t="str">
        <f>"300600"</f>
        <v>300600</v>
      </c>
      <c r="C4353" t="s">
        <v>9049</v>
      </c>
      <c r="D4353" t="s">
        <v>167</v>
      </c>
      <c r="F4353">
        <v>-255485581</v>
      </c>
      <c r="G4353">
        <v>46455848</v>
      </c>
      <c r="H4353">
        <v>74188417</v>
      </c>
      <c r="I4353">
        <v>86506348</v>
      </c>
      <c r="J4353">
        <v>85439215</v>
      </c>
      <c r="K4353">
        <v>85928634</v>
      </c>
      <c r="L4353">
        <v>78264066</v>
      </c>
      <c r="P4353">
        <v>101</v>
      </c>
      <c r="Q4353" t="s">
        <v>9050</v>
      </c>
    </row>
    <row r="4354" spans="1:17" x14ac:dyDescent="0.3">
      <c r="A4354" t="s">
        <v>4664</v>
      </c>
      <c r="B4354" t="str">
        <f>"300601"</f>
        <v>300601</v>
      </c>
      <c r="C4354" t="s">
        <v>9051</v>
      </c>
      <c r="D4354" t="s">
        <v>1499</v>
      </c>
      <c r="F4354">
        <v>1036212702</v>
      </c>
      <c r="G4354">
        <v>433332060</v>
      </c>
      <c r="H4354">
        <v>430844798</v>
      </c>
      <c r="I4354">
        <v>376198399</v>
      </c>
      <c r="J4354">
        <v>156360462</v>
      </c>
      <c r="K4354">
        <v>74402419</v>
      </c>
      <c r="L4354">
        <v>51377494</v>
      </c>
      <c r="P4354">
        <v>1384</v>
      </c>
      <c r="Q4354" t="s">
        <v>9052</v>
      </c>
    </row>
    <row r="4355" spans="1:17" x14ac:dyDescent="0.3">
      <c r="A4355" t="s">
        <v>4664</v>
      </c>
      <c r="B4355" t="str">
        <f>"300602"</f>
        <v>300602</v>
      </c>
      <c r="C4355" t="s">
        <v>9053</v>
      </c>
      <c r="D4355" t="s">
        <v>313</v>
      </c>
      <c r="F4355">
        <v>142619507</v>
      </c>
      <c r="G4355">
        <v>223403488</v>
      </c>
      <c r="H4355">
        <v>259409037</v>
      </c>
      <c r="I4355">
        <v>120608527</v>
      </c>
      <c r="J4355">
        <v>70343475</v>
      </c>
      <c r="K4355">
        <v>75811843</v>
      </c>
      <c r="L4355">
        <v>66623253</v>
      </c>
      <c r="P4355">
        <v>597</v>
      </c>
      <c r="Q4355" t="s">
        <v>9054</v>
      </c>
    </row>
    <row r="4356" spans="1:17" x14ac:dyDescent="0.3">
      <c r="A4356" t="s">
        <v>4664</v>
      </c>
      <c r="B4356" t="str">
        <f>"300603"</f>
        <v>300603</v>
      </c>
      <c r="C4356" t="s">
        <v>9055</v>
      </c>
      <c r="D4356" t="s">
        <v>5597</v>
      </c>
      <c r="F4356">
        <v>-62206038</v>
      </c>
      <c r="G4356">
        <v>10655998</v>
      </c>
      <c r="H4356">
        <v>94213410</v>
      </c>
      <c r="I4356">
        <v>36317446</v>
      </c>
      <c r="J4356">
        <v>58827081</v>
      </c>
      <c r="K4356">
        <v>16378896</v>
      </c>
      <c r="L4356">
        <v>25994848</v>
      </c>
      <c r="P4356">
        <v>196</v>
      </c>
      <c r="Q4356" t="s">
        <v>9056</v>
      </c>
    </row>
    <row r="4357" spans="1:17" x14ac:dyDescent="0.3">
      <c r="A4357" t="s">
        <v>4664</v>
      </c>
      <c r="B4357" t="str">
        <f>"300604"</f>
        <v>300604</v>
      </c>
      <c r="C4357" t="s">
        <v>9057</v>
      </c>
      <c r="D4357" t="s">
        <v>3160</v>
      </c>
      <c r="F4357">
        <v>129503889</v>
      </c>
      <c r="G4357">
        <v>35441164</v>
      </c>
      <c r="H4357">
        <v>1320553</v>
      </c>
      <c r="I4357">
        <v>32233063</v>
      </c>
      <c r="J4357">
        <v>25316080</v>
      </c>
      <c r="K4357">
        <v>14162332</v>
      </c>
      <c r="P4357">
        <v>370</v>
      </c>
      <c r="Q4357" t="s">
        <v>9058</v>
      </c>
    </row>
    <row r="4358" spans="1:17" x14ac:dyDescent="0.3">
      <c r="A4358" t="s">
        <v>4664</v>
      </c>
      <c r="B4358" t="str">
        <f>"300605"</f>
        <v>300605</v>
      </c>
      <c r="C4358" t="s">
        <v>9059</v>
      </c>
      <c r="D4358" t="s">
        <v>945</v>
      </c>
      <c r="F4358">
        <v>42348383</v>
      </c>
      <c r="G4358">
        <v>38437029</v>
      </c>
      <c r="H4358">
        <v>35406859</v>
      </c>
      <c r="I4358">
        <v>30053853</v>
      </c>
      <c r="J4358">
        <v>28300142</v>
      </c>
      <c r="K4358">
        <v>23808843</v>
      </c>
      <c r="L4358">
        <v>25540333</v>
      </c>
      <c r="P4358">
        <v>93</v>
      </c>
      <c r="Q4358" t="s">
        <v>9060</v>
      </c>
    </row>
    <row r="4359" spans="1:17" x14ac:dyDescent="0.3">
      <c r="A4359" t="s">
        <v>4664</v>
      </c>
      <c r="B4359" t="str">
        <f>"300606"</f>
        <v>300606</v>
      </c>
      <c r="C4359" t="s">
        <v>9061</v>
      </c>
      <c r="D4359" t="s">
        <v>404</v>
      </c>
      <c r="F4359">
        <v>29110102</v>
      </c>
      <c r="G4359">
        <v>53005370</v>
      </c>
      <c r="H4359">
        <v>37302342</v>
      </c>
      <c r="I4359">
        <v>42978136</v>
      </c>
      <c r="J4359">
        <v>43000667</v>
      </c>
      <c r="K4359">
        <v>27045899</v>
      </c>
      <c r="L4359">
        <v>22945442</v>
      </c>
      <c r="P4359">
        <v>92</v>
      </c>
      <c r="Q4359" t="s">
        <v>9062</v>
      </c>
    </row>
    <row r="4360" spans="1:17" x14ac:dyDescent="0.3">
      <c r="A4360" t="s">
        <v>4664</v>
      </c>
      <c r="B4360" t="str">
        <f>"300607"</f>
        <v>300607</v>
      </c>
      <c r="C4360" t="s">
        <v>9063</v>
      </c>
      <c r="D4360" t="s">
        <v>2911</v>
      </c>
      <c r="F4360">
        <v>132476240</v>
      </c>
      <c r="G4360">
        <v>517788026</v>
      </c>
      <c r="H4360">
        <v>143161213</v>
      </c>
      <c r="I4360">
        <v>128855212</v>
      </c>
      <c r="J4360">
        <v>103674430</v>
      </c>
      <c r="K4360">
        <v>47000213</v>
      </c>
      <c r="L4360">
        <v>37492941</v>
      </c>
      <c r="P4360">
        <v>1388</v>
      </c>
      <c r="Q4360" t="s">
        <v>9064</v>
      </c>
    </row>
    <row r="4361" spans="1:17" x14ac:dyDescent="0.3">
      <c r="A4361" t="s">
        <v>4664</v>
      </c>
      <c r="B4361" t="str">
        <f>"300608"</f>
        <v>300608</v>
      </c>
      <c r="C4361" t="s">
        <v>9065</v>
      </c>
      <c r="D4361" t="s">
        <v>945</v>
      </c>
      <c r="F4361">
        <v>-26621295</v>
      </c>
      <c r="G4361">
        <v>-22418632</v>
      </c>
      <c r="H4361">
        <v>3590196</v>
      </c>
      <c r="I4361">
        <v>3154422</v>
      </c>
      <c r="J4361">
        <v>6980816</v>
      </c>
      <c r="K4361">
        <v>-4988482</v>
      </c>
      <c r="L4361">
        <v>-39517632</v>
      </c>
      <c r="P4361">
        <v>217</v>
      </c>
      <c r="Q4361" t="s">
        <v>9066</v>
      </c>
    </row>
    <row r="4362" spans="1:17" x14ac:dyDescent="0.3">
      <c r="A4362" t="s">
        <v>4664</v>
      </c>
      <c r="B4362" t="str">
        <f>"300609"</f>
        <v>300609</v>
      </c>
      <c r="C4362" t="s">
        <v>9067</v>
      </c>
      <c r="D4362" t="s">
        <v>316</v>
      </c>
      <c r="F4362">
        <v>24369240</v>
      </c>
      <c r="G4362">
        <v>-14981307</v>
      </c>
      <c r="H4362">
        <v>50440535</v>
      </c>
      <c r="I4362">
        <v>39318246</v>
      </c>
      <c r="J4362">
        <v>33003577</v>
      </c>
      <c r="K4362">
        <v>18581348</v>
      </c>
      <c r="L4362">
        <v>9925583</v>
      </c>
      <c r="P4362">
        <v>155</v>
      </c>
      <c r="Q4362" t="s">
        <v>9068</v>
      </c>
    </row>
    <row r="4363" spans="1:17" x14ac:dyDescent="0.3">
      <c r="A4363" t="s">
        <v>4664</v>
      </c>
      <c r="B4363" t="str">
        <f>"300610"</f>
        <v>300610</v>
      </c>
      <c r="C4363" t="s">
        <v>9069</v>
      </c>
      <c r="D4363" t="s">
        <v>1192</v>
      </c>
      <c r="F4363">
        <v>123122791</v>
      </c>
      <c r="G4363">
        <v>95894837</v>
      </c>
      <c r="H4363">
        <v>67282876</v>
      </c>
      <c r="I4363">
        <v>63883622</v>
      </c>
      <c r="J4363">
        <v>62019528</v>
      </c>
      <c r="K4363">
        <v>45522006</v>
      </c>
      <c r="L4363">
        <v>34026037</v>
      </c>
      <c r="P4363">
        <v>129</v>
      </c>
      <c r="Q4363" t="s">
        <v>9070</v>
      </c>
    </row>
    <row r="4364" spans="1:17" x14ac:dyDescent="0.3">
      <c r="A4364" t="s">
        <v>4664</v>
      </c>
      <c r="B4364" t="str">
        <f>"300611"</f>
        <v>300611</v>
      </c>
      <c r="C4364" t="s">
        <v>9071</v>
      </c>
      <c r="D4364" t="s">
        <v>348</v>
      </c>
      <c r="F4364">
        <v>28190078</v>
      </c>
      <c r="G4364">
        <v>31382717</v>
      </c>
      <c r="H4364">
        <v>23514922</v>
      </c>
      <c r="I4364">
        <v>26554954</v>
      </c>
      <c r="J4364">
        <v>32866870</v>
      </c>
      <c r="K4364">
        <v>32381193</v>
      </c>
      <c r="L4364">
        <v>31111527</v>
      </c>
      <c r="P4364">
        <v>97</v>
      </c>
      <c r="Q4364" t="s">
        <v>9072</v>
      </c>
    </row>
    <row r="4365" spans="1:17" x14ac:dyDescent="0.3">
      <c r="A4365" t="s">
        <v>4664</v>
      </c>
      <c r="B4365" t="str">
        <f>"300612"</f>
        <v>300612</v>
      </c>
      <c r="C4365" t="s">
        <v>9073</v>
      </c>
      <c r="D4365" t="s">
        <v>207</v>
      </c>
      <c r="F4365">
        <v>-16031592</v>
      </c>
      <c r="G4365">
        <v>-11206599</v>
      </c>
      <c r="H4365">
        <v>-5910178</v>
      </c>
      <c r="I4365">
        <v>7517939</v>
      </c>
      <c r="J4365">
        <v>35378767</v>
      </c>
      <c r="K4365">
        <v>27675993</v>
      </c>
      <c r="L4365">
        <v>21417770</v>
      </c>
      <c r="P4365">
        <v>84</v>
      </c>
      <c r="Q4365" t="s">
        <v>9074</v>
      </c>
    </row>
    <row r="4366" spans="1:17" x14ac:dyDescent="0.3">
      <c r="A4366" t="s">
        <v>4664</v>
      </c>
      <c r="B4366" t="str">
        <f>"300613"</f>
        <v>300613</v>
      </c>
      <c r="C4366" t="s">
        <v>9075</v>
      </c>
      <c r="D4366" t="s">
        <v>461</v>
      </c>
      <c r="F4366">
        <v>269187163</v>
      </c>
      <c r="G4366">
        <v>41137109</v>
      </c>
      <c r="H4366">
        <v>76967446</v>
      </c>
      <c r="I4366">
        <v>48493295</v>
      </c>
      <c r="J4366">
        <v>80820164</v>
      </c>
      <c r="K4366">
        <v>94038831</v>
      </c>
      <c r="P4366">
        <v>355</v>
      </c>
      <c r="Q4366" t="s">
        <v>9076</v>
      </c>
    </row>
    <row r="4367" spans="1:17" x14ac:dyDescent="0.3">
      <c r="A4367" t="s">
        <v>4664</v>
      </c>
      <c r="B4367" t="str">
        <f>"300614"</f>
        <v>300614</v>
      </c>
      <c r="C4367" t="s">
        <v>9077</v>
      </c>
      <c r="D4367" t="s">
        <v>499</v>
      </c>
      <c r="F4367">
        <v>96111998</v>
      </c>
      <c r="G4367">
        <v>102866547</v>
      </c>
      <c r="P4367">
        <v>41</v>
      </c>
      <c r="Q4367" t="s">
        <v>9078</v>
      </c>
    </row>
    <row r="4368" spans="1:17" x14ac:dyDescent="0.3">
      <c r="A4368" t="s">
        <v>4664</v>
      </c>
      <c r="B4368" t="str">
        <f>"300615"</f>
        <v>300615</v>
      </c>
      <c r="C4368" t="s">
        <v>9079</v>
      </c>
      <c r="D4368" t="s">
        <v>786</v>
      </c>
      <c r="F4368">
        <v>11094825</v>
      </c>
      <c r="G4368">
        <v>8141614</v>
      </c>
      <c r="H4368">
        <v>14370306</v>
      </c>
      <c r="I4368">
        <v>18706021</v>
      </c>
      <c r="J4368">
        <v>21070325</v>
      </c>
      <c r="K4368">
        <v>44445318</v>
      </c>
      <c r="L4368">
        <v>41648905</v>
      </c>
      <c r="P4368">
        <v>156</v>
      </c>
      <c r="Q4368" t="s">
        <v>9080</v>
      </c>
    </row>
    <row r="4369" spans="1:17" x14ac:dyDescent="0.3">
      <c r="A4369" t="s">
        <v>4664</v>
      </c>
      <c r="B4369" t="str">
        <f>"300616"</f>
        <v>300616</v>
      </c>
      <c r="C4369" t="s">
        <v>9081</v>
      </c>
      <c r="D4369" t="s">
        <v>2647</v>
      </c>
      <c r="F4369">
        <v>87043963</v>
      </c>
      <c r="G4369">
        <v>57704612</v>
      </c>
      <c r="H4369">
        <v>335172525</v>
      </c>
      <c r="I4369">
        <v>292772639</v>
      </c>
      <c r="J4369">
        <v>205771653</v>
      </c>
      <c r="K4369">
        <v>118383567</v>
      </c>
      <c r="P4369">
        <v>694</v>
      </c>
      <c r="Q4369" t="s">
        <v>9082</v>
      </c>
    </row>
    <row r="4370" spans="1:17" x14ac:dyDescent="0.3">
      <c r="A4370" t="s">
        <v>4664</v>
      </c>
      <c r="B4370" t="str">
        <f>"300617"</f>
        <v>300617</v>
      </c>
      <c r="C4370" t="s">
        <v>9083</v>
      </c>
      <c r="D4370" t="s">
        <v>1164</v>
      </c>
      <c r="F4370">
        <v>158068136</v>
      </c>
      <c r="G4370">
        <v>127169209</v>
      </c>
      <c r="H4370">
        <v>45993387</v>
      </c>
      <c r="I4370">
        <v>60093707</v>
      </c>
      <c r="J4370">
        <v>53256919</v>
      </c>
      <c r="K4370">
        <v>48419414</v>
      </c>
      <c r="P4370">
        <v>148</v>
      </c>
      <c r="Q4370" t="s">
        <v>9084</v>
      </c>
    </row>
    <row r="4371" spans="1:17" x14ac:dyDescent="0.3">
      <c r="A4371" t="s">
        <v>4664</v>
      </c>
      <c r="B4371" t="str">
        <f>"300618"</f>
        <v>300618</v>
      </c>
      <c r="C4371" t="s">
        <v>9085</v>
      </c>
      <c r="D4371" t="s">
        <v>1440</v>
      </c>
      <c r="F4371">
        <v>486224520</v>
      </c>
      <c r="G4371">
        <v>162089811</v>
      </c>
      <c r="H4371">
        <v>-40298543</v>
      </c>
      <c r="I4371">
        <v>701333668</v>
      </c>
      <c r="J4371">
        <v>311787654</v>
      </c>
      <c r="K4371">
        <v>39235362</v>
      </c>
      <c r="P4371">
        <v>574</v>
      </c>
      <c r="Q4371" t="s">
        <v>9086</v>
      </c>
    </row>
    <row r="4372" spans="1:17" x14ac:dyDescent="0.3">
      <c r="A4372" t="s">
        <v>4664</v>
      </c>
      <c r="B4372" t="str">
        <f>"300619"</f>
        <v>300619</v>
      </c>
      <c r="C4372" t="s">
        <v>9087</v>
      </c>
      <c r="D4372" t="s">
        <v>3749</v>
      </c>
      <c r="F4372">
        <v>19238532</v>
      </c>
      <c r="G4372">
        <v>2401148</v>
      </c>
      <c r="H4372">
        <v>37925396</v>
      </c>
      <c r="I4372">
        <v>39673905</v>
      </c>
      <c r="J4372">
        <v>39536627</v>
      </c>
      <c r="K4372">
        <v>20733132</v>
      </c>
      <c r="P4372">
        <v>94</v>
      </c>
      <c r="Q4372" t="s">
        <v>9088</v>
      </c>
    </row>
    <row r="4373" spans="1:17" x14ac:dyDescent="0.3">
      <c r="A4373" t="s">
        <v>4664</v>
      </c>
      <c r="B4373" t="str">
        <f>"300620"</f>
        <v>300620</v>
      </c>
      <c r="C4373" t="s">
        <v>9089</v>
      </c>
      <c r="D4373" t="s">
        <v>1019</v>
      </c>
      <c r="F4373">
        <v>97542619</v>
      </c>
      <c r="G4373">
        <v>43751909</v>
      </c>
      <c r="H4373">
        <v>48541125</v>
      </c>
      <c r="I4373">
        <v>69134394</v>
      </c>
      <c r="J4373">
        <v>41990881</v>
      </c>
      <c r="K4373">
        <v>31566630</v>
      </c>
      <c r="P4373">
        <v>245</v>
      </c>
      <c r="Q4373" t="s">
        <v>9090</v>
      </c>
    </row>
    <row r="4374" spans="1:17" x14ac:dyDescent="0.3">
      <c r="A4374" t="s">
        <v>4664</v>
      </c>
      <c r="B4374" t="str">
        <f>"300621"</f>
        <v>300621</v>
      </c>
      <c r="C4374" t="s">
        <v>9091</v>
      </c>
      <c r="D4374" t="s">
        <v>450</v>
      </c>
      <c r="F4374">
        <v>33867165</v>
      </c>
      <c r="G4374">
        <v>17780129</v>
      </c>
      <c r="H4374">
        <v>77248248</v>
      </c>
      <c r="I4374">
        <v>74961965</v>
      </c>
      <c r="J4374">
        <v>57666287</v>
      </c>
      <c r="K4374">
        <v>39422514</v>
      </c>
      <c r="P4374">
        <v>56</v>
      </c>
      <c r="Q4374" t="s">
        <v>9092</v>
      </c>
    </row>
    <row r="4375" spans="1:17" x14ac:dyDescent="0.3">
      <c r="A4375" t="s">
        <v>4664</v>
      </c>
      <c r="B4375" t="str">
        <f>"300622"</f>
        <v>300622</v>
      </c>
      <c r="C4375" t="s">
        <v>9093</v>
      </c>
      <c r="D4375" t="s">
        <v>295</v>
      </c>
      <c r="F4375">
        <v>65058586</v>
      </c>
      <c r="G4375">
        <v>26567219</v>
      </c>
      <c r="H4375">
        <v>41338424</v>
      </c>
      <c r="I4375">
        <v>44270481</v>
      </c>
      <c r="J4375">
        <v>37716739</v>
      </c>
      <c r="K4375">
        <v>26718499</v>
      </c>
      <c r="P4375">
        <v>123</v>
      </c>
      <c r="Q4375" t="s">
        <v>9094</v>
      </c>
    </row>
    <row r="4376" spans="1:17" x14ac:dyDescent="0.3">
      <c r="A4376" t="s">
        <v>4664</v>
      </c>
      <c r="B4376" t="str">
        <f>"300623"</f>
        <v>300623</v>
      </c>
      <c r="C4376" t="s">
        <v>9095</v>
      </c>
      <c r="D4376" t="s">
        <v>795</v>
      </c>
      <c r="F4376">
        <v>388937006</v>
      </c>
      <c r="G4376">
        <v>193695986</v>
      </c>
      <c r="H4376">
        <v>135597550</v>
      </c>
      <c r="I4376">
        <v>132423920</v>
      </c>
      <c r="J4376">
        <v>112611529</v>
      </c>
      <c r="K4376">
        <v>88366842</v>
      </c>
      <c r="P4376">
        <v>664</v>
      </c>
      <c r="Q4376" t="s">
        <v>9096</v>
      </c>
    </row>
    <row r="4377" spans="1:17" x14ac:dyDescent="0.3">
      <c r="A4377" t="s">
        <v>4664</v>
      </c>
      <c r="B4377" t="str">
        <f>"300624"</f>
        <v>300624</v>
      </c>
      <c r="C4377" t="s">
        <v>9097</v>
      </c>
      <c r="D4377" t="s">
        <v>1189</v>
      </c>
      <c r="F4377">
        <v>21885571</v>
      </c>
      <c r="G4377">
        <v>132520901</v>
      </c>
      <c r="H4377">
        <v>90694907</v>
      </c>
      <c r="I4377">
        <v>72389424</v>
      </c>
      <c r="J4377">
        <v>52531700</v>
      </c>
      <c r="K4377">
        <v>45980600</v>
      </c>
      <c r="P4377">
        <v>332</v>
      </c>
      <c r="Q4377" t="s">
        <v>9098</v>
      </c>
    </row>
    <row r="4378" spans="1:17" x14ac:dyDescent="0.3">
      <c r="A4378" t="s">
        <v>4664</v>
      </c>
      <c r="B4378" t="str">
        <f>"300625"</f>
        <v>300625</v>
      </c>
      <c r="C4378" t="s">
        <v>9099</v>
      </c>
      <c r="D4378" t="s">
        <v>598</v>
      </c>
      <c r="F4378">
        <v>145013344</v>
      </c>
      <c r="G4378">
        <v>160442463</v>
      </c>
      <c r="H4378">
        <v>154726174</v>
      </c>
      <c r="I4378">
        <v>129764344</v>
      </c>
      <c r="J4378">
        <v>172192776</v>
      </c>
      <c r="K4378">
        <v>146600352</v>
      </c>
      <c r="P4378">
        <v>137</v>
      </c>
      <c r="Q4378" t="s">
        <v>9100</v>
      </c>
    </row>
    <row r="4379" spans="1:17" x14ac:dyDescent="0.3">
      <c r="A4379" t="s">
        <v>4664</v>
      </c>
      <c r="B4379" t="str">
        <f>"300626"</f>
        <v>300626</v>
      </c>
      <c r="C4379" t="s">
        <v>9101</v>
      </c>
      <c r="D4379" t="s">
        <v>1171</v>
      </c>
      <c r="F4379">
        <v>25329234</v>
      </c>
      <c r="G4379">
        <v>12277857</v>
      </c>
      <c r="H4379">
        <v>18510307</v>
      </c>
      <c r="I4379">
        <v>34435624</v>
      </c>
      <c r="J4379">
        <v>42126191</v>
      </c>
      <c r="K4379">
        <v>23513020</v>
      </c>
      <c r="P4379">
        <v>55</v>
      </c>
      <c r="Q4379" t="s">
        <v>9102</v>
      </c>
    </row>
    <row r="4380" spans="1:17" x14ac:dyDescent="0.3">
      <c r="A4380" t="s">
        <v>4664</v>
      </c>
      <c r="B4380" t="str">
        <f>"300627"</f>
        <v>300627</v>
      </c>
      <c r="C4380" t="s">
        <v>9103</v>
      </c>
      <c r="D4380" t="s">
        <v>786</v>
      </c>
      <c r="F4380">
        <v>177302808</v>
      </c>
      <c r="G4380">
        <v>109548688</v>
      </c>
      <c r="H4380">
        <v>70107564</v>
      </c>
      <c r="I4380">
        <v>65564964</v>
      </c>
      <c r="J4380">
        <v>64071421</v>
      </c>
      <c r="K4380">
        <v>48128134</v>
      </c>
      <c r="P4380">
        <v>295</v>
      </c>
      <c r="Q4380" t="s">
        <v>9104</v>
      </c>
    </row>
    <row r="4381" spans="1:17" x14ac:dyDescent="0.3">
      <c r="A4381" t="s">
        <v>4664</v>
      </c>
      <c r="B4381" t="str">
        <f>"300628"</f>
        <v>300628</v>
      </c>
      <c r="C4381" t="s">
        <v>9105</v>
      </c>
      <c r="D4381" t="s">
        <v>786</v>
      </c>
      <c r="F4381">
        <v>1218127455</v>
      </c>
      <c r="G4381">
        <v>1007749914</v>
      </c>
      <c r="H4381">
        <v>982855632</v>
      </c>
      <c r="I4381">
        <v>663605664</v>
      </c>
      <c r="J4381">
        <v>477559734</v>
      </c>
      <c r="K4381">
        <v>299871359</v>
      </c>
      <c r="P4381">
        <v>2263</v>
      </c>
      <c r="Q4381" t="s">
        <v>9106</v>
      </c>
    </row>
    <row r="4382" spans="1:17" x14ac:dyDescent="0.3">
      <c r="A4382" t="s">
        <v>4664</v>
      </c>
      <c r="B4382" t="str">
        <f>"300629"</f>
        <v>300629</v>
      </c>
      <c r="C4382" t="s">
        <v>9107</v>
      </c>
      <c r="D4382" t="s">
        <v>404</v>
      </c>
      <c r="F4382">
        <v>73395827</v>
      </c>
      <c r="G4382">
        <v>39068984</v>
      </c>
      <c r="H4382">
        <v>-12368526</v>
      </c>
      <c r="I4382">
        <v>12081146</v>
      </c>
      <c r="J4382">
        <v>13212622</v>
      </c>
      <c r="K4382">
        <v>13403720</v>
      </c>
      <c r="P4382">
        <v>65</v>
      </c>
      <c r="Q4382" t="s">
        <v>9108</v>
      </c>
    </row>
    <row r="4383" spans="1:17" x14ac:dyDescent="0.3">
      <c r="A4383" t="s">
        <v>4664</v>
      </c>
      <c r="B4383" t="str">
        <f>"300630"</f>
        <v>300630</v>
      </c>
      <c r="C4383" t="s">
        <v>9109</v>
      </c>
      <c r="D4383" t="s">
        <v>143</v>
      </c>
      <c r="F4383">
        <v>390176301</v>
      </c>
      <c r="G4383">
        <v>284946032</v>
      </c>
      <c r="H4383">
        <v>206030167</v>
      </c>
      <c r="I4383">
        <v>121157505</v>
      </c>
      <c r="J4383">
        <v>60522372</v>
      </c>
      <c r="K4383">
        <v>41471955</v>
      </c>
      <c r="P4383">
        <v>1260</v>
      </c>
      <c r="Q4383" t="s">
        <v>9110</v>
      </c>
    </row>
    <row r="4384" spans="1:17" x14ac:dyDescent="0.3">
      <c r="A4384" t="s">
        <v>4664</v>
      </c>
      <c r="B4384" t="str">
        <f>"300631"</f>
        <v>300631</v>
      </c>
      <c r="C4384" t="s">
        <v>9111</v>
      </c>
      <c r="D4384" t="s">
        <v>1070</v>
      </c>
      <c r="F4384">
        <v>20458644</v>
      </c>
      <c r="G4384">
        <v>32986380</v>
      </c>
      <c r="H4384">
        <v>32252451</v>
      </c>
      <c r="I4384">
        <v>31361140</v>
      </c>
      <c r="J4384">
        <v>25671285</v>
      </c>
      <c r="K4384">
        <v>29847435</v>
      </c>
      <c r="P4384">
        <v>135</v>
      </c>
      <c r="Q4384" t="s">
        <v>9112</v>
      </c>
    </row>
    <row r="4385" spans="1:17" x14ac:dyDescent="0.3">
      <c r="A4385" t="s">
        <v>4664</v>
      </c>
      <c r="B4385" t="str">
        <f>"300632"</f>
        <v>300632</v>
      </c>
      <c r="C4385" t="s">
        <v>9113</v>
      </c>
      <c r="D4385" t="s">
        <v>803</v>
      </c>
      <c r="F4385">
        <v>101472774</v>
      </c>
      <c r="G4385">
        <v>107262267</v>
      </c>
      <c r="H4385">
        <v>138962782</v>
      </c>
      <c r="I4385">
        <v>71303994</v>
      </c>
      <c r="J4385">
        <v>44310442</v>
      </c>
      <c r="K4385">
        <v>30110498</v>
      </c>
      <c r="P4385">
        <v>201</v>
      </c>
      <c r="Q4385" t="s">
        <v>9114</v>
      </c>
    </row>
    <row r="4386" spans="1:17" x14ac:dyDescent="0.3">
      <c r="A4386" t="s">
        <v>4664</v>
      </c>
      <c r="B4386" t="str">
        <f>"300633"</f>
        <v>300633</v>
      </c>
      <c r="C4386" t="s">
        <v>9115</v>
      </c>
      <c r="D4386" t="s">
        <v>122</v>
      </c>
      <c r="F4386">
        <v>139359648</v>
      </c>
      <c r="G4386">
        <v>26863087</v>
      </c>
      <c r="H4386">
        <v>63537582</v>
      </c>
      <c r="I4386">
        <v>170402651</v>
      </c>
      <c r="J4386">
        <v>114842604</v>
      </c>
      <c r="K4386">
        <v>53020683</v>
      </c>
      <c r="P4386">
        <v>515</v>
      </c>
      <c r="Q4386" t="s">
        <v>9116</v>
      </c>
    </row>
    <row r="4387" spans="1:17" x14ac:dyDescent="0.3">
      <c r="A4387" t="s">
        <v>4664</v>
      </c>
      <c r="B4387" t="str">
        <f>"300634"</f>
        <v>300634</v>
      </c>
      <c r="C4387" t="s">
        <v>9117</v>
      </c>
      <c r="D4387" t="s">
        <v>316</v>
      </c>
      <c r="F4387">
        <v>104193707</v>
      </c>
      <c r="G4387">
        <v>87028423</v>
      </c>
      <c r="H4387">
        <v>89524975</v>
      </c>
      <c r="I4387">
        <v>82299135</v>
      </c>
      <c r="J4387">
        <v>63048502</v>
      </c>
      <c r="P4387">
        <v>159</v>
      </c>
      <c r="Q4387" t="s">
        <v>9118</v>
      </c>
    </row>
    <row r="4388" spans="1:17" x14ac:dyDescent="0.3">
      <c r="A4388" t="s">
        <v>4664</v>
      </c>
      <c r="B4388" t="str">
        <f>"300635"</f>
        <v>300635</v>
      </c>
      <c r="C4388" t="s">
        <v>9119</v>
      </c>
      <c r="D4388" t="s">
        <v>1272</v>
      </c>
      <c r="F4388">
        <v>31270509</v>
      </c>
      <c r="G4388">
        <v>30299219</v>
      </c>
      <c r="H4388">
        <v>41640389</v>
      </c>
      <c r="I4388">
        <v>40686125</v>
      </c>
      <c r="J4388">
        <v>40525065</v>
      </c>
      <c r="K4388">
        <v>44301101</v>
      </c>
      <c r="P4388">
        <v>113</v>
      </c>
      <c r="Q4388" t="s">
        <v>9120</v>
      </c>
    </row>
    <row r="4389" spans="1:17" x14ac:dyDescent="0.3">
      <c r="A4389" t="s">
        <v>4664</v>
      </c>
      <c r="B4389" t="str">
        <f>"300636"</f>
        <v>300636</v>
      </c>
      <c r="C4389" t="s">
        <v>9121</v>
      </c>
      <c r="D4389" t="s">
        <v>496</v>
      </c>
      <c r="F4389">
        <v>66546683</v>
      </c>
      <c r="G4389">
        <v>60498929</v>
      </c>
      <c r="H4389">
        <v>41881201</v>
      </c>
      <c r="I4389">
        <v>26217158</v>
      </c>
      <c r="J4389">
        <v>51579239</v>
      </c>
      <c r="K4389">
        <v>35504115</v>
      </c>
      <c r="P4389">
        <v>136</v>
      </c>
      <c r="Q4389" t="s">
        <v>9122</v>
      </c>
    </row>
    <row r="4390" spans="1:17" x14ac:dyDescent="0.3">
      <c r="A4390" t="s">
        <v>4664</v>
      </c>
      <c r="B4390" t="str">
        <f>"300637"</f>
        <v>300637</v>
      </c>
      <c r="C4390" t="s">
        <v>9123</v>
      </c>
      <c r="D4390" t="s">
        <v>2399</v>
      </c>
      <c r="F4390">
        <v>6995119</v>
      </c>
      <c r="G4390">
        <v>19298955</v>
      </c>
      <c r="H4390">
        <v>93479149</v>
      </c>
      <c r="I4390">
        <v>107219323</v>
      </c>
      <c r="J4390">
        <v>47956361</v>
      </c>
      <c r="K4390">
        <v>46084428</v>
      </c>
      <c r="P4390">
        <v>117</v>
      </c>
      <c r="Q4390" t="s">
        <v>9124</v>
      </c>
    </row>
    <row r="4391" spans="1:17" x14ac:dyDescent="0.3">
      <c r="A4391" t="s">
        <v>4664</v>
      </c>
      <c r="B4391" t="str">
        <f>"300638"</f>
        <v>300638</v>
      </c>
      <c r="C4391" t="s">
        <v>9125</v>
      </c>
      <c r="D4391" t="s">
        <v>786</v>
      </c>
      <c r="F4391">
        <v>323199411</v>
      </c>
      <c r="G4391">
        <v>223746791</v>
      </c>
      <c r="H4391">
        <v>120520391</v>
      </c>
      <c r="I4391">
        <v>57773484</v>
      </c>
      <c r="J4391">
        <v>25127640</v>
      </c>
      <c r="K4391">
        <v>19174491</v>
      </c>
      <c r="P4391">
        <v>757</v>
      </c>
      <c r="Q4391" t="s">
        <v>9126</v>
      </c>
    </row>
    <row r="4392" spans="1:17" x14ac:dyDescent="0.3">
      <c r="A4392" t="s">
        <v>4664</v>
      </c>
      <c r="B4392" t="str">
        <f>"300639"</f>
        <v>300639</v>
      </c>
      <c r="C4392" t="s">
        <v>9127</v>
      </c>
      <c r="D4392" t="s">
        <v>1305</v>
      </c>
      <c r="F4392">
        <v>646922270</v>
      </c>
      <c r="G4392">
        <v>273293520</v>
      </c>
      <c r="H4392">
        <v>104996368</v>
      </c>
      <c r="I4392">
        <v>78518863</v>
      </c>
      <c r="J4392">
        <v>65179789</v>
      </c>
      <c r="K4392">
        <v>52665437</v>
      </c>
      <c r="P4392">
        <v>535</v>
      </c>
      <c r="Q4392" t="s">
        <v>9128</v>
      </c>
    </row>
    <row r="4393" spans="1:17" x14ac:dyDescent="0.3">
      <c r="A4393" t="s">
        <v>4664</v>
      </c>
      <c r="B4393" t="str">
        <f>"300640"</f>
        <v>300640</v>
      </c>
      <c r="C4393" t="s">
        <v>9129</v>
      </c>
      <c r="D4393" t="s">
        <v>2436</v>
      </c>
      <c r="F4393">
        <v>18844950</v>
      </c>
      <c r="G4393">
        <v>35750548</v>
      </c>
      <c r="H4393">
        <v>42042306</v>
      </c>
      <c r="I4393">
        <v>27866120</v>
      </c>
      <c r="J4393">
        <v>29367622</v>
      </c>
      <c r="K4393">
        <v>26431479</v>
      </c>
      <c r="P4393">
        <v>79</v>
      </c>
      <c r="Q4393" t="s">
        <v>9130</v>
      </c>
    </row>
    <row r="4394" spans="1:17" x14ac:dyDescent="0.3">
      <c r="A4394" t="s">
        <v>4664</v>
      </c>
      <c r="B4394" t="str">
        <f>"300641"</f>
        <v>300641</v>
      </c>
      <c r="C4394" t="s">
        <v>9131</v>
      </c>
      <c r="D4394" t="s">
        <v>386</v>
      </c>
      <c r="F4394">
        <v>81126585</v>
      </c>
      <c r="G4394">
        <v>25317129</v>
      </c>
      <c r="H4394">
        <v>35645286</v>
      </c>
      <c r="I4394">
        <v>64904422</v>
      </c>
      <c r="J4394">
        <v>96737355</v>
      </c>
      <c r="K4394">
        <v>107123554</v>
      </c>
      <c r="P4394">
        <v>79</v>
      </c>
      <c r="Q4394" t="s">
        <v>9132</v>
      </c>
    </row>
    <row r="4395" spans="1:17" x14ac:dyDescent="0.3">
      <c r="A4395" t="s">
        <v>4664</v>
      </c>
      <c r="B4395" t="str">
        <f>"300642"</f>
        <v>300642</v>
      </c>
      <c r="C4395" t="s">
        <v>9133</v>
      </c>
      <c r="D4395" t="s">
        <v>1305</v>
      </c>
      <c r="F4395">
        <v>105562566</v>
      </c>
      <c r="G4395">
        <v>33651881</v>
      </c>
      <c r="H4395">
        <v>98160312</v>
      </c>
      <c r="I4395">
        <v>91026360</v>
      </c>
      <c r="J4395">
        <v>77371256</v>
      </c>
      <c r="K4395">
        <v>62076367</v>
      </c>
      <c r="P4395">
        <v>417</v>
      </c>
      <c r="Q4395" t="s">
        <v>9134</v>
      </c>
    </row>
    <row r="4396" spans="1:17" x14ac:dyDescent="0.3">
      <c r="A4396" t="s">
        <v>4664</v>
      </c>
      <c r="B4396" t="str">
        <f>"300643"</f>
        <v>300643</v>
      </c>
      <c r="C4396" t="s">
        <v>9135</v>
      </c>
      <c r="D4396" t="s">
        <v>985</v>
      </c>
      <c r="F4396">
        <v>79807851</v>
      </c>
      <c r="G4396">
        <v>18921586</v>
      </c>
      <c r="H4396">
        <v>19674536</v>
      </c>
      <c r="I4396">
        <v>28536714</v>
      </c>
      <c r="J4396">
        <v>29326709</v>
      </c>
      <c r="K4396">
        <v>30267366</v>
      </c>
      <c r="P4396">
        <v>96</v>
      </c>
      <c r="Q4396" t="s">
        <v>9136</v>
      </c>
    </row>
    <row r="4397" spans="1:17" x14ac:dyDescent="0.3">
      <c r="A4397" t="s">
        <v>4664</v>
      </c>
      <c r="B4397" t="str">
        <f>"300644"</f>
        <v>300644</v>
      </c>
      <c r="C4397" t="s">
        <v>9137</v>
      </c>
      <c r="D4397" t="s">
        <v>341</v>
      </c>
      <c r="F4397">
        <v>30962923</v>
      </c>
      <c r="G4397">
        <v>50630080</v>
      </c>
      <c r="H4397">
        <v>17307684</v>
      </c>
      <c r="I4397">
        <v>14654311</v>
      </c>
      <c r="J4397">
        <v>32433296</v>
      </c>
      <c r="P4397">
        <v>133</v>
      </c>
      <c r="Q4397" t="s">
        <v>9138</v>
      </c>
    </row>
    <row r="4398" spans="1:17" x14ac:dyDescent="0.3">
      <c r="A4398" t="s">
        <v>4664</v>
      </c>
      <c r="B4398" t="str">
        <f>"300645"</f>
        <v>300645</v>
      </c>
      <c r="C4398" t="s">
        <v>9139</v>
      </c>
      <c r="D4398" t="s">
        <v>236</v>
      </c>
      <c r="F4398">
        <v>8332157</v>
      </c>
      <c r="G4398">
        <v>-1565021</v>
      </c>
      <c r="H4398">
        <v>6081057</v>
      </c>
      <c r="I4398">
        <v>4518269</v>
      </c>
      <c r="J4398">
        <v>1904949</v>
      </c>
      <c r="K4398">
        <v>-4086529</v>
      </c>
      <c r="P4398">
        <v>111</v>
      </c>
      <c r="Q4398" t="s">
        <v>9140</v>
      </c>
    </row>
    <row r="4399" spans="1:17" x14ac:dyDescent="0.3">
      <c r="A4399" t="s">
        <v>4664</v>
      </c>
      <c r="B4399" t="str">
        <f>"300647"</f>
        <v>300647</v>
      </c>
      <c r="C4399" t="s">
        <v>9141</v>
      </c>
      <c r="D4399" t="s">
        <v>313</v>
      </c>
      <c r="F4399">
        <v>-17535543</v>
      </c>
      <c r="G4399">
        <v>6263643</v>
      </c>
      <c r="H4399">
        <v>12084794</v>
      </c>
      <c r="I4399">
        <v>13848660</v>
      </c>
      <c r="J4399">
        <v>27999650</v>
      </c>
      <c r="K4399">
        <v>33496888</v>
      </c>
      <c r="P4399">
        <v>116</v>
      </c>
      <c r="Q4399" t="s">
        <v>9142</v>
      </c>
    </row>
    <row r="4400" spans="1:17" x14ac:dyDescent="0.3">
      <c r="A4400" t="s">
        <v>4664</v>
      </c>
      <c r="B4400" t="str">
        <f>"300648"</f>
        <v>300648</v>
      </c>
      <c r="C4400" t="s">
        <v>9143</v>
      </c>
      <c r="D4400" t="s">
        <v>3749</v>
      </c>
      <c r="F4400">
        <v>73326459</v>
      </c>
      <c r="G4400">
        <v>52412636</v>
      </c>
      <c r="H4400">
        <v>6353799</v>
      </c>
      <c r="I4400">
        <v>24532059</v>
      </c>
      <c r="J4400">
        <v>43688974</v>
      </c>
      <c r="K4400">
        <v>27909134</v>
      </c>
      <c r="P4400">
        <v>266</v>
      </c>
      <c r="Q4400" t="s">
        <v>9144</v>
      </c>
    </row>
    <row r="4401" spans="1:17" x14ac:dyDescent="0.3">
      <c r="A4401" t="s">
        <v>4664</v>
      </c>
      <c r="B4401" t="str">
        <f>"300649"</f>
        <v>300649</v>
      </c>
      <c r="C4401" t="s">
        <v>9145</v>
      </c>
      <c r="D4401" t="s">
        <v>2408</v>
      </c>
      <c r="F4401">
        <v>36222337</v>
      </c>
      <c r="G4401">
        <v>35466477</v>
      </c>
      <c r="H4401">
        <v>42137699</v>
      </c>
      <c r="I4401">
        <v>31530758</v>
      </c>
      <c r="J4401">
        <v>18593139</v>
      </c>
      <c r="K4401">
        <v>12225408</v>
      </c>
      <c r="P4401">
        <v>91</v>
      </c>
      <c r="Q4401" t="s">
        <v>9146</v>
      </c>
    </row>
    <row r="4402" spans="1:17" x14ac:dyDescent="0.3">
      <c r="A4402" t="s">
        <v>4664</v>
      </c>
      <c r="B4402" t="str">
        <f>"300650"</f>
        <v>300650</v>
      </c>
      <c r="C4402" t="s">
        <v>9147</v>
      </c>
      <c r="D4402" t="s">
        <v>803</v>
      </c>
      <c r="F4402">
        <v>110232715</v>
      </c>
      <c r="G4402">
        <v>4709872</v>
      </c>
      <c r="H4402">
        <v>41290408</v>
      </c>
      <c r="I4402">
        <v>45078849</v>
      </c>
      <c r="J4402">
        <v>40528136</v>
      </c>
      <c r="K4402">
        <v>28802919</v>
      </c>
      <c r="P4402">
        <v>125</v>
      </c>
      <c r="Q4402" t="s">
        <v>9148</v>
      </c>
    </row>
    <row r="4403" spans="1:17" x14ac:dyDescent="0.3">
      <c r="A4403" t="s">
        <v>4664</v>
      </c>
      <c r="B4403" t="str">
        <f>"300651"</f>
        <v>300651</v>
      </c>
      <c r="C4403" t="s">
        <v>9149</v>
      </c>
      <c r="D4403" t="s">
        <v>327</v>
      </c>
      <c r="F4403">
        <v>22889350</v>
      </c>
      <c r="G4403">
        <v>29538309</v>
      </c>
      <c r="H4403">
        <v>27241381</v>
      </c>
      <c r="I4403">
        <v>27014977</v>
      </c>
      <c r="J4403">
        <v>20408053</v>
      </c>
      <c r="K4403">
        <v>22986989</v>
      </c>
      <c r="P4403">
        <v>99</v>
      </c>
      <c r="Q4403" t="s">
        <v>9150</v>
      </c>
    </row>
    <row r="4404" spans="1:17" x14ac:dyDescent="0.3">
      <c r="A4404" t="s">
        <v>4664</v>
      </c>
      <c r="B4404" t="str">
        <f>"300652"</f>
        <v>300652</v>
      </c>
      <c r="C4404" t="s">
        <v>9151</v>
      </c>
      <c r="D4404" t="s">
        <v>422</v>
      </c>
      <c r="F4404">
        <v>62599869</v>
      </c>
      <c r="G4404">
        <v>40381819</v>
      </c>
      <c r="H4404">
        <v>47351285</v>
      </c>
      <c r="I4404">
        <v>64835001</v>
      </c>
      <c r="J4404">
        <v>54357088</v>
      </c>
      <c r="K4404">
        <v>45488170</v>
      </c>
      <c r="P4404">
        <v>92</v>
      </c>
      <c r="Q4404" t="s">
        <v>9152</v>
      </c>
    </row>
    <row r="4405" spans="1:17" x14ac:dyDescent="0.3">
      <c r="A4405" t="s">
        <v>4664</v>
      </c>
      <c r="B4405" t="str">
        <f>"300653"</f>
        <v>300653</v>
      </c>
      <c r="C4405" t="s">
        <v>9153</v>
      </c>
      <c r="D4405" t="s">
        <v>1077</v>
      </c>
      <c r="F4405">
        <v>126443850</v>
      </c>
      <c r="G4405">
        <v>95329942</v>
      </c>
      <c r="H4405">
        <v>79612300</v>
      </c>
      <c r="I4405">
        <v>65152341</v>
      </c>
      <c r="J4405">
        <v>38652309</v>
      </c>
      <c r="K4405">
        <v>29721623</v>
      </c>
      <c r="P4405">
        <v>898</v>
      </c>
      <c r="Q4405" t="s">
        <v>9154</v>
      </c>
    </row>
    <row r="4406" spans="1:17" x14ac:dyDescent="0.3">
      <c r="A4406" t="s">
        <v>4664</v>
      </c>
      <c r="B4406" t="str">
        <f>"300654"</f>
        <v>300654</v>
      </c>
      <c r="C4406" t="s">
        <v>9155</v>
      </c>
      <c r="D4406" t="s">
        <v>1536</v>
      </c>
      <c r="F4406">
        <v>23143111</v>
      </c>
      <c r="G4406">
        <v>26464502</v>
      </c>
      <c r="H4406">
        <v>20248089</v>
      </c>
      <c r="I4406">
        <v>22123751</v>
      </c>
      <c r="J4406">
        <v>18797418</v>
      </c>
      <c r="K4406">
        <v>18336398</v>
      </c>
      <c r="P4406">
        <v>73</v>
      </c>
      <c r="Q4406" t="s">
        <v>9156</v>
      </c>
    </row>
    <row r="4407" spans="1:17" x14ac:dyDescent="0.3">
      <c r="A4407" t="s">
        <v>4664</v>
      </c>
      <c r="B4407" t="str">
        <f>"300655"</f>
        <v>300655</v>
      </c>
      <c r="C4407" t="s">
        <v>9157</v>
      </c>
      <c r="D4407" t="s">
        <v>2399</v>
      </c>
      <c r="F4407">
        <v>165123879</v>
      </c>
      <c r="G4407">
        <v>61660105</v>
      </c>
      <c r="H4407">
        <v>20801453</v>
      </c>
      <c r="I4407">
        <v>39425531</v>
      </c>
      <c r="J4407">
        <v>23057152</v>
      </c>
      <c r="K4407">
        <v>22407491</v>
      </c>
      <c r="P4407">
        <v>3076</v>
      </c>
      <c r="Q4407" t="s">
        <v>9158</v>
      </c>
    </row>
    <row r="4408" spans="1:17" x14ac:dyDescent="0.3">
      <c r="A4408" t="s">
        <v>4664</v>
      </c>
      <c r="B4408" t="str">
        <f>"300656"</f>
        <v>300656</v>
      </c>
      <c r="C4408" t="s">
        <v>9159</v>
      </c>
      <c r="D4408" t="s">
        <v>651</v>
      </c>
      <c r="F4408">
        <v>51533877</v>
      </c>
      <c r="G4408">
        <v>27886507</v>
      </c>
      <c r="H4408">
        <v>23171579</v>
      </c>
      <c r="I4408">
        <v>40731604</v>
      </c>
      <c r="J4408">
        <v>26213897</v>
      </c>
      <c r="K4408">
        <v>29275760</v>
      </c>
      <c r="P4408">
        <v>80</v>
      </c>
      <c r="Q4408" t="s">
        <v>9160</v>
      </c>
    </row>
    <row r="4409" spans="1:17" x14ac:dyDescent="0.3">
      <c r="A4409" t="s">
        <v>4664</v>
      </c>
      <c r="B4409" t="str">
        <f>"300657"</f>
        <v>300657</v>
      </c>
      <c r="C4409" t="s">
        <v>9161</v>
      </c>
      <c r="D4409" t="s">
        <v>425</v>
      </c>
      <c r="F4409">
        <v>-176260115</v>
      </c>
      <c r="G4409">
        <v>68152688</v>
      </c>
      <c r="H4409">
        <v>141252400</v>
      </c>
      <c r="I4409">
        <v>87752884</v>
      </c>
      <c r="J4409">
        <v>47255412</v>
      </c>
      <c r="K4409">
        <v>19407539</v>
      </c>
      <c r="P4409">
        <v>257</v>
      </c>
      <c r="Q4409" t="s">
        <v>9162</v>
      </c>
    </row>
    <row r="4410" spans="1:17" x14ac:dyDescent="0.3">
      <c r="A4410" t="s">
        <v>4664</v>
      </c>
      <c r="B4410" t="str">
        <f>"300658"</f>
        <v>300658</v>
      </c>
      <c r="C4410" t="s">
        <v>9163</v>
      </c>
      <c r="D4410" t="s">
        <v>2728</v>
      </c>
      <c r="F4410">
        <v>7562983</v>
      </c>
      <c r="G4410">
        <v>315708865</v>
      </c>
      <c r="H4410">
        <v>63743939</v>
      </c>
      <c r="I4410">
        <v>33829372</v>
      </c>
      <c r="J4410">
        <v>62457178</v>
      </c>
      <c r="K4410">
        <v>66110009</v>
      </c>
      <c r="P4410">
        <v>232</v>
      </c>
      <c r="Q4410" t="s">
        <v>9164</v>
      </c>
    </row>
    <row r="4411" spans="1:17" x14ac:dyDescent="0.3">
      <c r="A4411" t="s">
        <v>4664</v>
      </c>
      <c r="B4411" t="str">
        <f>"300659"</f>
        <v>300659</v>
      </c>
      <c r="C4411" t="s">
        <v>9165</v>
      </c>
      <c r="D4411" t="s">
        <v>236</v>
      </c>
      <c r="F4411">
        <v>4403132</v>
      </c>
      <c r="G4411">
        <v>19794273</v>
      </c>
      <c r="H4411">
        <v>13731113</v>
      </c>
      <c r="I4411">
        <v>-3738776</v>
      </c>
      <c r="J4411">
        <v>8777129</v>
      </c>
      <c r="K4411">
        <v>12359598</v>
      </c>
      <c r="P4411">
        <v>272</v>
      </c>
      <c r="Q4411" t="s">
        <v>9166</v>
      </c>
    </row>
    <row r="4412" spans="1:17" x14ac:dyDescent="0.3">
      <c r="A4412" t="s">
        <v>4664</v>
      </c>
      <c r="B4412" t="str">
        <f>"300660"</f>
        <v>300660</v>
      </c>
      <c r="C4412" t="s">
        <v>9167</v>
      </c>
      <c r="D4412" t="s">
        <v>1171</v>
      </c>
      <c r="F4412">
        <v>221995258</v>
      </c>
      <c r="G4412">
        <v>221503945</v>
      </c>
      <c r="H4412">
        <v>195279924</v>
      </c>
      <c r="I4412">
        <v>169603171</v>
      </c>
      <c r="J4412">
        <v>185244297</v>
      </c>
      <c r="K4412">
        <v>190434870</v>
      </c>
      <c r="P4412">
        <v>108</v>
      </c>
      <c r="Q4412" t="s">
        <v>9168</v>
      </c>
    </row>
    <row r="4413" spans="1:17" x14ac:dyDescent="0.3">
      <c r="A4413" t="s">
        <v>4664</v>
      </c>
      <c r="B4413" t="str">
        <f>"300661"</f>
        <v>300661</v>
      </c>
      <c r="C4413" t="s">
        <v>9169</v>
      </c>
      <c r="D4413" t="s">
        <v>401</v>
      </c>
      <c r="F4413">
        <v>451187267</v>
      </c>
      <c r="G4413">
        <v>207037641</v>
      </c>
      <c r="H4413">
        <v>119910966</v>
      </c>
      <c r="I4413">
        <v>72212681</v>
      </c>
      <c r="J4413">
        <v>59235445</v>
      </c>
      <c r="K4413">
        <v>52361679</v>
      </c>
      <c r="P4413">
        <v>1054</v>
      </c>
      <c r="Q4413" t="s">
        <v>9170</v>
      </c>
    </row>
    <row r="4414" spans="1:17" x14ac:dyDescent="0.3">
      <c r="A4414" t="s">
        <v>4664</v>
      </c>
      <c r="B4414" t="str">
        <f>"300662"</f>
        <v>300662</v>
      </c>
      <c r="C4414" t="s">
        <v>9171</v>
      </c>
      <c r="D4414" t="s">
        <v>9172</v>
      </c>
      <c r="F4414">
        <v>188152126</v>
      </c>
      <c r="G4414">
        <v>133781593</v>
      </c>
      <c r="H4414">
        <v>114912924</v>
      </c>
      <c r="I4414">
        <v>92068235</v>
      </c>
      <c r="J4414">
        <v>56833170</v>
      </c>
      <c r="K4414">
        <v>47157189</v>
      </c>
      <c r="P4414">
        <v>688</v>
      </c>
      <c r="Q4414" t="s">
        <v>9173</v>
      </c>
    </row>
    <row r="4415" spans="1:17" x14ac:dyDescent="0.3">
      <c r="A4415" t="s">
        <v>4664</v>
      </c>
      <c r="B4415" t="str">
        <f>"300663"</f>
        <v>300663</v>
      </c>
      <c r="C4415" t="s">
        <v>9174</v>
      </c>
      <c r="D4415" t="s">
        <v>945</v>
      </c>
      <c r="F4415">
        <v>-17558014</v>
      </c>
      <c r="G4415">
        <v>-19789514</v>
      </c>
      <c r="H4415">
        <v>-60719276</v>
      </c>
      <c r="I4415">
        <v>-60966118</v>
      </c>
      <c r="J4415">
        <v>-61295319</v>
      </c>
      <c r="K4415">
        <v>-64660925</v>
      </c>
      <c r="P4415">
        <v>261</v>
      </c>
      <c r="Q4415" t="s">
        <v>9175</v>
      </c>
    </row>
    <row r="4416" spans="1:17" x14ac:dyDescent="0.3">
      <c r="A4416" t="s">
        <v>4664</v>
      </c>
      <c r="B4416" t="str">
        <f>"300664"</f>
        <v>300664</v>
      </c>
      <c r="C4416" t="s">
        <v>9176</v>
      </c>
      <c r="D4416" t="s">
        <v>33</v>
      </c>
      <c r="F4416">
        <v>284104034</v>
      </c>
      <c r="G4416">
        <v>274622027</v>
      </c>
      <c r="H4416">
        <v>190342138</v>
      </c>
      <c r="I4416">
        <v>148646749</v>
      </c>
      <c r="J4416">
        <v>204633300</v>
      </c>
      <c r="K4416">
        <v>225444100</v>
      </c>
      <c r="P4416">
        <v>118</v>
      </c>
      <c r="Q4416" t="s">
        <v>9177</v>
      </c>
    </row>
    <row r="4417" spans="1:17" x14ac:dyDescent="0.3">
      <c r="A4417" t="s">
        <v>4664</v>
      </c>
      <c r="B4417" t="str">
        <f>"300665"</f>
        <v>300665</v>
      </c>
      <c r="C4417" t="s">
        <v>9178</v>
      </c>
      <c r="D4417" t="s">
        <v>2570</v>
      </c>
      <c r="F4417">
        <v>10035384</v>
      </c>
      <c r="G4417">
        <v>15556088</v>
      </c>
      <c r="H4417">
        <v>11254966</v>
      </c>
      <c r="I4417">
        <v>18281311</v>
      </c>
      <c r="J4417">
        <v>15381504</v>
      </c>
      <c r="K4417">
        <v>12782433</v>
      </c>
      <c r="P4417">
        <v>109</v>
      </c>
      <c r="Q4417" t="s">
        <v>9179</v>
      </c>
    </row>
    <row r="4418" spans="1:17" x14ac:dyDescent="0.3">
      <c r="A4418" t="s">
        <v>4664</v>
      </c>
      <c r="B4418" t="str">
        <f>"300666"</f>
        <v>300666</v>
      </c>
      <c r="C4418" t="s">
        <v>9180</v>
      </c>
      <c r="D4418" t="s">
        <v>475</v>
      </c>
      <c r="F4418">
        <v>95254661</v>
      </c>
      <c r="G4418">
        <v>109952235</v>
      </c>
      <c r="H4418">
        <v>32528855</v>
      </c>
      <c r="I4418">
        <v>45188986</v>
      </c>
      <c r="J4418">
        <v>38620451</v>
      </c>
      <c r="K4418">
        <v>35379646</v>
      </c>
      <c r="P4418">
        <v>519</v>
      </c>
      <c r="Q4418" t="s">
        <v>9181</v>
      </c>
    </row>
    <row r="4419" spans="1:17" x14ac:dyDescent="0.3">
      <c r="A4419" t="s">
        <v>4664</v>
      </c>
      <c r="B4419" t="str">
        <f>"300667"</f>
        <v>300667</v>
      </c>
      <c r="C4419" t="s">
        <v>9182</v>
      </c>
      <c r="D4419" t="s">
        <v>2551</v>
      </c>
      <c r="F4419">
        <v>32543740</v>
      </c>
      <c r="G4419">
        <v>16911948</v>
      </c>
      <c r="H4419">
        <v>11666405</v>
      </c>
      <c r="I4419">
        <v>11388978</v>
      </c>
      <c r="J4419">
        <v>9437076</v>
      </c>
      <c r="K4419">
        <v>1967150</v>
      </c>
      <c r="P4419">
        <v>144</v>
      </c>
      <c r="Q4419" t="s">
        <v>9183</v>
      </c>
    </row>
    <row r="4420" spans="1:17" x14ac:dyDescent="0.3">
      <c r="A4420" t="s">
        <v>4664</v>
      </c>
      <c r="B4420" t="str">
        <f>"300668"</f>
        <v>300668</v>
      </c>
      <c r="C4420" t="s">
        <v>9184</v>
      </c>
      <c r="D4420" t="s">
        <v>1272</v>
      </c>
      <c r="F4420">
        <v>20728555</v>
      </c>
      <c r="G4420">
        <v>16432551</v>
      </c>
      <c r="H4420">
        <v>65699204</v>
      </c>
      <c r="I4420">
        <v>61766655</v>
      </c>
      <c r="J4420">
        <v>43708704</v>
      </c>
      <c r="K4420">
        <v>27794237</v>
      </c>
      <c r="P4420">
        <v>207</v>
      </c>
      <c r="Q4420" t="s">
        <v>9185</v>
      </c>
    </row>
    <row r="4421" spans="1:17" x14ac:dyDescent="0.3">
      <c r="A4421" t="s">
        <v>4664</v>
      </c>
      <c r="B4421" t="str">
        <f>"300669"</f>
        <v>300669</v>
      </c>
      <c r="C4421" t="s">
        <v>9186</v>
      </c>
      <c r="D4421" t="s">
        <v>1689</v>
      </c>
      <c r="F4421">
        <v>37964255</v>
      </c>
      <c r="G4421">
        <v>40354030</v>
      </c>
      <c r="H4421">
        <v>42227105</v>
      </c>
      <c r="I4421">
        <v>31329705</v>
      </c>
      <c r="J4421">
        <v>31822589</v>
      </c>
      <c r="K4421">
        <v>33754797</v>
      </c>
      <c r="P4421">
        <v>102</v>
      </c>
      <c r="Q4421" t="s">
        <v>9187</v>
      </c>
    </row>
    <row r="4422" spans="1:17" x14ac:dyDescent="0.3">
      <c r="A4422" t="s">
        <v>4664</v>
      </c>
      <c r="B4422" t="str">
        <f>"300670"</f>
        <v>300670</v>
      </c>
      <c r="C4422" t="s">
        <v>9188</v>
      </c>
      <c r="D4422" t="s">
        <v>657</v>
      </c>
      <c r="F4422">
        <v>18369078</v>
      </c>
      <c r="G4422">
        <v>38363887</v>
      </c>
      <c r="H4422">
        <v>24035511</v>
      </c>
      <c r="I4422">
        <v>22597178</v>
      </c>
      <c r="J4422">
        <v>33271127</v>
      </c>
      <c r="K4422">
        <v>31290692</v>
      </c>
      <c r="P4422">
        <v>67</v>
      </c>
      <c r="Q4422" t="s">
        <v>9189</v>
      </c>
    </row>
    <row r="4423" spans="1:17" x14ac:dyDescent="0.3">
      <c r="A4423" t="s">
        <v>4664</v>
      </c>
      <c r="B4423" t="str">
        <f>"300671"</f>
        <v>300671</v>
      </c>
      <c r="C4423" t="s">
        <v>9190</v>
      </c>
      <c r="D4423" t="s">
        <v>401</v>
      </c>
      <c r="F4423">
        <v>484730526</v>
      </c>
      <c r="G4423">
        <v>61526071</v>
      </c>
      <c r="H4423">
        <v>24350262</v>
      </c>
      <c r="I4423">
        <v>48817522</v>
      </c>
      <c r="J4423">
        <v>34797273</v>
      </c>
      <c r="K4423">
        <v>23420505</v>
      </c>
      <c r="P4423">
        <v>301</v>
      </c>
      <c r="Q4423" t="s">
        <v>9191</v>
      </c>
    </row>
    <row r="4424" spans="1:17" x14ac:dyDescent="0.3">
      <c r="A4424" t="s">
        <v>4664</v>
      </c>
      <c r="B4424" t="str">
        <f>"300672"</f>
        <v>300672</v>
      </c>
      <c r="C4424" t="s">
        <v>9192</v>
      </c>
      <c r="D4424" t="s">
        <v>461</v>
      </c>
      <c r="F4424">
        <v>181428443</v>
      </c>
      <c r="G4424">
        <v>1509627</v>
      </c>
      <c r="H4424">
        <v>745343</v>
      </c>
      <c r="I4424">
        <v>-48307656</v>
      </c>
      <c r="J4424">
        <v>4539083</v>
      </c>
      <c r="K4424">
        <v>-65522601</v>
      </c>
      <c r="P4424">
        <v>305</v>
      </c>
      <c r="Q4424" t="s">
        <v>9193</v>
      </c>
    </row>
    <row r="4425" spans="1:17" x14ac:dyDescent="0.3">
      <c r="A4425" t="s">
        <v>4664</v>
      </c>
      <c r="B4425" t="str">
        <f>"300673"</f>
        <v>300673</v>
      </c>
      <c r="C4425" t="s">
        <v>9194</v>
      </c>
      <c r="D4425" t="s">
        <v>7467</v>
      </c>
      <c r="F4425">
        <v>78684070</v>
      </c>
      <c r="G4425">
        <v>82995652</v>
      </c>
      <c r="H4425">
        <v>31112924</v>
      </c>
      <c r="I4425">
        <v>103309841</v>
      </c>
      <c r="J4425">
        <v>60972069</v>
      </c>
      <c r="K4425">
        <v>51428240</v>
      </c>
      <c r="P4425">
        <v>512</v>
      </c>
      <c r="Q4425" t="s">
        <v>9195</v>
      </c>
    </row>
    <row r="4426" spans="1:17" x14ac:dyDescent="0.3">
      <c r="A4426" t="s">
        <v>4664</v>
      </c>
      <c r="B4426" t="str">
        <f>"300674"</f>
        <v>300674</v>
      </c>
      <c r="C4426" t="s">
        <v>9196</v>
      </c>
      <c r="D4426" t="s">
        <v>316</v>
      </c>
      <c r="F4426">
        <v>155309231</v>
      </c>
      <c r="G4426">
        <v>136514495</v>
      </c>
      <c r="H4426">
        <v>89565891</v>
      </c>
      <c r="I4426">
        <v>82120388</v>
      </c>
      <c r="J4426">
        <v>72095379</v>
      </c>
      <c r="P4426">
        <v>348</v>
      </c>
      <c r="Q4426" t="s">
        <v>9197</v>
      </c>
    </row>
    <row r="4427" spans="1:17" x14ac:dyDescent="0.3">
      <c r="A4427" t="s">
        <v>4664</v>
      </c>
      <c r="B4427" t="str">
        <f>"300675"</f>
        <v>300675</v>
      </c>
      <c r="C4427" t="s">
        <v>9198</v>
      </c>
      <c r="D4427" t="s">
        <v>1272</v>
      </c>
      <c r="F4427">
        <v>-2852235</v>
      </c>
      <c r="G4427">
        <v>15771809</v>
      </c>
      <c r="H4427">
        <v>-24226082</v>
      </c>
      <c r="I4427">
        <v>3671711</v>
      </c>
      <c r="J4427">
        <v>3261694</v>
      </c>
      <c r="K4427">
        <v>-21946378</v>
      </c>
      <c r="P4427">
        <v>85</v>
      </c>
      <c r="Q4427" t="s">
        <v>9199</v>
      </c>
    </row>
    <row r="4428" spans="1:17" x14ac:dyDescent="0.3">
      <c r="A4428" t="s">
        <v>4664</v>
      </c>
      <c r="B4428" t="str">
        <f>"300676"</f>
        <v>300676</v>
      </c>
      <c r="C4428" t="s">
        <v>9200</v>
      </c>
      <c r="D4428" t="s">
        <v>1305</v>
      </c>
      <c r="F4428">
        <v>1414233889</v>
      </c>
      <c r="G4428">
        <v>2705299035</v>
      </c>
      <c r="H4428">
        <v>270076951</v>
      </c>
      <c r="I4428">
        <v>320160232</v>
      </c>
      <c r="J4428">
        <v>312425809</v>
      </c>
      <c r="K4428">
        <v>257091991</v>
      </c>
      <c r="P4428">
        <v>1481</v>
      </c>
      <c r="Q4428" t="s">
        <v>9201</v>
      </c>
    </row>
    <row r="4429" spans="1:17" x14ac:dyDescent="0.3">
      <c r="A4429" t="s">
        <v>4664</v>
      </c>
      <c r="B4429" t="str">
        <f>"300677"</f>
        <v>300677</v>
      </c>
      <c r="C4429" t="s">
        <v>9202</v>
      </c>
      <c r="D4429" t="s">
        <v>1077</v>
      </c>
      <c r="F4429">
        <v>6942508781</v>
      </c>
      <c r="G4429">
        <v>4372579432</v>
      </c>
      <c r="H4429">
        <v>125767527</v>
      </c>
      <c r="I4429">
        <v>128770218</v>
      </c>
      <c r="J4429">
        <v>111800426</v>
      </c>
      <c r="K4429">
        <v>64107376</v>
      </c>
      <c r="P4429">
        <v>1821</v>
      </c>
      <c r="Q4429" t="s">
        <v>9203</v>
      </c>
    </row>
    <row r="4430" spans="1:17" x14ac:dyDescent="0.3">
      <c r="A4430" t="s">
        <v>4664</v>
      </c>
      <c r="B4430" t="str">
        <f>"300678"</f>
        <v>300678</v>
      </c>
      <c r="C4430" t="s">
        <v>9204</v>
      </c>
      <c r="D4430" t="s">
        <v>316</v>
      </c>
      <c r="F4430">
        <v>11276404</v>
      </c>
      <c r="G4430">
        <v>14152185</v>
      </c>
      <c r="H4430">
        <v>12264732</v>
      </c>
      <c r="I4430">
        <v>13247157</v>
      </c>
      <c r="J4430">
        <v>12204824</v>
      </c>
      <c r="K4430">
        <v>11371092</v>
      </c>
      <c r="P4430">
        <v>105</v>
      </c>
      <c r="Q4430" t="s">
        <v>9205</v>
      </c>
    </row>
    <row r="4431" spans="1:17" x14ac:dyDescent="0.3">
      <c r="A4431" t="s">
        <v>4664</v>
      </c>
      <c r="B4431" t="str">
        <f>"300679"</f>
        <v>300679</v>
      </c>
      <c r="C4431" t="s">
        <v>9206</v>
      </c>
      <c r="D4431" t="s">
        <v>313</v>
      </c>
      <c r="F4431">
        <v>283043387</v>
      </c>
      <c r="G4431">
        <v>190017150</v>
      </c>
      <c r="H4431">
        <v>139531816</v>
      </c>
      <c r="I4431">
        <v>201366419</v>
      </c>
      <c r="J4431">
        <v>274988243</v>
      </c>
      <c r="K4431">
        <v>292413965</v>
      </c>
      <c r="P4431">
        <v>334</v>
      </c>
      <c r="Q4431" t="s">
        <v>9207</v>
      </c>
    </row>
    <row r="4432" spans="1:17" x14ac:dyDescent="0.3">
      <c r="A4432" t="s">
        <v>4664</v>
      </c>
      <c r="B4432" t="str">
        <f>"300680"</f>
        <v>300680</v>
      </c>
      <c r="C4432" t="s">
        <v>9208</v>
      </c>
      <c r="D4432" t="s">
        <v>348</v>
      </c>
      <c r="F4432">
        <v>71064673</v>
      </c>
      <c r="G4432">
        <v>29945405</v>
      </c>
      <c r="H4432">
        <v>20216992</v>
      </c>
      <c r="I4432">
        <v>7271959</v>
      </c>
      <c r="J4432">
        <v>13579792</v>
      </c>
      <c r="K4432">
        <v>21195476</v>
      </c>
      <c r="P4432">
        <v>114</v>
      </c>
      <c r="Q4432" t="s">
        <v>9209</v>
      </c>
    </row>
    <row r="4433" spans="1:17" x14ac:dyDescent="0.3">
      <c r="A4433" t="s">
        <v>4664</v>
      </c>
      <c r="B4433" t="str">
        <f>"300681"</f>
        <v>300681</v>
      </c>
      <c r="C4433" t="s">
        <v>9210</v>
      </c>
      <c r="D4433" t="s">
        <v>1415</v>
      </c>
      <c r="F4433">
        <v>17006111</v>
      </c>
      <c r="G4433">
        <v>1652137</v>
      </c>
      <c r="H4433">
        <v>-50986601</v>
      </c>
      <c r="I4433">
        <v>54254262</v>
      </c>
      <c r="J4433">
        <v>53430977</v>
      </c>
      <c r="K4433">
        <v>34577434</v>
      </c>
      <c r="P4433">
        <v>89</v>
      </c>
      <c r="Q4433" t="s">
        <v>9211</v>
      </c>
    </row>
    <row r="4434" spans="1:17" x14ac:dyDescent="0.3">
      <c r="A4434" t="s">
        <v>4664</v>
      </c>
      <c r="B4434" t="str">
        <f>"300682"</f>
        <v>300682</v>
      </c>
      <c r="C4434" t="s">
        <v>9212</v>
      </c>
      <c r="D4434" t="s">
        <v>316</v>
      </c>
      <c r="F4434">
        <v>184649657</v>
      </c>
      <c r="G4434">
        <v>135723225</v>
      </c>
      <c r="H4434">
        <v>515949969</v>
      </c>
      <c r="I4434">
        <v>-104542131</v>
      </c>
      <c r="J4434">
        <v>-17856768</v>
      </c>
      <c r="K4434">
        <v>-69966565</v>
      </c>
      <c r="P4434">
        <v>254</v>
      </c>
      <c r="Q4434" t="s">
        <v>9213</v>
      </c>
    </row>
    <row r="4435" spans="1:17" x14ac:dyDescent="0.3">
      <c r="A4435" t="s">
        <v>4664</v>
      </c>
      <c r="B4435" t="str">
        <f>"300683"</f>
        <v>300683</v>
      </c>
      <c r="C4435" t="s">
        <v>9214</v>
      </c>
      <c r="D4435" t="s">
        <v>1379</v>
      </c>
      <c r="F4435">
        <v>18636134</v>
      </c>
      <c r="G4435">
        <v>-10526448</v>
      </c>
      <c r="H4435">
        <v>68128794</v>
      </c>
      <c r="I4435">
        <v>75985807</v>
      </c>
      <c r="J4435">
        <v>108663580</v>
      </c>
      <c r="K4435">
        <v>97659400</v>
      </c>
      <c r="P4435">
        <v>123</v>
      </c>
      <c r="Q4435" t="s">
        <v>9215</v>
      </c>
    </row>
    <row r="4436" spans="1:17" x14ac:dyDescent="0.3">
      <c r="A4436" t="s">
        <v>4664</v>
      </c>
      <c r="B4436" t="str">
        <f>"300684"</f>
        <v>300684</v>
      </c>
      <c r="C4436" t="s">
        <v>9216</v>
      </c>
      <c r="D4436" t="s">
        <v>313</v>
      </c>
      <c r="F4436">
        <v>117895119</v>
      </c>
      <c r="G4436">
        <v>135472191</v>
      </c>
      <c r="H4436">
        <v>76392969</v>
      </c>
      <c r="I4436">
        <v>107867011</v>
      </c>
      <c r="J4436">
        <v>29713240</v>
      </c>
      <c r="P4436">
        <v>348</v>
      </c>
      <c r="Q4436" t="s">
        <v>9217</v>
      </c>
    </row>
    <row r="4437" spans="1:17" x14ac:dyDescent="0.3">
      <c r="A4437" t="s">
        <v>4664</v>
      </c>
      <c r="B4437" t="str">
        <f>"300685"</f>
        <v>300685</v>
      </c>
      <c r="C4437" t="s">
        <v>9218</v>
      </c>
      <c r="D4437" t="s">
        <v>1305</v>
      </c>
      <c r="F4437">
        <v>176555723</v>
      </c>
      <c r="G4437">
        <v>126130439</v>
      </c>
      <c r="H4437">
        <v>108856598</v>
      </c>
      <c r="I4437">
        <v>95872764</v>
      </c>
      <c r="J4437">
        <v>67864520</v>
      </c>
      <c r="K4437">
        <v>52492597</v>
      </c>
      <c r="P4437">
        <v>974</v>
      </c>
      <c r="Q4437" t="s">
        <v>9219</v>
      </c>
    </row>
    <row r="4438" spans="1:17" x14ac:dyDescent="0.3">
      <c r="A4438" t="s">
        <v>4664</v>
      </c>
      <c r="B4438" t="str">
        <f>"300686"</f>
        <v>300686</v>
      </c>
      <c r="C4438" t="s">
        <v>9220</v>
      </c>
      <c r="D4438" t="s">
        <v>313</v>
      </c>
      <c r="F4438">
        <v>76161672</v>
      </c>
      <c r="G4438">
        <v>91592781</v>
      </c>
      <c r="H4438">
        <v>97320447</v>
      </c>
      <c r="I4438">
        <v>9595346</v>
      </c>
      <c r="J4438">
        <v>24077233</v>
      </c>
      <c r="K4438">
        <v>35897268</v>
      </c>
      <c r="P4438">
        <v>192</v>
      </c>
      <c r="Q4438" t="s">
        <v>9221</v>
      </c>
    </row>
    <row r="4439" spans="1:17" x14ac:dyDescent="0.3">
      <c r="A4439" t="s">
        <v>4664</v>
      </c>
      <c r="B4439" t="str">
        <f>"300687"</f>
        <v>300687</v>
      </c>
      <c r="C4439" t="s">
        <v>9222</v>
      </c>
      <c r="D4439" t="s">
        <v>316</v>
      </c>
      <c r="F4439">
        <v>132381216</v>
      </c>
      <c r="G4439">
        <v>109625033</v>
      </c>
      <c r="H4439">
        <v>51793381</v>
      </c>
      <c r="I4439">
        <v>68492454</v>
      </c>
      <c r="J4439">
        <v>66271287</v>
      </c>
      <c r="K4439">
        <v>56439188</v>
      </c>
      <c r="P4439">
        <v>266</v>
      </c>
      <c r="Q4439" t="s">
        <v>9223</v>
      </c>
    </row>
    <row r="4440" spans="1:17" x14ac:dyDescent="0.3">
      <c r="A4440" t="s">
        <v>4664</v>
      </c>
      <c r="B4440" t="str">
        <f>"300688"</f>
        <v>300688</v>
      </c>
      <c r="C4440" t="s">
        <v>9224</v>
      </c>
      <c r="D4440" t="s">
        <v>1336</v>
      </c>
      <c r="F4440">
        <v>7816945</v>
      </c>
      <c r="G4440">
        <v>7609969</v>
      </c>
      <c r="H4440">
        <v>19323196</v>
      </c>
      <c r="I4440">
        <v>22891490</v>
      </c>
      <c r="J4440">
        <v>21614526</v>
      </c>
      <c r="K4440">
        <v>17100915</v>
      </c>
      <c r="P4440">
        <v>83</v>
      </c>
      <c r="Q4440" t="s">
        <v>9225</v>
      </c>
    </row>
    <row r="4441" spans="1:17" x14ac:dyDescent="0.3">
      <c r="A4441" t="s">
        <v>4664</v>
      </c>
      <c r="B4441" t="str">
        <f>"300689"</f>
        <v>300689</v>
      </c>
      <c r="C4441" t="s">
        <v>9226</v>
      </c>
      <c r="D4441" t="s">
        <v>786</v>
      </c>
      <c r="F4441">
        <v>12757835</v>
      </c>
      <c r="G4441">
        <v>26915152</v>
      </c>
      <c r="H4441">
        <v>32953206</v>
      </c>
      <c r="I4441">
        <v>37420286</v>
      </c>
      <c r="J4441">
        <v>40917470</v>
      </c>
      <c r="K4441">
        <v>28925173</v>
      </c>
      <c r="P4441">
        <v>76</v>
      </c>
      <c r="Q4441" t="s">
        <v>9227</v>
      </c>
    </row>
    <row r="4442" spans="1:17" x14ac:dyDescent="0.3">
      <c r="A4442" t="s">
        <v>4664</v>
      </c>
      <c r="B4442" t="str">
        <f>"300690"</f>
        <v>300690</v>
      </c>
      <c r="C4442" t="s">
        <v>9228</v>
      </c>
      <c r="D4442" t="s">
        <v>950</v>
      </c>
      <c r="F4442">
        <v>125532779</v>
      </c>
      <c r="G4442">
        <v>286377848</v>
      </c>
      <c r="H4442">
        <v>121358445</v>
      </c>
      <c r="I4442">
        <v>77523507</v>
      </c>
      <c r="J4442">
        <v>92291390</v>
      </c>
      <c r="K4442">
        <v>88576607</v>
      </c>
      <c r="P4442">
        <v>214</v>
      </c>
      <c r="Q4442" t="s">
        <v>9229</v>
      </c>
    </row>
    <row r="4443" spans="1:17" x14ac:dyDescent="0.3">
      <c r="A4443" t="s">
        <v>4664</v>
      </c>
      <c r="B4443" t="str">
        <f>"300691"</f>
        <v>300691</v>
      </c>
      <c r="C4443" t="s">
        <v>9230</v>
      </c>
      <c r="D4443" t="s">
        <v>2953</v>
      </c>
      <c r="F4443">
        <v>64095984</v>
      </c>
      <c r="G4443">
        <v>23438975</v>
      </c>
      <c r="H4443">
        <v>46312320</v>
      </c>
      <c r="I4443">
        <v>55395347</v>
      </c>
      <c r="J4443">
        <v>69491335</v>
      </c>
      <c r="K4443">
        <v>43969139</v>
      </c>
      <c r="P4443">
        <v>186</v>
      </c>
      <c r="Q4443" t="s">
        <v>9231</v>
      </c>
    </row>
    <row r="4444" spans="1:17" x14ac:dyDescent="0.3">
      <c r="A4444" t="s">
        <v>4664</v>
      </c>
      <c r="B4444" t="str">
        <f>"300692"</f>
        <v>300692</v>
      </c>
      <c r="C4444" t="s">
        <v>9232</v>
      </c>
      <c r="D4444" t="s">
        <v>33</v>
      </c>
      <c r="F4444">
        <v>137623546</v>
      </c>
      <c r="G4444">
        <v>96198354</v>
      </c>
      <c r="H4444">
        <v>60605554</v>
      </c>
      <c r="I4444">
        <v>41445575</v>
      </c>
      <c r="J4444">
        <v>34435859</v>
      </c>
      <c r="K4444">
        <v>26018119</v>
      </c>
      <c r="P4444">
        <v>162</v>
      </c>
      <c r="Q4444" t="s">
        <v>9233</v>
      </c>
    </row>
    <row r="4445" spans="1:17" x14ac:dyDescent="0.3">
      <c r="A4445" t="s">
        <v>4664</v>
      </c>
      <c r="B4445" t="str">
        <f>"300693"</f>
        <v>300693</v>
      </c>
      <c r="C4445" t="s">
        <v>9234</v>
      </c>
      <c r="D4445" t="s">
        <v>880</v>
      </c>
      <c r="F4445">
        <v>79033973</v>
      </c>
      <c r="G4445">
        <v>69162801</v>
      </c>
      <c r="H4445">
        <v>40984006</v>
      </c>
      <c r="I4445">
        <v>44552207</v>
      </c>
      <c r="J4445">
        <v>40159613</v>
      </c>
      <c r="K4445">
        <v>47880397</v>
      </c>
      <c r="P4445">
        <v>214</v>
      </c>
      <c r="Q4445" t="s">
        <v>9235</v>
      </c>
    </row>
    <row r="4446" spans="1:17" x14ac:dyDescent="0.3">
      <c r="A4446" t="s">
        <v>4664</v>
      </c>
      <c r="B4446" t="str">
        <f>"300694"</f>
        <v>300694</v>
      </c>
      <c r="C4446" t="s">
        <v>9236</v>
      </c>
      <c r="D4446" t="s">
        <v>348</v>
      </c>
      <c r="F4446">
        <v>8168709</v>
      </c>
      <c r="G4446">
        <v>50957665</v>
      </c>
      <c r="H4446">
        <v>90515094</v>
      </c>
      <c r="I4446">
        <v>81332862</v>
      </c>
      <c r="J4446">
        <v>71654903</v>
      </c>
      <c r="P4446">
        <v>74</v>
      </c>
      <c r="Q4446" t="s">
        <v>9237</v>
      </c>
    </row>
    <row r="4447" spans="1:17" x14ac:dyDescent="0.3">
      <c r="A4447" t="s">
        <v>4664</v>
      </c>
      <c r="B4447" t="str">
        <f>"300695"</f>
        <v>300695</v>
      </c>
      <c r="C4447" t="s">
        <v>9238</v>
      </c>
      <c r="D4447" t="s">
        <v>422</v>
      </c>
      <c r="F4447">
        <v>90008219</v>
      </c>
      <c r="G4447">
        <v>128510827</v>
      </c>
      <c r="H4447">
        <v>139031336</v>
      </c>
      <c r="I4447">
        <v>135118451</v>
      </c>
      <c r="J4447">
        <v>122148331</v>
      </c>
      <c r="K4447">
        <v>120587275</v>
      </c>
      <c r="P4447">
        <v>125</v>
      </c>
      <c r="Q4447" t="s">
        <v>9239</v>
      </c>
    </row>
    <row r="4448" spans="1:17" x14ac:dyDescent="0.3">
      <c r="A4448" t="s">
        <v>4664</v>
      </c>
      <c r="B4448" t="str">
        <f>"300696"</f>
        <v>300696</v>
      </c>
      <c r="C4448" t="s">
        <v>9240</v>
      </c>
      <c r="D4448" t="s">
        <v>98</v>
      </c>
      <c r="F4448">
        <v>179962151</v>
      </c>
      <c r="G4448">
        <v>88571122</v>
      </c>
      <c r="H4448">
        <v>44321945</v>
      </c>
      <c r="I4448">
        <v>46986317</v>
      </c>
      <c r="J4448">
        <v>38097738</v>
      </c>
      <c r="K4448">
        <v>14174867</v>
      </c>
      <c r="P4448">
        <v>222</v>
      </c>
      <c r="Q4448" t="s">
        <v>9241</v>
      </c>
    </row>
    <row r="4449" spans="1:17" x14ac:dyDescent="0.3">
      <c r="A4449" t="s">
        <v>4664</v>
      </c>
      <c r="B4449" t="str">
        <f>"300697"</f>
        <v>300697</v>
      </c>
      <c r="C4449" t="s">
        <v>9242</v>
      </c>
      <c r="D4449" t="s">
        <v>263</v>
      </c>
      <c r="F4449">
        <v>82795388</v>
      </c>
      <c r="G4449">
        <v>84275937</v>
      </c>
      <c r="H4449">
        <v>113564374</v>
      </c>
      <c r="I4449">
        <v>52825251</v>
      </c>
      <c r="J4449">
        <v>46706916</v>
      </c>
      <c r="K4449">
        <v>35678766</v>
      </c>
      <c r="P4449">
        <v>77</v>
      </c>
      <c r="Q4449" t="s">
        <v>9243</v>
      </c>
    </row>
    <row r="4450" spans="1:17" x14ac:dyDescent="0.3">
      <c r="A4450" t="s">
        <v>4664</v>
      </c>
      <c r="B4450" t="str">
        <f>"300698"</f>
        <v>300698</v>
      </c>
      <c r="C4450" t="s">
        <v>9244</v>
      </c>
      <c r="D4450" t="s">
        <v>1019</v>
      </c>
      <c r="F4450">
        <v>6599378</v>
      </c>
      <c r="G4450">
        <v>-10550812</v>
      </c>
      <c r="H4450">
        <v>4511173</v>
      </c>
      <c r="I4450">
        <v>6205635</v>
      </c>
      <c r="J4450">
        <v>30148178</v>
      </c>
      <c r="K4450">
        <v>31721232</v>
      </c>
      <c r="P4450">
        <v>121</v>
      </c>
      <c r="Q4450" t="s">
        <v>9245</v>
      </c>
    </row>
    <row r="4451" spans="1:17" x14ac:dyDescent="0.3">
      <c r="A4451" t="s">
        <v>4664</v>
      </c>
      <c r="B4451" t="str">
        <f>"300699"</f>
        <v>300699</v>
      </c>
      <c r="C4451" t="s">
        <v>9246</v>
      </c>
      <c r="D4451" t="s">
        <v>98</v>
      </c>
      <c r="F4451">
        <v>618225921</v>
      </c>
      <c r="G4451">
        <v>524423570</v>
      </c>
      <c r="H4451">
        <v>444196545</v>
      </c>
      <c r="I4451">
        <v>310619340</v>
      </c>
      <c r="J4451">
        <v>207731614</v>
      </c>
      <c r="K4451">
        <v>109980048</v>
      </c>
      <c r="P4451">
        <v>914</v>
      </c>
      <c r="Q4451" t="s">
        <v>9247</v>
      </c>
    </row>
    <row r="4452" spans="1:17" x14ac:dyDescent="0.3">
      <c r="A4452" t="s">
        <v>4664</v>
      </c>
      <c r="B4452" t="str">
        <f>"300700"</f>
        <v>300700</v>
      </c>
      <c r="C4452" t="s">
        <v>9248</v>
      </c>
      <c r="D4452" t="s">
        <v>404</v>
      </c>
      <c r="F4452">
        <v>-17025507</v>
      </c>
      <c r="G4452">
        <v>4529757</v>
      </c>
      <c r="H4452">
        <v>-15479339</v>
      </c>
      <c r="I4452">
        <v>48906340</v>
      </c>
      <c r="J4452">
        <v>68455277</v>
      </c>
      <c r="K4452">
        <v>28812927</v>
      </c>
      <c r="P4452">
        <v>140</v>
      </c>
      <c r="Q4452" t="s">
        <v>9249</v>
      </c>
    </row>
    <row r="4453" spans="1:17" x14ac:dyDescent="0.3">
      <c r="A4453" t="s">
        <v>4664</v>
      </c>
      <c r="B4453" t="str">
        <f>"300701"</f>
        <v>300701</v>
      </c>
      <c r="C4453" t="s">
        <v>9250</v>
      </c>
      <c r="D4453" t="s">
        <v>164</v>
      </c>
      <c r="F4453">
        <v>90748686</v>
      </c>
      <c r="G4453">
        <v>117256469</v>
      </c>
      <c r="H4453">
        <v>57091773</v>
      </c>
      <c r="I4453">
        <v>52249995</v>
      </c>
      <c r="J4453">
        <v>42947688</v>
      </c>
      <c r="K4453">
        <v>33671987</v>
      </c>
      <c r="P4453">
        <v>746</v>
      </c>
      <c r="Q4453" t="s">
        <v>9251</v>
      </c>
    </row>
    <row r="4454" spans="1:17" x14ac:dyDescent="0.3">
      <c r="A4454" t="s">
        <v>4664</v>
      </c>
      <c r="B4454" t="str">
        <f>"300702"</f>
        <v>300702</v>
      </c>
      <c r="C4454" t="s">
        <v>9252</v>
      </c>
      <c r="D4454" t="s">
        <v>496</v>
      </c>
      <c r="F4454">
        <v>206043640</v>
      </c>
      <c r="G4454">
        <v>577922757</v>
      </c>
      <c r="H4454">
        <v>444333030</v>
      </c>
      <c r="I4454">
        <v>78862136</v>
      </c>
      <c r="J4454">
        <v>106111732</v>
      </c>
      <c r="K4454">
        <v>100903188</v>
      </c>
      <c r="P4454">
        <v>411</v>
      </c>
      <c r="Q4454" t="s">
        <v>9253</v>
      </c>
    </row>
    <row r="4455" spans="1:17" x14ac:dyDescent="0.3">
      <c r="A4455" t="s">
        <v>4664</v>
      </c>
      <c r="B4455" t="str">
        <f>"300703"</f>
        <v>300703</v>
      </c>
      <c r="C4455" t="s">
        <v>9254</v>
      </c>
      <c r="D4455" t="s">
        <v>3383</v>
      </c>
      <c r="F4455">
        <v>19544112</v>
      </c>
      <c r="G4455">
        <v>47597216</v>
      </c>
      <c r="H4455">
        <v>95594822</v>
      </c>
      <c r="I4455">
        <v>64457277</v>
      </c>
      <c r="J4455">
        <v>39529760</v>
      </c>
      <c r="K4455">
        <v>47650407</v>
      </c>
      <c r="P4455">
        <v>109</v>
      </c>
      <c r="Q4455" t="s">
        <v>9255</v>
      </c>
    </row>
    <row r="4456" spans="1:17" x14ac:dyDescent="0.3">
      <c r="A4456" t="s">
        <v>4664</v>
      </c>
      <c r="B4456" t="str">
        <f>"300705"</f>
        <v>300705</v>
      </c>
      <c r="C4456" t="s">
        <v>9256</v>
      </c>
      <c r="D4456" t="s">
        <v>143</v>
      </c>
      <c r="F4456">
        <v>169211746</v>
      </c>
      <c r="G4456">
        <v>55186027</v>
      </c>
      <c r="H4456">
        <v>37856983</v>
      </c>
      <c r="I4456">
        <v>44420556</v>
      </c>
      <c r="J4456">
        <v>46352387</v>
      </c>
      <c r="K4456">
        <v>28382560</v>
      </c>
      <c r="P4456">
        <v>167</v>
      </c>
      <c r="Q4456" t="s">
        <v>9257</v>
      </c>
    </row>
    <row r="4457" spans="1:17" x14ac:dyDescent="0.3">
      <c r="A4457" t="s">
        <v>4664</v>
      </c>
      <c r="B4457" t="str">
        <f>"300706"</f>
        <v>300706</v>
      </c>
      <c r="C4457" t="s">
        <v>9258</v>
      </c>
      <c r="D4457" t="s">
        <v>475</v>
      </c>
      <c r="F4457">
        <v>12240072</v>
      </c>
      <c r="G4457">
        <v>3482556</v>
      </c>
      <c r="H4457">
        <v>14429287</v>
      </c>
      <c r="I4457">
        <v>26817884</v>
      </c>
      <c r="J4457">
        <v>34714181</v>
      </c>
      <c r="K4457">
        <v>26130921</v>
      </c>
      <c r="P4457">
        <v>178</v>
      </c>
      <c r="Q4457" t="s">
        <v>9259</v>
      </c>
    </row>
    <row r="4458" spans="1:17" x14ac:dyDescent="0.3">
      <c r="A4458" t="s">
        <v>4664</v>
      </c>
      <c r="B4458" t="str">
        <f>"300707"</f>
        <v>300707</v>
      </c>
      <c r="C4458" t="s">
        <v>9260</v>
      </c>
      <c r="D4458" t="s">
        <v>985</v>
      </c>
      <c r="F4458">
        <v>26186473</v>
      </c>
      <c r="G4458">
        <v>36513383</v>
      </c>
      <c r="H4458">
        <v>28121032</v>
      </c>
      <c r="I4458">
        <v>80551793</v>
      </c>
      <c r="J4458">
        <v>72091596</v>
      </c>
      <c r="K4458">
        <v>45668740</v>
      </c>
      <c r="P4458">
        <v>140</v>
      </c>
      <c r="Q4458" t="s">
        <v>9261</v>
      </c>
    </row>
    <row r="4459" spans="1:17" x14ac:dyDescent="0.3">
      <c r="A4459" t="s">
        <v>4664</v>
      </c>
      <c r="B4459" t="str">
        <f>"300708"</f>
        <v>300708</v>
      </c>
      <c r="C4459" t="s">
        <v>9262</v>
      </c>
      <c r="D4459" t="s">
        <v>803</v>
      </c>
      <c r="F4459">
        <v>133288633</v>
      </c>
      <c r="G4459">
        <v>16464348</v>
      </c>
      <c r="H4459">
        <v>14226579</v>
      </c>
      <c r="I4459">
        <v>-82749200</v>
      </c>
      <c r="J4459">
        <v>92801853</v>
      </c>
      <c r="K4459">
        <v>31655223</v>
      </c>
      <c r="P4459">
        <v>164</v>
      </c>
      <c r="Q4459" t="s">
        <v>9263</v>
      </c>
    </row>
    <row r="4460" spans="1:17" x14ac:dyDescent="0.3">
      <c r="A4460" t="s">
        <v>4664</v>
      </c>
      <c r="B4460" t="str">
        <f>"300709"</f>
        <v>300709</v>
      </c>
      <c r="C4460" t="s">
        <v>9264</v>
      </c>
      <c r="D4460" t="s">
        <v>313</v>
      </c>
      <c r="F4460">
        <v>125985771</v>
      </c>
      <c r="G4460">
        <v>86920609</v>
      </c>
      <c r="H4460">
        <v>102431409</v>
      </c>
      <c r="I4460">
        <v>18610464</v>
      </c>
      <c r="J4460">
        <v>117608889</v>
      </c>
      <c r="K4460">
        <v>138845628</v>
      </c>
      <c r="P4460">
        <v>220</v>
      </c>
      <c r="Q4460" t="s">
        <v>9265</v>
      </c>
    </row>
    <row r="4461" spans="1:17" x14ac:dyDescent="0.3">
      <c r="A4461" t="s">
        <v>4664</v>
      </c>
      <c r="B4461" t="str">
        <f>"300710"</f>
        <v>300710</v>
      </c>
      <c r="C4461" t="s">
        <v>9266</v>
      </c>
      <c r="D4461" t="s">
        <v>1019</v>
      </c>
      <c r="F4461">
        <v>23581746</v>
      </c>
      <c r="G4461">
        <v>4278583</v>
      </c>
      <c r="H4461">
        <v>19944432</v>
      </c>
      <c r="I4461">
        <v>13542730</v>
      </c>
      <c r="J4461">
        <v>42490185</v>
      </c>
      <c r="K4461">
        <v>38657975</v>
      </c>
      <c r="P4461">
        <v>107</v>
      </c>
      <c r="Q4461" t="s">
        <v>9267</v>
      </c>
    </row>
    <row r="4462" spans="1:17" x14ac:dyDescent="0.3">
      <c r="A4462" t="s">
        <v>4664</v>
      </c>
      <c r="B4462" t="str">
        <f>"300711"</f>
        <v>300711</v>
      </c>
      <c r="C4462" t="s">
        <v>9268</v>
      </c>
      <c r="D4462" t="s">
        <v>595</v>
      </c>
      <c r="F4462">
        <v>-1478900</v>
      </c>
      <c r="G4462">
        <v>-1784939</v>
      </c>
      <c r="H4462">
        <v>-22819357</v>
      </c>
      <c r="I4462">
        <v>18627289</v>
      </c>
      <c r="J4462">
        <v>35345005</v>
      </c>
      <c r="K4462">
        <v>29662456</v>
      </c>
      <c r="P4462">
        <v>130</v>
      </c>
      <c r="Q4462" t="s">
        <v>9269</v>
      </c>
    </row>
    <row r="4463" spans="1:17" x14ac:dyDescent="0.3">
      <c r="A4463" t="s">
        <v>4664</v>
      </c>
      <c r="B4463" t="str">
        <f>"300712"</f>
        <v>300712</v>
      </c>
      <c r="C4463" t="s">
        <v>9270</v>
      </c>
      <c r="D4463" t="s">
        <v>1986</v>
      </c>
      <c r="F4463">
        <v>17236466</v>
      </c>
      <c r="G4463">
        <v>37139209</v>
      </c>
      <c r="H4463">
        <v>50753123</v>
      </c>
      <c r="I4463">
        <v>55847132</v>
      </c>
      <c r="J4463">
        <v>57399430</v>
      </c>
      <c r="K4463">
        <v>44593264</v>
      </c>
      <c r="P4463">
        <v>125</v>
      </c>
      <c r="Q4463" t="s">
        <v>9271</v>
      </c>
    </row>
    <row r="4464" spans="1:17" x14ac:dyDescent="0.3">
      <c r="A4464" t="s">
        <v>4664</v>
      </c>
      <c r="B4464" t="str">
        <f>"300713"</f>
        <v>300713</v>
      </c>
      <c r="C4464" t="s">
        <v>9272</v>
      </c>
      <c r="D4464" t="s">
        <v>880</v>
      </c>
      <c r="F4464">
        <v>16763856</v>
      </c>
      <c r="G4464">
        <v>7766917</v>
      </c>
      <c r="H4464">
        <v>5264408</v>
      </c>
      <c r="I4464">
        <v>42301601</v>
      </c>
      <c r="J4464">
        <v>64604600</v>
      </c>
      <c r="K4464">
        <v>69492924</v>
      </c>
      <c r="P4464">
        <v>81</v>
      </c>
      <c r="Q4464" t="s">
        <v>9273</v>
      </c>
    </row>
    <row r="4465" spans="1:17" x14ac:dyDescent="0.3">
      <c r="A4465" t="s">
        <v>4664</v>
      </c>
      <c r="B4465" t="str">
        <f>"300715"</f>
        <v>300715</v>
      </c>
      <c r="C4465" t="s">
        <v>9274</v>
      </c>
      <c r="D4465" t="s">
        <v>6246</v>
      </c>
      <c r="F4465">
        <v>178585517</v>
      </c>
      <c r="G4465">
        <v>171789391</v>
      </c>
      <c r="H4465">
        <v>71153100</v>
      </c>
      <c r="I4465">
        <v>40685830</v>
      </c>
      <c r="J4465">
        <v>28496613</v>
      </c>
      <c r="K4465">
        <v>25690692</v>
      </c>
      <c r="P4465">
        <v>413</v>
      </c>
      <c r="Q4465" t="s">
        <v>9275</v>
      </c>
    </row>
    <row r="4466" spans="1:17" x14ac:dyDescent="0.3">
      <c r="A4466" t="s">
        <v>4664</v>
      </c>
      <c r="B4466" t="str">
        <f>"300716"</f>
        <v>300716</v>
      </c>
      <c r="C4466" t="s">
        <v>9276</v>
      </c>
      <c r="D4466" t="s">
        <v>341</v>
      </c>
      <c r="F4466">
        <v>-57243466</v>
      </c>
      <c r="G4466">
        <v>-185576092</v>
      </c>
      <c r="H4466">
        <v>28775884</v>
      </c>
      <c r="I4466">
        <v>41404997</v>
      </c>
      <c r="J4466">
        <v>38155987</v>
      </c>
      <c r="K4466">
        <v>36761797</v>
      </c>
      <c r="P4466">
        <v>59</v>
      </c>
      <c r="Q4466" t="s">
        <v>9277</v>
      </c>
    </row>
    <row r="4467" spans="1:17" x14ac:dyDescent="0.3">
      <c r="A4467" t="s">
        <v>4664</v>
      </c>
      <c r="B4467" t="str">
        <f>"300717"</f>
        <v>300717</v>
      </c>
      <c r="C4467" t="s">
        <v>9278</v>
      </c>
      <c r="D4467" t="s">
        <v>1192</v>
      </c>
      <c r="F4467">
        <v>15545153</v>
      </c>
      <c r="G4467">
        <v>25845505</v>
      </c>
      <c r="H4467">
        <v>37774536</v>
      </c>
      <c r="I4467">
        <v>35437330</v>
      </c>
      <c r="J4467">
        <v>32875951</v>
      </c>
      <c r="K4467">
        <v>29449582</v>
      </c>
      <c r="P4467">
        <v>71</v>
      </c>
      <c r="Q4467" t="s">
        <v>9279</v>
      </c>
    </row>
    <row r="4468" spans="1:17" x14ac:dyDescent="0.3">
      <c r="A4468" t="s">
        <v>4664</v>
      </c>
      <c r="B4468" t="str">
        <f>"300718"</f>
        <v>300718</v>
      </c>
      <c r="C4468" t="s">
        <v>9280</v>
      </c>
      <c r="D4468" t="s">
        <v>2001</v>
      </c>
      <c r="F4468">
        <v>121062111</v>
      </c>
      <c r="G4468">
        <v>101941838</v>
      </c>
      <c r="H4468">
        <v>88397654</v>
      </c>
      <c r="I4468">
        <v>104434266</v>
      </c>
      <c r="J4468">
        <v>93036540</v>
      </c>
      <c r="K4468">
        <v>56098673</v>
      </c>
      <c r="P4468">
        <v>100</v>
      </c>
      <c r="Q4468" t="s">
        <v>9281</v>
      </c>
    </row>
    <row r="4469" spans="1:17" x14ac:dyDescent="0.3">
      <c r="A4469" t="s">
        <v>4664</v>
      </c>
      <c r="B4469" t="str">
        <f>"300719"</f>
        <v>300719</v>
      </c>
      <c r="C4469" t="s">
        <v>9282</v>
      </c>
      <c r="D4469" t="s">
        <v>98</v>
      </c>
      <c r="F4469">
        <v>-13431926</v>
      </c>
      <c r="G4469">
        <v>30223539</v>
      </c>
      <c r="H4469">
        <v>31589614</v>
      </c>
      <c r="I4469">
        <v>-19303281</v>
      </c>
      <c r="J4469">
        <v>7674262</v>
      </c>
      <c r="K4469">
        <v>6175960</v>
      </c>
      <c r="P4469">
        <v>93</v>
      </c>
      <c r="Q4469" t="s">
        <v>9283</v>
      </c>
    </row>
    <row r="4470" spans="1:17" x14ac:dyDescent="0.3">
      <c r="A4470" t="s">
        <v>4664</v>
      </c>
      <c r="B4470" t="str">
        <f>"300720"</f>
        <v>300720</v>
      </c>
      <c r="C4470" t="s">
        <v>9284</v>
      </c>
      <c r="D4470" t="s">
        <v>2551</v>
      </c>
      <c r="F4470">
        <v>52830298</v>
      </c>
      <c r="G4470">
        <v>49507562</v>
      </c>
      <c r="H4470">
        <v>31065316</v>
      </c>
      <c r="I4470">
        <v>29425368</v>
      </c>
      <c r="J4470">
        <v>23575233</v>
      </c>
      <c r="K4470">
        <v>18918316</v>
      </c>
      <c r="P4470">
        <v>70</v>
      </c>
      <c r="Q4470" t="s">
        <v>9285</v>
      </c>
    </row>
    <row r="4471" spans="1:17" x14ac:dyDescent="0.3">
      <c r="A4471" t="s">
        <v>4664</v>
      </c>
      <c r="B4471" t="str">
        <f>"300721"</f>
        <v>300721</v>
      </c>
      <c r="C4471" t="s">
        <v>9286</v>
      </c>
      <c r="D4471" t="s">
        <v>386</v>
      </c>
      <c r="F4471">
        <v>92904188</v>
      </c>
      <c r="G4471">
        <v>-4845087</v>
      </c>
      <c r="H4471">
        <v>9616144</v>
      </c>
      <c r="I4471">
        <v>34324571</v>
      </c>
      <c r="J4471">
        <v>49359838</v>
      </c>
      <c r="K4471">
        <v>45988408</v>
      </c>
      <c r="P4471">
        <v>73</v>
      </c>
      <c r="Q4471" t="s">
        <v>9287</v>
      </c>
    </row>
    <row r="4472" spans="1:17" x14ac:dyDescent="0.3">
      <c r="A4472" t="s">
        <v>4664</v>
      </c>
      <c r="B4472" t="str">
        <f>"300722"</f>
        <v>300722</v>
      </c>
      <c r="C4472" t="s">
        <v>9288</v>
      </c>
      <c r="D4472" t="s">
        <v>284</v>
      </c>
      <c r="F4472">
        <v>45637453</v>
      </c>
      <c r="G4472">
        <v>23083471</v>
      </c>
      <c r="H4472">
        <v>21692208</v>
      </c>
      <c r="I4472">
        <v>35463252</v>
      </c>
      <c r="J4472">
        <v>27653882</v>
      </c>
      <c r="K4472">
        <v>24572404</v>
      </c>
      <c r="P4472">
        <v>113</v>
      </c>
      <c r="Q4472" t="s">
        <v>9289</v>
      </c>
    </row>
    <row r="4473" spans="1:17" x14ac:dyDescent="0.3">
      <c r="A4473" t="s">
        <v>4664</v>
      </c>
      <c r="B4473" t="str">
        <f>"300723"</f>
        <v>300723</v>
      </c>
      <c r="C4473" t="s">
        <v>9290</v>
      </c>
      <c r="D4473" t="s">
        <v>143</v>
      </c>
      <c r="F4473">
        <v>288298553</v>
      </c>
      <c r="G4473">
        <v>196600309</v>
      </c>
      <c r="H4473">
        <v>167765531</v>
      </c>
      <c r="I4473">
        <v>133308101</v>
      </c>
      <c r="J4473">
        <v>110094770</v>
      </c>
      <c r="K4473">
        <v>91110067</v>
      </c>
      <c r="P4473">
        <v>222</v>
      </c>
      <c r="Q4473" t="s">
        <v>9291</v>
      </c>
    </row>
    <row r="4474" spans="1:17" x14ac:dyDescent="0.3">
      <c r="A4474" t="s">
        <v>4664</v>
      </c>
      <c r="B4474" t="str">
        <f>"300724"</f>
        <v>300724</v>
      </c>
      <c r="C4474" t="s">
        <v>9292</v>
      </c>
      <c r="D4474" t="s">
        <v>2654</v>
      </c>
      <c r="F4474">
        <v>599496632</v>
      </c>
      <c r="G4474">
        <v>450558083</v>
      </c>
      <c r="H4474">
        <v>340857754</v>
      </c>
      <c r="I4474">
        <v>261259650</v>
      </c>
      <c r="J4474">
        <v>211517705</v>
      </c>
      <c r="P4474">
        <v>573</v>
      </c>
      <c r="Q4474" t="s">
        <v>9293</v>
      </c>
    </row>
    <row r="4475" spans="1:17" x14ac:dyDescent="0.3">
      <c r="A4475" t="s">
        <v>4664</v>
      </c>
      <c r="B4475" t="str">
        <f>"300725"</f>
        <v>300725</v>
      </c>
      <c r="C4475" t="s">
        <v>9294</v>
      </c>
      <c r="D4475" t="s">
        <v>1461</v>
      </c>
      <c r="F4475">
        <v>442378059</v>
      </c>
      <c r="G4475">
        <v>142339555</v>
      </c>
      <c r="H4475">
        <v>117428528</v>
      </c>
      <c r="I4475">
        <v>94015442</v>
      </c>
      <c r="J4475">
        <v>52637592</v>
      </c>
      <c r="K4475">
        <v>26337540</v>
      </c>
      <c r="P4475">
        <v>1114</v>
      </c>
      <c r="Q4475" t="s">
        <v>9295</v>
      </c>
    </row>
    <row r="4476" spans="1:17" x14ac:dyDescent="0.3">
      <c r="A4476" t="s">
        <v>4664</v>
      </c>
      <c r="B4476" t="str">
        <f>"300726"</f>
        <v>300726</v>
      </c>
      <c r="C4476" t="s">
        <v>9296</v>
      </c>
      <c r="D4476" t="s">
        <v>1136</v>
      </c>
      <c r="F4476">
        <v>638680938</v>
      </c>
      <c r="G4476">
        <v>336418834</v>
      </c>
      <c r="H4476">
        <v>240324655</v>
      </c>
      <c r="I4476">
        <v>177880028</v>
      </c>
      <c r="J4476">
        <v>146542282</v>
      </c>
      <c r="K4476">
        <v>137927739</v>
      </c>
      <c r="P4476">
        <v>748</v>
      </c>
      <c r="Q4476" t="s">
        <v>9297</v>
      </c>
    </row>
    <row r="4477" spans="1:17" x14ac:dyDescent="0.3">
      <c r="A4477" t="s">
        <v>4664</v>
      </c>
      <c r="B4477" t="str">
        <f>"300727"</f>
        <v>300727</v>
      </c>
      <c r="C4477" t="s">
        <v>9298</v>
      </c>
      <c r="D4477" t="s">
        <v>1205</v>
      </c>
      <c r="F4477">
        <v>71250542</v>
      </c>
      <c r="G4477">
        <v>43327405</v>
      </c>
      <c r="H4477">
        <v>45182709</v>
      </c>
      <c r="I4477">
        <v>55320660</v>
      </c>
      <c r="J4477">
        <v>34655196</v>
      </c>
      <c r="K4477">
        <v>24521047</v>
      </c>
      <c r="P4477">
        <v>73</v>
      </c>
      <c r="Q4477" t="s">
        <v>9299</v>
      </c>
    </row>
    <row r="4478" spans="1:17" x14ac:dyDescent="0.3">
      <c r="A4478" t="s">
        <v>4664</v>
      </c>
      <c r="B4478" t="str">
        <f>"300728"</f>
        <v>300728</v>
      </c>
      <c r="C4478" t="s">
        <v>9300</v>
      </c>
      <c r="J4478">
        <v>31745600</v>
      </c>
      <c r="K4478">
        <v>52340400</v>
      </c>
      <c r="P4478">
        <v>10</v>
      </c>
      <c r="Q4478" t="s">
        <v>9301</v>
      </c>
    </row>
    <row r="4479" spans="1:17" x14ac:dyDescent="0.3">
      <c r="A4479" t="s">
        <v>4664</v>
      </c>
      <c r="B4479" t="str">
        <f>"300729"</f>
        <v>300729</v>
      </c>
      <c r="C4479" t="s">
        <v>9302</v>
      </c>
      <c r="D4479" t="s">
        <v>2436</v>
      </c>
      <c r="F4479">
        <v>123583981</v>
      </c>
      <c r="G4479">
        <v>161454064</v>
      </c>
      <c r="H4479">
        <v>38434356</v>
      </c>
      <c r="I4479">
        <v>43143299</v>
      </c>
      <c r="J4479">
        <v>44008282</v>
      </c>
      <c r="K4479">
        <v>41803760</v>
      </c>
      <c r="P4479">
        <v>219</v>
      </c>
      <c r="Q4479" t="s">
        <v>9303</v>
      </c>
    </row>
    <row r="4480" spans="1:17" x14ac:dyDescent="0.3">
      <c r="A4480" t="s">
        <v>4664</v>
      </c>
      <c r="B4480" t="str">
        <f>"300730"</f>
        <v>300730</v>
      </c>
      <c r="C4480" t="s">
        <v>9304</v>
      </c>
      <c r="D4480" t="s">
        <v>945</v>
      </c>
      <c r="F4480">
        <v>-7997973</v>
      </c>
      <c r="G4480">
        <v>-9119924</v>
      </c>
      <c r="H4480">
        <v>391517</v>
      </c>
      <c r="I4480">
        <v>3838599</v>
      </c>
      <c r="J4480">
        <v>3465975</v>
      </c>
      <c r="K4480">
        <v>-11533464</v>
      </c>
      <c r="P4480">
        <v>98</v>
      </c>
      <c r="Q4480" t="s">
        <v>9305</v>
      </c>
    </row>
    <row r="4481" spans="1:17" x14ac:dyDescent="0.3">
      <c r="A4481" t="s">
        <v>4664</v>
      </c>
      <c r="B4481" t="str">
        <f>"300731"</f>
        <v>300731</v>
      </c>
      <c r="C4481" t="s">
        <v>9306</v>
      </c>
      <c r="D4481" t="s">
        <v>2460</v>
      </c>
      <c r="F4481">
        <v>23574917</v>
      </c>
      <c r="G4481">
        <v>31981402</v>
      </c>
      <c r="H4481">
        <v>52398820</v>
      </c>
      <c r="I4481">
        <v>40553806</v>
      </c>
      <c r="J4481">
        <v>46362772</v>
      </c>
      <c r="K4481">
        <v>39513761</v>
      </c>
      <c r="P4481">
        <v>186</v>
      </c>
      <c r="Q4481" t="s">
        <v>9307</v>
      </c>
    </row>
    <row r="4482" spans="1:17" x14ac:dyDescent="0.3">
      <c r="A4482" t="s">
        <v>4664</v>
      </c>
      <c r="B4482" t="str">
        <f>"300732"</f>
        <v>300732</v>
      </c>
      <c r="C4482" t="s">
        <v>9308</v>
      </c>
      <c r="D4482" t="s">
        <v>1272</v>
      </c>
      <c r="F4482">
        <v>183229664</v>
      </c>
      <c r="G4482">
        <v>156878982</v>
      </c>
      <c r="H4482">
        <v>152614757</v>
      </c>
      <c r="I4482">
        <v>175195314</v>
      </c>
      <c r="J4482">
        <v>120918885</v>
      </c>
      <c r="K4482">
        <v>63015618</v>
      </c>
      <c r="P4482">
        <v>151</v>
      </c>
      <c r="Q4482" t="s">
        <v>9309</v>
      </c>
    </row>
    <row r="4483" spans="1:17" x14ac:dyDescent="0.3">
      <c r="A4483" t="s">
        <v>4664</v>
      </c>
      <c r="B4483" t="str">
        <f>"300733"</f>
        <v>300733</v>
      </c>
      <c r="C4483" t="s">
        <v>9310</v>
      </c>
      <c r="D4483" t="s">
        <v>348</v>
      </c>
      <c r="F4483">
        <v>30198539</v>
      </c>
      <c r="G4483">
        <v>8451046</v>
      </c>
      <c r="H4483">
        <v>14858597</v>
      </c>
      <c r="I4483">
        <v>58295025</v>
      </c>
      <c r="J4483">
        <v>67692300</v>
      </c>
      <c r="K4483">
        <v>65387300</v>
      </c>
      <c r="P4483">
        <v>60</v>
      </c>
      <c r="Q4483" t="s">
        <v>9311</v>
      </c>
    </row>
    <row r="4484" spans="1:17" x14ac:dyDescent="0.3">
      <c r="A4484" t="s">
        <v>4664</v>
      </c>
      <c r="B4484" t="str">
        <f>"300735"</f>
        <v>300735</v>
      </c>
      <c r="C4484" t="s">
        <v>9312</v>
      </c>
      <c r="D4484" t="s">
        <v>313</v>
      </c>
      <c r="F4484">
        <v>225105727</v>
      </c>
      <c r="G4484">
        <v>292301617</v>
      </c>
      <c r="H4484">
        <v>306408606</v>
      </c>
      <c r="I4484">
        <v>177283162</v>
      </c>
      <c r="J4484">
        <v>140799773</v>
      </c>
      <c r="P4484">
        <v>453</v>
      </c>
      <c r="Q4484" t="s">
        <v>9313</v>
      </c>
    </row>
    <row r="4485" spans="1:17" x14ac:dyDescent="0.3">
      <c r="A4485" t="s">
        <v>4664</v>
      </c>
      <c r="B4485" t="str">
        <f>"300736"</f>
        <v>300736</v>
      </c>
      <c r="C4485" t="s">
        <v>9314</v>
      </c>
      <c r="D4485" t="s">
        <v>651</v>
      </c>
      <c r="F4485">
        <v>10078999</v>
      </c>
      <c r="G4485">
        <v>-26560217</v>
      </c>
      <c r="H4485">
        <v>-23166548</v>
      </c>
      <c r="I4485">
        <v>21453616</v>
      </c>
      <c r="J4485">
        <v>32723257</v>
      </c>
      <c r="K4485">
        <v>30251185</v>
      </c>
      <c r="P4485">
        <v>114</v>
      </c>
      <c r="Q4485" t="s">
        <v>9315</v>
      </c>
    </row>
    <row r="4486" spans="1:17" x14ac:dyDescent="0.3">
      <c r="A4486" t="s">
        <v>4664</v>
      </c>
      <c r="B4486" t="str">
        <f>"300737"</f>
        <v>300737</v>
      </c>
      <c r="C4486" t="s">
        <v>9316</v>
      </c>
      <c r="D4486" t="s">
        <v>6246</v>
      </c>
      <c r="F4486">
        <v>673328784</v>
      </c>
      <c r="G4486">
        <v>574569708</v>
      </c>
      <c r="H4486">
        <v>269477245</v>
      </c>
      <c r="I4486">
        <v>161788208</v>
      </c>
      <c r="J4486">
        <v>167233433</v>
      </c>
      <c r="K4486">
        <v>239441574</v>
      </c>
      <c r="P4486">
        <v>459</v>
      </c>
      <c r="Q4486" t="s">
        <v>9317</v>
      </c>
    </row>
    <row r="4487" spans="1:17" x14ac:dyDescent="0.3">
      <c r="A4487" t="s">
        <v>4664</v>
      </c>
      <c r="B4487" t="str">
        <f>"300738"</f>
        <v>300738</v>
      </c>
      <c r="C4487" t="s">
        <v>9318</v>
      </c>
      <c r="D4487" t="s">
        <v>316</v>
      </c>
      <c r="F4487">
        <v>123421810</v>
      </c>
      <c r="G4487">
        <v>119749721</v>
      </c>
      <c r="H4487">
        <v>78088312</v>
      </c>
      <c r="I4487">
        <v>40707905</v>
      </c>
      <c r="J4487">
        <v>49571100</v>
      </c>
      <c r="K4487">
        <v>39062100</v>
      </c>
      <c r="P4487">
        <v>300</v>
      </c>
      <c r="Q4487" t="s">
        <v>9319</v>
      </c>
    </row>
    <row r="4488" spans="1:17" x14ac:dyDescent="0.3">
      <c r="A4488" t="s">
        <v>4664</v>
      </c>
      <c r="B4488" t="str">
        <f>"300739"</f>
        <v>300739</v>
      </c>
      <c r="C4488" t="s">
        <v>9320</v>
      </c>
      <c r="D4488" t="s">
        <v>425</v>
      </c>
      <c r="F4488">
        <v>78864071</v>
      </c>
      <c r="G4488">
        <v>109790159</v>
      </c>
      <c r="H4488">
        <v>102449652</v>
      </c>
      <c r="I4488">
        <v>95166673</v>
      </c>
      <c r="J4488">
        <v>93144483</v>
      </c>
      <c r="P4488">
        <v>170</v>
      </c>
      <c r="Q4488" t="s">
        <v>9321</v>
      </c>
    </row>
    <row r="4489" spans="1:17" x14ac:dyDescent="0.3">
      <c r="A4489" t="s">
        <v>4664</v>
      </c>
      <c r="B4489" t="str">
        <f>"300740"</f>
        <v>300740</v>
      </c>
      <c r="C4489" t="s">
        <v>9322</v>
      </c>
      <c r="D4489" t="s">
        <v>709</v>
      </c>
      <c r="F4489">
        <v>146666608</v>
      </c>
      <c r="G4489">
        <v>72280805</v>
      </c>
      <c r="H4489">
        <v>7507686</v>
      </c>
      <c r="I4489">
        <v>110165764</v>
      </c>
      <c r="J4489">
        <v>98179158</v>
      </c>
      <c r="P4489">
        <v>256</v>
      </c>
      <c r="Q4489" t="s">
        <v>9323</v>
      </c>
    </row>
    <row r="4490" spans="1:17" x14ac:dyDescent="0.3">
      <c r="A4490" t="s">
        <v>4664</v>
      </c>
      <c r="B4490" t="str">
        <f>"300741"</f>
        <v>300741</v>
      </c>
      <c r="C4490" t="s">
        <v>9324</v>
      </c>
      <c r="D4490" t="s">
        <v>677</v>
      </c>
      <c r="F4490">
        <v>753565975</v>
      </c>
      <c r="G4490">
        <v>819746148</v>
      </c>
      <c r="H4490">
        <v>833066529</v>
      </c>
      <c r="I4490">
        <v>784708805</v>
      </c>
      <c r="J4490">
        <v>709924029</v>
      </c>
      <c r="P4490">
        <v>458</v>
      </c>
      <c r="Q4490" t="s">
        <v>9325</v>
      </c>
    </row>
    <row r="4491" spans="1:17" x14ac:dyDescent="0.3">
      <c r="A4491" t="s">
        <v>4664</v>
      </c>
      <c r="B4491" t="str">
        <f>"300742"</f>
        <v>300742</v>
      </c>
      <c r="C4491" t="s">
        <v>9326</v>
      </c>
      <c r="D4491" t="s">
        <v>348</v>
      </c>
      <c r="F4491">
        <v>26121748</v>
      </c>
      <c r="G4491">
        <v>4495776</v>
      </c>
      <c r="H4491">
        <v>-76165520</v>
      </c>
      <c r="I4491">
        <v>-9190624</v>
      </c>
      <c r="J4491">
        <v>24369115</v>
      </c>
      <c r="P4491">
        <v>90</v>
      </c>
      <c r="Q4491" t="s">
        <v>9327</v>
      </c>
    </row>
    <row r="4492" spans="1:17" x14ac:dyDescent="0.3">
      <c r="A4492" t="s">
        <v>4664</v>
      </c>
      <c r="B4492" t="str">
        <f>"300743"</f>
        <v>300743</v>
      </c>
      <c r="C4492" t="s">
        <v>9328</v>
      </c>
      <c r="D4492" t="s">
        <v>236</v>
      </c>
      <c r="F4492">
        <v>14491319</v>
      </c>
      <c r="G4492">
        <v>14792957</v>
      </c>
      <c r="H4492">
        <v>24034026</v>
      </c>
      <c r="I4492">
        <v>24380130</v>
      </c>
      <c r="J4492">
        <v>34996212</v>
      </c>
      <c r="P4492">
        <v>54</v>
      </c>
      <c r="Q4492" t="s">
        <v>9329</v>
      </c>
    </row>
    <row r="4493" spans="1:17" x14ac:dyDescent="0.3">
      <c r="A4493" t="s">
        <v>4664</v>
      </c>
      <c r="B4493" t="str">
        <f>"300745"</f>
        <v>300745</v>
      </c>
      <c r="C4493" t="s">
        <v>9330</v>
      </c>
      <c r="D4493" t="s">
        <v>985</v>
      </c>
      <c r="F4493">
        <v>13045272</v>
      </c>
      <c r="G4493">
        <v>-132008205</v>
      </c>
      <c r="H4493">
        <v>21413176</v>
      </c>
      <c r="I4493">
        <v>55832257</v>
      </c>
      <c r="J4493">
        <v>55670586</v>
      </c>
      <c r="P4493">
        <v>76</v>
      </c>
      <c r="Q4493" t="s">
        <v>9331</v>
      </c>
    </row>
    <row r="4494" spans="1:17" x14ac:dyDescent="0.3">
      <c r="A4494" t="s">
        <v>4664</v>
      </c>
      <c r="B4494" t="str">
        <f>"300746"</f>
        <v>300746</v>
      </c>
      <c r="C4494" t="s">
        <v>9332</v>
      </c>
      <c r="D4494" t="s">
        <v>1272</v>
      </c>
      <c r="F4494">
        <v>96295202</v>
      </c>
      <c r="G4494">
        <v>58767412</v>
      </c>
      <c r="H4494">
        <v>47103070</v>
      </c>
      <c r="I4494">
        <v>44069634</v>
      </c>
      <c r="J4494">
        <v>36517788</v>
      </c>
      <c r="P4494">
        <v>66</v>
      </c>
      <c r="Q4494" t="s">
        <v>9333</v>
      </c>
    </row>
    <row r="4495" spans="1:17" x14ac:dyDescent="0.3">
      <c r="A4495" t="s">
        <v>4664</v>
      </c>
      <c r="B4495" t="str">
        <f>"300747"</f>
        <v>300747</v>
      </c>
      <c r="C4495" t="s">
        <v>9334</v>
      </c>
      <c r="D4495" t="s">
        <v>3784</v>
      </c>
      <c r="F4495">
        <v>401365230</v>
      </c>
      <c r="G4495">
        <v>179818347</v>
      </c>
      <c r="H4495">
        <v>280087022</v>
      </c>
      <c r="I4495">
        <v>364296540</v>
      </c>
      <c r="J4495">
        <v>215640755</v>
      </c>
      <c r="P4495">
        <v>3347</v>
      </c>
      <c r="Q4495" t="s">
        <v>9335</v>
      </c>
    </row>
    <row r="4496" spans="1:17" x14ac:dyDescent="0.3">
      <c r="A4496" t="s">
        <v>4664</v>
      </c>
      <c r="B4496" t="str">
        <f>"300748"</f>
        <v>300748</v>
      </c>
      <c r="C4496" t="s">
        <v>9336</v>
      </c>
      <c r="D4496" t="s">
        <v>808</v>
      </c>
      <c r="F4496">
        <v>351427480</v>
      </c>
      <c r="G4496">
        <v>152664565</v>
      </c>
      <c r="H4496">
        <v>106465216</v>
      </c>
      <c r="I4496">
        <v>114571133</v>
      </c>
      <c r="J4496">
        <v>98534599</v>
      </c>
      <c r="P4496">
        <v>341</v>
      </c>
      <c r="Q4496" t="s">
        <v>9337</v>
      </c>
    </row>
    <row r="4497" spans="1:17" x14ac:dyDescent="0.3">
      <c r="A4497" t="s">
        <v>4664</v>
      </c>
      <c r="B4497" t="str">
        <f>"300749"</f>
        <v>300749</v>
      </c>
      <c r="C4497" t="s">
        <v>9338</v>
      </c>
      <c r="D4497" t="s">
        <v>2647</v>
      </c>
      <c r="F4497">
        <v>72194297</v>
      </c>
      <c r="G4497">
        <v>10380849</v>
      </c>
      <c r="H4497">
        <v>52910118</v>
      </c>
      <c r="I4497">
        <v>51475136</v>
      </c>
      <c r="J4497">
        <v>42336169</v>
      </c>
      <c r="P4497">
        <v>97</v>
      </c>
      <c r="Q4497" t="s">
        <v>9339</v>
      </c>
    </row>
    <row r="4498" spans="1:17" x14ac:dyDescent="0.3">
      <c r="A4498" t="s">
        <v>4664</v>
      </c>
      <c r="B4498" t="str">
        <f>"300750"</f>
        <v>300750</v>
      </c>
      <c r="C4498" t="s">
        <v>9340</v>
      </c>
      <c r="D4498" t="s">
        <v>359</v>
      </c>
      <c r="F4498">
        <v>7751145659</v>
      </c>
      <c r="G4498">
        <v>3356875044</v>
      </c>
      <c r="H4498">
        <v>3464305268</v>
      </c>
      <c r="I4498">
        <v>2378500010</v>
      </c>
      <c r="J4498">
        <v>2570510205</v>
      </c>
      <c r="P4498">
        <v>4825</v>
      </c>
      <c r="Q4498" t="s">
        <v>9341</v>
      </c>
    </row>
    <row r="4499" spans="1:17" x14ac:dyDescent="0.3">
      <c r="A4499" t="s">
        <v>4664</v>
      </c>
      <c r="B4499" t="str">
        <f>"300751"</f>
        <v>300751</v>
      </c>
      <c r="C4499" t="s">
        <v>9342</v>
      </c>
      <c r="D4499" t="s">
        <v>2654</v>
      </c>
      <c r="F4499">
        <v>456055369</v>
      </c>
      <c r="G4499">
        <v>274373237</v>
      </c>
      <c r="H4499">
        <v>183561181</v>
      </c>
      <c r="I4499">
        <v>140698585</v>
      </c>
      <c r="J4499">
        <v>107189268</v>
      </c>
      <c r="P4499">
        <v>627</v>
      </c>
      <c r="Q4499" t="s">
        <v>9343</v>
      </c>
    </row>
    <row r="4500" spans="1:17" x14ac:dyDescent="0.3">
      <c r="A4500" t="s">
        <v>4664</v>
      </c>
      <c r="B4500" t="str">
        <f>"300752"</f>
        <v>300752</v>
      </c>
      <c r="C4500" t="s">
        <v>9344</v>
      </c>
      <c r="D4500" t="s">
        <v>803</v>
      </c>
      <c r="F4500">
        <v>-112667628</v>
      </c>
      <c r="G4500">
        <v>46099495</v>
      </c>
      <c r="H4500">
        <v>70574770</v>
      </c>
      <c r="I4500">
        <v>137630630</v>
      </c>
      <c r="P4500">
        <v>140</v>
      </c>
      <c r="Q4500" t="s">
        <v>9345</v>
      </c>
    </row>
    <row r="4501" spans="1:17" x14ac:dyDescent="0.3">
      <c r="A4501" t="s">
        <v>4664</v>
      </c>
      <c r="B4501" t="str">
        <f>"300753"</f>
        <v>300753</v>
      </c>
      <c r="C4501" t="s">
        <v>9346</v>
      </c>
      <c r="D4501" t="s">
        <v>122</v>
      </c>
      <c r="F4501">
        <v>48444013</v>
      </c>
      <c r="G4501">
        <v>58257550</v>
      </c>
      <c r="H4501">
        <v>75367705</v>
      </c>
      <c r="I4501">
        <v>49577531</v>
      </c>
      <c r="J4501">
        <v>32829142</v>
      </c>
      <c r="P4501">
        <v>243</v>
      </c>
      <c r="Q4501" t="s">
        <v>9347</v>
      </c>
    </row>
    <row r="4502" spans="1:17" x14ac:dyDescent="0.3">
      <c r="A4502" t="s">
        <v>4664</v>
      </c>
      <c r="B4502" t="str">
        <f>"300755"</f>
        <v>300755</v>
      </c>
      <c r="C4502" t="s">
        <v>9348</v>
      </c>
      <c r="D4502" t="s">
        <v>295</v>
      </c>
      <c r="F4502">
        <v>580968904</v>
      </c>
      <c r="G4502">
        <v>320397263</v>
      </c>
      <c r="H4502">
        <v>291056952</v>
      </c>
      <c r="I4502">
        <v>198634400</v>
      </c>
      <c r="J4502">
        <v>176176600</v>
      </c>
      <c r="P4502">
        <v>246</v>
      </c>
      <c r="Q4502" t="s">
        <v>9349</v>
      </c>
    </row>
    <row r="4503" spans="1:17" x14ac:dyDescent="0.3">
      <c r="A4503" t="s">
        <v>4664</v>
      </c>
      <c r="B4503" t="str">
        <f>"300756"</f>
        <v>300756</v>
      </c>
      <c r="C4503" t="s">
        <v>9350</v>
      </c>
      <c r="D4503" t="s">
        <v>2904</v>
      </c>
      <c r="F4503">
        <v>39401293</v>
      </c>
      <c r="G4503">
        <v>12464173</v>
      </c>
      <c r="H4503">
        <v>77517808</v>
      </c>
      <c r="I4503">
        <v>94594784</v>
      </c>
      <c r="J4503">
        <v>88836363</v>
      </c>
      <c r="P4503">
        <v>76</v>
      </c>
      <c r="Q4503" t="s">
        <v>9351</v>
      </c>
    </row>
    <row r="4504" spans="1:17" x14ac:dyDescent="0.3">
      <c r="A4504" t="s">
        <v>4664</v>
      </c>
      <c r="B4504" t="str">
        <f>"300757"</f>
        <v>300757</v>
      </c>
      <c r="C4504" t="s">
        <v>9352</v>
      </c>
      <c r="D4504" t="s">
        <v>3450</v>
      </c>
      <c r="F4504">
        <v>47920745</v>
      </c>
      <c r="G4504">
        <v>5683368</v>
      </c>
      <c r="H4504">
        <v>58143181</v>
      </c>
      <c r="I4504">
        <v>63889945</v>
      </c>
      <c r="J4504">
        <v>48571948</v>
      </c>
      <c r="P4504">
        <v>76</v>
      </c>
      <c r="Q4504" t="s">
        <v>9353</v>
      </c>
    </row>
    <row r="4505" spans="1:17" x14ac:dyDescent="0.3">
      <c r="A4505" t="s">
        <v>4664</v>
      </c>
      <c r="B4505" t="str">
        <f>"300758"</f>
        <v>300758</v>
      </c>
      <c r="C4505" t="s">
        <v>9354</v>
      </c>
      <c r="D4505" t="s">
        <v>2570</v>
      </c>
      <c r="F4505">
        <v>149926433</v>
      </c>
      <c r="G4505">
        <v>133280608</v>
      </c>
      <c r="H4505">
        <v>100311196</v>
      </c>
      <c r="I4505">
        <v>85931187</v>
      </c>
      <c r="J4505">
        <v>74882488</v>
      </c>
      <c r="P4505">
        <v>104</v>
      </c>
      <c r="Q4505" t="s">
        <v>9355</v>
      </c>
    </row>
    <row r="4506" spans="1:17" x14ac:dyDescent="0.3">
      <c r="A4506" t="s">
        <v>4664</v>
      </c>
      <c r="B4506" t="str">
        <f>"300759"</f>
        <v>300759</v>
      </c>
      <c r="C4506" t="s">
        <v>9356</v>
      </c>
      <c r="D4506" t="s">
        <v>1461</v>
      </c>
      <c r="F4506">
        <v>1040062761</v>
      </c>
      <c r="G4506">
        <v>789043086</v>
      </c>
      <c r="H4506">
        <v>328380338</v>
      </c>
      <c r="I4506">
        <v>230628517</v>
      </c>
      <c r="J4506">
        <v>155323520</v>
      </c>
      <c r="P4506">
        <v>1079</v>
      </c>
      <c r="Q4506" t="s">
        <v>9357</v>
      </c>
    </row>
    <row r="4507" spans="1:17" x14ac:dyDescent="0.3">
      <c r="A4507" t="s">
        <v>4664</v>
      </c>
      <c r="B4507" t="str">
        <f>"300760"</f>
        <v>300760</v>
      </c>
      <c r="C4507" t="s">
        <v>9358</v>
      </c>
      <c r="D4507" t="s">
        <v>122</v>
      </c>
      <c r="F4507">
        <v>6662883207</v>
      </c>
      <c r="G4507">
        <v>5363155897</v>
      </c>
      <c r="H4507">
        <v>3671181813</v>
      </c>
      <c r="I4507">
        <v>2896638727</v>
      </c>
      <c r="J4507">
        <v>1993952159</v>
      </c>
      <c r="P4507">
        <v>4593</v>
      </c>
      <c r="Q4507" t="s">
        <v>9359</v>
      </c>
    </row>
    <row r="4508" spans="1:17" x14ac:dyDescent="0.3">
      <c r="A4508" t="s">
        <v>4664</v>
      </c>
      <c r="B4508" t="str">
        <f>"300761"</f>
        <v>300761</v>
      </c>
      <c r="C4508" t="s">
        <v>9360</v>
      </c>
      <c r="D4508" t="s">
        <v>6173</v>
      </c>
      <c r="F4508">
        <v>-604634547</v>
      </c>
      <c r="G4508">
        <v>121815346</v>
      </c>
      <c r="H4508">
        <v>1270927679</v>
      </c>
      <c r="I4508">
        <v>976478852</v>
      </c>
      <c r="J4508">
        <v>216860369</v>
      </c>
      <c r="P4508">
        <v>369</v>
      </c>
      <c r="Q4508" t="s">
        <v>9361</v>
      </c>
    </row>
    <row r="4509" spans="1:17" x14ac:dyDescent="0.3">
      <c r="A4509" t="s">
        <v>4664</v>
      </c>
      <c r="B4509" t="str">
        <f>"300762"</f>
        <v>300762</v>
      </c>
      <c r="C4509" t="s">
        <v>9362</v>
      </c>
      <c r="D4509" t="s">
        <v>1136</v>
      </c>
      <c r="F4509">
        <v>81230826</v>
      </c>
      <c r="G4509">
        <v>50867310</v>
      </c>
      <c r="H4509">
        <v>40902878</v>
      </c>
      <c r="I4509">
        <v>35006489</v>
      </c>
      <c r="P4509">
        <v>181</v>
      </c>
      <c r="Q4509" t="s">
        <v>9363</v>
      </c>
    </row>
    <row r="4510" spans="1:17" x14ac:dyDescent="0.3">
      <c r="A4510" t="s">
        <v>4664</v>
      </c>
      <c r="B4510" t="str">
        <f>"300763"</f>
        <v>300763</v>
      </c>
      <c r="C4510" t="s">
        <v>9364</v>
      </c>
      <c r="D4510" t="s">
        <v>3797</v>
      </c>
      <c r="F4510">
        <v>363020815</v>
      </c>
      <c r="G4510">
        <v>210190505</v>
      </c>
      <c r="H4510">
        <v>72769704</v>
      </c>
      <c r="I4510">
        <v>81048592</v>
      </c>
      <c r="P4510">
        <v>582</v>
      </c>
      <c r="Q4510" t="s">
        <v>9365</v>
      </c>
    </row>
    <row r="4511" spans="1:17" x14ac:dyDescent="0.3">
      <c r="A4511" t="s">
        <v>4664</v>
      </c>
      <c r="B4511" t="str">
        <f>"300765"</f>
        <v>300765</v>
      </c>
      <c r="C4511" t="s">
        <v>9366</v>
      </c>
      <c r="D4511" t="s">
        <v>496</v>
      </c>
      <c r="F4511">
        <v>244449045</v>
      </c>
      <c r="G4511">
        <v>257185690</v>
      </c>
      <c r="H4511">
        <v>213321315</v>
      </c>
      <c r="I4511">
        <v>170738164</v>
      </c>
      <c r="P4511">
        <v>173</v>
      </c>
      <c r="Q4511" t="s">
        <v>9367</v>
      </c>
    </row>
    <row r="4512" spans="1:17" x14ac:dyDescent="0.3">
      <c r="A4512" t="s">
        <v>4664</v>
      </c>
      <c r="B4512" t="str">
        <f>"300766"</f>
        <v>300766</v>
      </c>
      <c r="C4512" t="s">
        <v>9368</v>
      </c>
      <c r="D4512" t="s">
        <v>1189</v>
      </c>
      <c r="F4512">
        <v>89117021</v>
      </c>
      <c r="G4512">
        <v>65145333</v>
      </c>
      <c r="H4512">
        <v>117740743</v>
      </c>
      <c r="I4512">
        <v>189877939</v>
      </c>
      <c r="P4512">
        <v>140</v>
      </c>
      <c r="Q4512" t="s">
        <v>9369</v>
      </c>
    </row>
    <row r="4513" spans="1:17" x14ac:dyDescent="0.3">
      <c r="A4513" t="s">
        <v>4664</v>
      </c>
      <c r="B4513" t="str">
        <f>"300767"</f>
        <v>300767</v>
      </c>
      <c r="C4513" t="s">
        <v>9370</v>
      </c>
      <c r="D4513" t="s">
        <v>2460</v>
      </c>
      <c r="F4513">
        <v>78428058</v>
      </c>
      <c r="G4513">
        <v>141275639</v>
      </c>
      <c r="H4513">
        <v>67613494</v>
      </c>
      <c r="I4513">
        <v>88106253</v>
      </c>
      <c r="P4513">
        <v>197</v>
      </c>
      <c r="Q4513" t="s">
        <v>9371</v>
      </c>
    </row>
    <row r="4514" spans="1:17" x14ac:dyDescent="0.3">
      <c r="A4514" t="s">
        <v>4664</v>
      </c>
      <c r="B4514" t="str">
        <f>"300768"</f>
        <v>300768</v>
      </c>
      <c r="C4514" t="s">
        <v>9372</v>
      </c>
      <c r="D4514" t="s">
        <v>1189</v>
      </c>
      <c r="F4514">
        <v>204610253</v>
      </c>
      <c r="G4514">
        <v>155095552</v>
      </c>
      <c r="H4514">
        <v>157558767</v>
      </c>
      <c r="I4514">
        <v>132653117</v>
      </c>
      <c r="P4514">
        <v>240</v>
      </c>
      <c r="Q4514" t="s">
        <v>9373</v>
      </c>
    </row>
    <row r="4515" spans="1:17" x14ac:dyDescent="0.3">
      <c r="A4515" t="s">
        <v>4664</v>
      </c>
      <c r="B4515" t="str">
        <f>"300769"</f>
        <v>300769</v>
      </c>
      <c r="C4515" t="s">
        <v>9374</v>
      </c>
      <c r="D4515" t="s">
        <v>1786</v>
      </c>
      <c r="F4515">
        <v>244118851</v>
      </c>
      <c r="G4515">
        <v>-11195800</v>
      </c>
      <c r="H4515">
        <v>63972623</v>
      </c>
      <c r="I4515">
        <v>61847461</v>
      </c>
      <c r="J4515">
        <v>59422104</v>
      </c>
      <c r="P4515">
        <v>325</v>
      </c>
      <c r="Q4515" t="s">
        <v>9375</v>
      </c>
    </row>
    <row r="4516" spans="1:17" x14ac:dyDescent="0.3">
      <c r="A4516" t="s">
        <v>4664</v>
      </c>
      <c r="B4516" t="str">
        <f>"300770"</f>
        <v>300770</v>
      </c>
      <c r="C4516" t="s">
        <v>9376</v>
      </c>
      <c r="D4516" t="s">
        <v>95</v>
      </c>
      <c r="F4516">
        <v>544704188</v>
      </c>
      <c r="G4516">
        <v>455135647</v>
      </c>
      <c r="H4516">
        <v>277058522</v>
      </c>
      <c r="I4516">
        <v>156158441</v>
      </c>
      <c r="P4516">
        <v>632</v>
      </c>
      <c r="Q4516" t="s">
        <v>9377</v>
      </c>
    </row>
    <row r="4517" spans="1:17" x14ac:dyDescent="0.3">
      <c r="A4517" t="s">
        <v>4664</v>
      </c>
      <c r="B4517" t="str">
        <f>"300771"</f>
        <v>300771</v>
      </c>
      <c r="C4517" t="s">
        <v>9378</v>
      </c>
      <c r="D4517" t="s">
        <v>236</v>
      </c>
      <c r="F4517">
        <v>78905383</v>
      </c>
      <c r="G4517">
        <v>200828500</v>
      </c>
      <c r="H4517">
        <v>222825532</v>
      </c>
      <c r="I4517">
        <v>167279248</v>
      </c>
      <c r="P4517">
        <v>229</v>
      </c>
      <c r="Q4517" t="s">
        <v>9379</v>
      </c>
    </row>
    <row r="4518" spans="1:17" x14ac:dyDescent="0.3">
      <c r="A4518" t="s">
        <v>4664</v>
      </c>
      <c r="B4518" t="str">
        <f>"300772"</f>
        <v>300772</v>
      </c>
      <c r="C4518" t="s">
        <v>9380</v>
      </c>
      <c r="D4518" t="s">
        <v>895</v>
      </c>
      <c r="F4518">
        <v>257219603</v>
      </c>
      <c r="G4518">
        <v>66334610</v>
      </c>
      <c r="H4518">
        <v>30818887</v>
      </c>
      <c r="I4518">
        <v>-61110949</v>
      </c>
      <c r="P4518">
        <v>177</v>
      </c>
      <c r="Q4518" t="s">
        <v>9381</v>
      </c>
    </row>
    <row r="4519" spans="1:17" x14ac:dyDescent="0.3">
      <c r="A4519" t="s">
        <v>4664</v>
      </c>
      <c r="B4519" t="str">
        <f>"300773"</f>
        <v>300773</v>
      </c>
      <c r="C4519" t="s">
        <v>9382</v>
      </c>
      <c r="D4519" t="s">
        <v>6337</v>
      </c>
      <c r="F4519">
        <v>855950815</v>
      </c>
      <c r="G4519">
        <v>735321081</v>
      </c>
      <c r="H4519">
        <v>616128387</v>
      </c>
      <c r="I4519">
        <v>485442084</v>
      </c>
      <c r="P4519">
        <v>472</v>
      </c>
      <c r="Q4519" t="s">
        <v>9383</v>
      </c>
    </row>
    <row r="4520" spans="1:17" x14ac:dyDescent="0.3">
      <c r="A4520" t="s">
        <v>4664</v>
      </c>
      <c r="B4520" t="str">
        <f>"300774"</f>
        <v>300774</v>
      </c>
      <c r="C4520" t="s">
        <v>9384</v>
      </c>
      <c r="D4520" t="s">
        <v>33</v>
      </c>
      <c r="F4520">
        <v>104670610</v>
      </c>
      <c r="P4520">
        <v>24</v>
      </c>
      <c r="Q4520" t="s">
        <v>9385</v>
      </c>
    </row>
    <row r="4521" spans="1:17" x14ac:dyDescent="0.3">
      <c r="A4521" t="s">
        <v>4664</v>
      </c>
      <c r="B4521" t="str">
        <f>"300775"</f>
        <v>300775</v>
      </c>
      <c r="C4521" t="s">
        <v>9386</v>
      </c>
      <c r="D4521" t="s">
        <v>98</v>
      </c>
      <c r="F4521">
        <v>275720328</v>
      </c>
      <c r="G4521">
        <v>125113567</v>
      </c>
      <c r="H4521">
        <v>129971501</v>
      </c>
      <c r="I4521">
        <v>103407645</v>
      </c>
      <c r="P4521">
        <v>186</v>
      </c>
      <c r="Q4521" t="s">
        <v>9387</v>
      </c>
    </row>
    <row r="4522" spans="1:17" x14ac:dyDescent="0.3">
      <c r="A4522" t="s">
        <v>4664</v>
      </c>
      <c r="B4522" t="str">
        <f>"300776"</f>
        <v>300776</v>
      </c>
      <c r="C4522" t="s">
        <v>9388</v>
      </c>
      <c r="D4522" t="s">
        <v>2654</v>
      </c>
      <c r="F4522">
        <v>281447016</v>
      </c>
      <c r="G4522">
        <v>256958870</v>
      </c>
      <c r="H4522">
        <v>225236600</v>
      </c>
      <c r="I4522">
        <v>116423595</v>
      </c>
      <c r="P4522">
        <v>397</v>
      </c>
      <c r="Q4522" t="s">
        <v>9389</v>
      </c>
    </row>
    <row r="4523" spans="1:17" x14ac:dyDescent="0.3">
      <c r="A4523" t="s">
        <v>4664</v>
      </c>
      <c r="B4523" t="str">
        <f>"300777"</f>
        <v>300777</v>
      </c>
      <c r="C4523" t="s">
        <v>9390</v>
      </c>
      <c r="D4523" t="s">
        <v>98</v>
      </c>
      <c r="F4523">
        <v>145029653</v>
      </c>
      <c r="G4523">
        <v>131499765</v>
      </c>
      <c r="H4523">
        <v>74334316</v>
      </c>
      <c r="I4523">
        <v>45381709</v>
      </c>
      <c r="P4523">
        <v>371</v>
      </c>
      <c r="Q4523" t="s">
        <v>9391</v>
      </c>
    </row>
    <row r="4524" spans="1:17" x14ac:dyDescent="0.3">
      <c r="A4524" t="s">
        <v>4664</v>
      </c>
      <c r="B4524" t="str">
        <f>"300778"</f>
        <v>300778</v>
      </c>
      <c r="C4524" t="s">
        <v>9392</v>
      </c>
      <c r="D4524" t="s">
        <v>1272</v>
      </c>
      <c r="F4524">
        <v>59711083</v>
      </c>
      <c r="G4524">
        <v>74422892</v>
      </c>
      <c r="H4524">
        <v>83263152</v>
      </c>
      <c r="I4524">
        <v>70584897</v>
      </c>
      <c r="P4524">
        <v>104</v>
      </c>
      <c r="Q4524" t="s">
        <v>9393</v>
      </c>
    </row>
    <row r="4525" spans="1:17" x14ac:dyDescent="0.3">
      <c r="A4525" t="s">
        <v>4664</v>
      </c>
      <c r="B4525" t="str">
        <f>"300779"</f>
        <v>300779</v>
      </c>
      <c r="C4525" t="s">
        <v>9394</v>
      </c>
      <c r="D4525" t="s">
        <v>499</v>
      </c>
      <c r="F4525">
        <v>10489326</v>
      </c>
      <c r="G4525">
        <v>22582777</v>
      </c>
      <c r="H4525">
        <v>39692713</v>
      </c>
      <c r="I4525">
        <v>40161400</v>
      </c>
      <c r="P4525">
        <v>62</v>
      </c>
      <c r="Q4525" t="s">
        <v>9395</v>
      </c>
    </row>
    <row r="4526" spans="1:17" x14ac:dyDescent="0.3">
      <c r="A4526" t="s">
        <v>4664</v>
      </c>
      <c r="B4526" t="str">
        <f>"300780"</f>
        <v>300780</v>
      </c>
      <c r="C4526" t="s">
        <v>9396</v>
      </c>
      <c r="D4526" t="s">
        <v>274</v>
      </c>
      <c r="F4526">
        <v>44009679</v>
      </c>
      <c r="G4526">
        <v>61431165</v>
      </c>
      <c r="H4526">
        <v>56218821</v>
      </c>
      <c r="I4526">
        <v>59557426</v>
      </c>
      <c r="P4526">
        <v>56</v>
      </c>
      <c r="Q4526" t="s">
        <v>9397</v>
      </c>
    </row>
    <row r="4527" spans="1:17" x14ac:dyDescent="0.3">
      <c r="A4527" t="s">
        <v>4664</v>
      </c>
      <c r="B4527" t="str">
        <f>"300781"</f>
        <v>300781</v>
      </c>
      <c r="C4527" t="s">
        <v>9398</v>
      </c>
      <c r="D4527" t="s">
        <v>207</v>
      </c>
      <c r="F4527">
        <v>50035722</v>
      </c>
      <c r="G4527">
        <v>17865416</v>
      </c>
      <c r="H4527">
        <v>34914360</v>
      </c>
      <c r="I4527">
        <v>43526821</v>
      </c>
      <c r="P4527">
        <v>100</v>
      </c>
      <c r="Q4527" t="s">
        <v>9399</v>
      </c>
    </row>
    <row r="4528" spans="1:17" x14ac:dyDescent="0.3">
      <c r="A4528" t="s">
        <v>4664</v>
      </c>
      <c r="B4528" t="str">
        <f>"300782"</f>
        <v>300782</v>
      </c>
      <c r="C4528" t="s">
        <v>9400</v>
      </c>
      <c r="D4528" t="s">
        <v>401</v>
      </c>
      <c r="F4528">
        <v>1527127738</v>
      </c>
      <c r="G4528">
        <v>717510248</v>
      </c>
      <c r="H4528">
        <v>322665214</v>
      </c>
      <c r="I4528">
        <v>137287019</v>
      </c>
      <c r="P4528">
        <v>1609</v>
      </c>
      <c r="Q4528" t="s">
        <v>9401</v>
      </c>
    </row>
    <row r="4529" spans="1:17" x14ac:dyDescent="0.3">
      <c r="A4529" t="s">
        <v>4664</v>
      </c>
      <c r="B4529" t="str">
        <f>"300783"</f>
        <v>300783</v>
      </c>
      <c r="C4529" t="s">
        <v>9402</v>
      </c>
      <c r="D4529" t="s">
        <v>3167</v>
      </c>
      <c r="F4529">
        <v>442253639</v>
      </c>
      <c r="G4529">
        <v>264266887</v>
      </c>
      <c r="H4529">
        <v>295668654</v>
      </c>
      <c r="I4529">
        <v>267817971</v>
      </c>
      <c r="P4529">
        <v>730</v>
      </c>
      <c r="Q4529" t="s">
        <v>9403</v>
      </c>
    </row>
    <row r="4530" spans="1:17" x14ac:dyDescent="0.3">
      <c r="A4530" t="s">
        <v>4664</v>
      </c>
      <c r="B4530" t="str">
        <f>"300785"</f>
        <v>300785</v>
      </c>
      <c r="C4530" t="s">
        <v>9404</v>
      </c>
      <c r="D4530" t="s">
        <v>522</v>
      </c>
      <c r="F4530">
        <v>103774535</v>
      </c>
      <c r="G4530">
        <v>85071234</v>
      </c>
      <c r="H4530">
        <v>61716344</v>
      </c>
      <c r="I4530">
        <v>38085603</v>
      </c>
      <c r="P4530">
        <v>332</v>
      </c>
      <c r="Q4530" t="s">
        <v>9405</v>
      </c>
    </row>
    <row r="4531" spans="1:17" x14ac:dyDescent="0.3">
      <c r="A4531" t="s">
        <v>4664</v>
      </c>
      <c r="B4531" t="str">
        <f>"300786"</f>
        <v>300786</v>
      </c>
      <c r="C4531" t="s">
        <v>9406</v>
      </c>
      <c r="D4531" t="s">
        <v>1070</v>
      </c>
      <c r="F4531">
        <v>62906988</v>
      </c>
      <c r="G4531">
        <v>56814491</v>
      </c>
      <c r="H4531">
        <v>51413678</v>
      </c>
      <c r="I4531">
        <v>44650629</v>
      </c>
      <c r="P4531">
        <v>95</v>
      </c>
      <c r="Q4531" t="s">
        <v>9407</v>
      </c>
    </row>
    <row r="4532" spans="1:17" x14ac:dyDescent="0.3">
      <c r="A4532" t="s">
        <v>4664</v>
      </c>
      <c r="B4532" t="str">
        <f>"300787"</f>
        <v>300787</v>
      </c>
      <c r="C4532" t="s">
        <v>9408</v>
      </c>
      <c r="D4532" t="s">
        <v>313</v>
      </c>
      <c r="F4532">
        <v>105669491</v>
      </c>
      <c r="G4532">
        <v>104854928</v>
      </c>
      <c r="H4532">
        <v>94230983</v>
      </c>
      <c r="I4532">
        <v>77111596</v>
      </c>
      <c r="P4532">
        <v>87</v>
      </c>
      <c r="Q4532" t="s">
        <v>9409</v>
      </c>
    </row>
    <row r="4533" spans="1:17" x14ac:dyDescent="0.3">
      <c r="A4533" t="s">
        <v>4664</v>
      </c>
      <c r="B4533" t="str">
        <f>"300788"</f>
        <v>300788</v>
      </c>
      <c r="C4533" t="s">
        <v>9410</v>
      </c>
      <c r="D4533" t="s">
        <v>525</v>
      </c>
      <c r="F4533">
        <v>201349237</v>
      </c>
      <c r="G4533">
        <v>180449141</v>
      </c>
      <c r="H4533">
        <v>175235539</v>
      </c>
      <c r="I4533">
        <v>144319022</v>
      </c>
      <c r="P4533">
        <v>347</v>
      </c>
      <c r="Q4533" t="s">
        <v>9411</v>
      </c>
    </row>
    <row r="4534" spans="1:17" x14ac:dyDescent="0.3">
      <c r="A4534" t="s">
        <v>4664</v>
      </c>
      <c r="B4534" t="str">
        <f>"300789"</f>
        <v>300789</v>
      </c>
      <c r="C4534" t="s">
        <v>9412</v>
      </c>
      <c r="D4534" t="s">
        <v>236</v>
      </c>
      <c r="F4534">
        <v>37993830</v>
      </c>
      <c r="G4534">
        <v>36957729</v>
      </c>
      <c r="H4534">
        <v>52240610</v>
      </c>
      <c r="I4534">
        <v>36386253</v>
      </c>
      <c r="P4534">
        <v>79</v>
      </c>
      <c r="Q4534" t="s">
        <v>9413</v>
      </c>
    </row>
    <row r="4535" spans="1:17" x14ac:dyDescent="0.3">
      <c r="A4535" t="s">
        <v>4664</v>
      </c>
      <c r="B4535" t="str">
        <f>"300790"</f>
        <v>300790</v>
      </c>
      <c r="C4535" t="s">
        <v>9414</v>
      </c>
      <c r="D4535" t="s">
        <v>2953</v>
      </c>
      <c r="F4535">
        <v>225580589</v>
      </c>
      <c r="G4535">
        <v>77743989</v>
      </c>
      <c r="H4535">
        <v>71036970</v>
      </c>
      <c r="I4535">
        <v>60375663</v>
      </c>
      <c r="P4535">
        <v>158</v>
      </c>
      <c r="Q4535" t="s">
        <v>9415</v>
      </c>
    </row>
    <row r="4536" spans="1:17" x14ac:dyDescent="0.3">
      <c r="A4536" t="s">
        <v>4664</v>
      </c>
      <c r="B4536" t="str">
        <f>"300791"</f>
        <v>300791</v>
      </c>
      <c r="C4536" t="s">
        <v>9416</v>
      </c>
      <c r="D4536" t="s">
        <v>838</v>
      </c>
      <c r="F4536">
        <v>200383925</v>
      </c>
      <c r="G4536">
        <v>186047362</v>
      </c>
      <c r="H4536">
        <v>119336955</v>
      </c>
      <c r="I4536">
        <v>136139447</v>
      </c>
      <c r="P4536">
        <v>286</v>
      </c>
      <c r="Q4536" t="s">
        <v>9417</v>
      </c>
    </row>
    <row r="4537" spans="1:17" x14ac:dyDescent="0.3">
      <c r="A4537" t="s">
        <v>4664</v>
      </c>
      <c r="B4537" t="str">
        <f>"300792"</f>
        <v>300792</v>
      </c>
      <c r="C4537" t="s">
        <v>9418</v>
      </c>
      <c r="D4537" t="s">
        <v>3590</v>
      </c>
      <c r="F4537">
        <v>203560854</v>
      </c>
      <c r="G4537">
        <v>163844020</v>
      </c>
      <c r="H4537">
        <v>96191681</v>
      </c>
      <c r="I4537">
        <v>74346418</v>
      </c>
      <c r="P4537">
        <v>369</v>
      </c>
      <c r="Q4537" t="s">
        <v>9419</v>
      </c>
    </row>
    <row r="4538" spans="1:17" x14ac:dyDescent="0.3">
      <c r="A4538" t="s">
        <v>4664</v>
      </c>
      <c r="B4538" t="str">
        <f>"300793"</f>
        <v>300793</v>
      </c>
      <c r="C4538" t="s">
        <v>9420</v>
      </c>
      <c r="D4538" t="s">
        <v>313</v>
      </c>
      <c r="F4538">
        <v>81067287</v>
      </c>
      <c r="G4538">
        <v>56505975</v>
      </c>
      <c r="H4538">
        <v>97645993</v>
      </c>
      <c r="I4538">
        <v>78805718</v>
      </c>
      <c r="P4538">
        <v>144</v>
      </c>
      <c r="Q4538" t="s">
        <v>9421</v>
      </c>
    </row>
    <row r="4539" spans="1:17" x14ac:dyDescent="0.3">
      <c r="A4539" t="s">
        <v>4664</v>
      </c>
      <c r="B4539" t="str">
        <f>"300795"</f>
        <v>300795</v>
      </c>
      <c r="C4539" t="s">
        <v>9422</v>
      </c>
      <c r="D4539" t="s">
        <v>1671</v>
      </c>
      <c r="F4539">
        <v>-41018290</v>
      </c>
      <c r="G4539">
        <v>-50892121</v>
      </c>
      <c r="H4539">
        <v>26311676</v>
      </c>
      <c r="I4539">
        <v>24913147</v>
      </c>
      <c r="P4539">
        <v>109</v>
      </c>
      <c r="Q4539" t="s">
        <v>9423</v>
      </c>
    </row>
    <row r="4540" spans="1:17" x14ac:dyDescent="0.3">
      <c r="A4540" t="s">
        <v>4664</v>
      </c>
      <c r="B4540" t="str">
        <f>"300796"</f>
        <v>300796</v>
      </c>
      <c r="C4540" t="s">
        <v>9424</v>
      </c>
      <c r="D4540" t="s">
        <v>853</v>
      </c>
      <c r="F4540">
        <v>43979627</v>
      </c>
      <c r="G4540">
        <v>14988577</v>
      </c>
      <c r="H4540">
        <v>51549361</v>
      </c>
      <c r="I4540">
        <v>49460766</v>
      </c>
      <c r="P4540">
        <v>45</v>
      </c>
      <c r="Q4540" t="s">
        <v>9425</v>
      </c>
    </row>
    <row r="4541" spans="1:17" x14ac:dyDescent="0.3">
      <c r="A4541" t="s">
        <v>4664</v>
      </c>
      <c r="B4541" t="str">
        <f>"300797"</f>
        <v>300797</v>
      </c>
      <c r="C4541" t="s">
        <v>9426</v>
      </c>
      <c r="D4541" t="s">
        <v>110</v>
      </c>
      <c r="F4541">
        <v>70194104</v>
      </c>
      <c r="G4541">
        <v>41928206</v>
      </c>
      <c r="H4541">
        <v>51782521</v>
      </c>
      <c r="I4541">
        <v>35074674</v>
      </c>
      <c r="P4541">
        <v>67</v>
      </c>
      <c r="Q4541" t="s">
        <v>9427</v>
      </c>
    </row>
    <row r="4542" spans="1:17" x14ac:dyDescent="0.3">
      <c r="A4542" t="s">
        <v>4664</v>
      </c>
      <c r="B4542" t="str">
        <f>"300798"</f>
        <v>300798</v>
      </c>
      <c r="C4542" t="s">
        <v>9428</v>
      </c>
      <c r="D4542" t="s">
        <v>779</v>
      </c>
      <c r="F4542">
        <v>47798792</v>
      </c>
      <c r="G4542">
        <v>4217801</v>
      </c>
      <c r="H4542">
        <v>87859985</v>
      </c>
      <c r="I4542">
        <v>84898630</v>
      </c>
      <c r="P4542">
        <v>55</v>
      </c>
      <c r="Q4542" t="s">
        <v>9429</v>
      </c>
    </row>
    <row r="4543" spans="1:17" x14ac:dyDescent="0.3">
      <c r="A4543" t="s">
        <v>4664</v>
      </c>
      <c r="B4543" t="str">
        <f>"300799"</f>
        <v>300799</v>
      </c>
      <c r="C4543" t="s">
        <v>9430</v>
      </c>
      <c r="D4543" t="s">
        <v>1189</v>
      </c>
      <c r="F4543">
        <v>22411492</v>
      </c>
      <c r="G4543">
        <v>27644326</v>
      </c>
      <c r="H4543">
        <v>23108890</v>
      </c>
      <c r="I4543">
        <v>15159526</v>
      </c>
      <c r="P4543">
        <v>140</v>
      </c>
      <c r="Q4543" t="s">
        <v>9431</v>
      </c>
    </row>
    <row r="4544" spans="1:17" x14ac:dyDescent="0.3">
      <c r="A4544" t="s">
        <v>4664</v>
      </c>
      <c r="B4544" t="str">
        <f>"300800"</f>
        <v>300800</v>
      </c>
      <c r="C4544" t="s">
        <v>9432</v>
      </c>
      <c r="D4544" t="s">
        <v>1070</v>
      </c>
      <c r="F4544">
        <v>191332421</v>
      </c>
      <c r="G4544">
        <v>189367903</v>
      </c>
      <c r="H4544">
        <v>176593559</v>
      </c>
      <c r="I4544">
        <v>151460298</v>
      </c>
      <c r="P4544">
        <v>362</v>
      </c>
      <c r="Q4544" t="s">
        <v>9433</v>
      </c>
    </row>
    <row r="4545" spans="1:17" x14ac:dyDescent="0.3">
      <c r="A4545" t="s">
        <v>4664</v>
      </c>
      <c r="B4545" t="str">
        <f>"300801"</f>
        <v>300801</v>
      </c>
      <c r="C4545" t="s">
        <v>9434</v>
      </c>
      <c r="D4545" t="s">
        <v>386</v>
      </c>
      <c r="F4545">
        <v>118482107</v>
      </c>
      <c r="G4545">
        <v>174401949</v>
      </c>
      <c r="H4545">
        <v>135951989</v>
      </c>
      <c r="I4545">
        <v>137024542</v>
      </c>
      <c r="P4545">
        <v>112</v>
      </c>
      <c r="Q4545" t="s">
        <v>9435</v>
      </c>
    </row>
    <row r="4546" spans="1:17" x14ac:dyDescent="0.3">
      <c r="A4546" t="s">
        <v>4664</v>
      </c>
      <c r="B4546" t="str">
        <f>"300802"</f>
        <v>300802</v>
      </c>
      <c r="C4546" t="s">
        <v>9436</v>
      </c>
      <c r="D4546" t="s">
        <v>3450</v>
      </c>
      <c r="F4546">
        <v>86584867</v>
      </c>
      <c r="G4546">
        <v>68338406</v>
      </c>
      <c r="H4546">
        <v>65956244</v>
      </c>
      <c r="I4546">
        <v>71851663</v>
      </c>
      <c r="P4546">
        <v>182</v>
      </c>
      <c r="Q4546" t="s">
        <v>9437</v>
      </c>
    </row>
    <row r="4547" spans="1:17" x14ac:dyDescent="0.3">
      <c r="A4547" t="s">
        <v>4664</v>
      </c>
      <c r="B4547" t="str">
        <f>"300803"</f>
        <v>300803</v>
      </c>
      <c r="C4547" t="s">
        <v>9438</v>
      </c>
      <c r="D4547" t="s">
        <v>945</v>
      </c>
      <c r="F4547">
        <v>163636737</v>
      </c>
      <c r="G4547">
        <v>82921298</v>
      </c>
      <c r="H4547">
        <v>125534032</v>
      </c>
      <c r="I4547">
        <v>100683642</v>
      </c>
      <c r="P4547">
        <v>194</v>
      </c>
      <c r="Q4547" t="s">
        <v>9439</v>
      </c>
    </row>
    <row r="4548" spans="1:17" x14ac:dyDescent="0.3">
      <c r="A4548" t="s">
        <v>4664</v>
      </c>
      <c r="B4548" t="str">
        <f>"300805"</f>
        <v>300805</v>
      </c>
      <c r="C4548" t="s">
        <v>9440</v>
      </c>
      <c r="D4548" t="s">
        <v>207</v>
      </c>
      <c r="F4548">
        <v>6713673</v>
      </c>
      <c r="G4548">
        <v>97259107</v>
      </c>
      <c r="H4548">
        <v>149299979</v>
      </c>
      <c r="I4548">
        <v>134906817</v>
      </c>
      <c r="P4548">
        <v>71</v>
      </c>
      <c r="Q4548" t="s">
        <v>9441</v>
      </c>
    </row>
    <row r="4549" spans="1:17" x14ac:dyDescent="0.3">
      <c r="A4549" t="s">
        <v>4664</v>
      </c>
      <c r="B4549" t="str">
        <f>"300806"</f>
        <v>300806</v>
      </c>
      <c r="C4549" t="s">
        <v>9442</v>
      </c>
      <c r="D4549" t="s">
        <v>324</v>
      </c>
      <c r="F4549">
        <v>133120308</v>
      </c>
      <c r="G4549">
        <v>107499468</v>
      </c>
      <c r="H4549">
        <v>70402376</v>
      </c>
      <c r="I4549">
        <v>31607559</v>
      </c>
      <c r="P4549">
        <v>168</v>
      </c>
      <c r="Q4549" t="s">
        <v>9443</v>
      </c>
    </row>
    <row r="4550" spans="1:17" x14ac:dyDescent="0.3">
      <c r="A4550" t="s">
        <v>4664</v>
      </c>
      <c r="B4550" t="str">
        <f>"300807"</f>
        <v>300807</v>
      </c>
      <c r="C4550" t="s">
        <v>9444</v>
      </c>
      <c r="D4550" t="s">
        <v>236</v>
      </c>
      <c r="F4550">
        <v>-41610547</v>
      </c>
      <c r="G4550">
        <v>-12888275</v>
      </c>
      <c r="H4550">
        <v>30207025</v>
      </c>
      <c r="I4550">
        <v>8992060</v>
      </c>
      <c r="P4550">
        <v>103</v>
      </c>
      <c r="Q4550" t="s">
        <v>9445</v>
      </c>
    </row>
    <row r="4551" spans="1:17" x14ac:dyDescent="0.3">
      <c r="A4551" t="s">
        <v>4664</v>
      </c>
      <c r="B4551" t="str">
        <f>"300808"</f>
        <v>300808</v>
      </c>
      <c r="C4551" t="s">
        <v>9446</v>
      </c>
      <c r="D4551" t="s">
        <v>803</v>
      </c>
      <c r="F4551">
        <v>19351828</v>
      </c>
      <c r="G4551">
        <v>28537215</v>
      </c>
      <c r="H4551">
        <v>68874328</v>
      </c>
      <c r="I4551">
        <v>65360136</v>
      </c>
      <c r="P4551">
        <v>55</v>
      </c>
      <c r="Q4551" t="s">
        <v>9447</v>
      </c>
    </row>
    <row r="4552" spans="1:17" x14ac:dyDescent="0.3">
      <c r="A4552" t="s">
        <v>4664</v>
      </c>
      <c r="B4552" t="str">
        <f>"300809"</f>
        <v>300809</v>
      </c>
      <c r="C4552" t="s">
        <v>9448</v>
      </c>
      <c r="D4552" t="s">
        <v>2312</v>
      </c>
      <c r="F4552">
        <v>73306341</v>
      </c>
      <c r="G4552">
        <v>5080257</v>
      </c>
      <c r="H4552">
        <v>117217476</v>
      </c>
      <c r="I4552">
        <v>93158017</v>
      </c>
      <c r="P4552">
        <v>110</v>
      </c>
      <c r="Q4552" t="s">
        <v>9449</v>
      </c>
    </row>
    <row r="4553" spans="1:17" x14ac:dyDescent="0.3">
      <c r="A4553" t="s">
        <v>4664</v>
      </c>
      <c r="B4553" t="str">
        <f>"300810"</f>
        <v>300810</v>
      </c>
      <c r="C4553" t="s">
        <v>9450</v>
      </c>
      <c r="D4553" t="s">
        <v>167</v>
      </c>
      <c r="F4553">
        <v>6217669</v>
      </c>
      <c r="G4553">
        <v>-12575629</v>
      </c>
      <c r="H4553">
        <v>52356605</v>
      </c>
      <c r="I4553">
        <v>28355607</v>
      </c>
      <c r="P4553">
        <v>57</v>
      </c>
      <c r="Q4553" t="s">
        <v>9451</v>
      </c>
    </row>
    <row r="4554" spans="1:17" x14ac:dyDescent="0.3">
      <c r="A4554" t="s">
        <v>4664</v>
      </c>
      <c r="B4554" t="str">
        <f>"300811"</f>
        <v>300811</v>
      </c>
      <c r="C4554" t="s">
        <v>9452</v>
      </c>
      <c r="D4554" t="s">
        <v>808</v>
      </c>
      <c r="F4554">
        <v>84355953</v>
      </c>
      <c r="G4554">
        <v>77676228</v>
      </c>
      <c r="H4554">
        <v>64340099</v>
      </c>
      <c r="I4554">
        <v>49599904</v>
      </c>
      <c r="P4554">
        <v>163</v>
      </c>
      <c r="Q4554" t="s">
        <v>9453</v>
      </c>
    </row>
    <row r="4555" spans="1:17" x14ac:dyDescent="0.3">
      <c r="A4555" t="s">
        <v>4664</v>
      </c>
      <c r="B4555" t="str">
        <f>"300812"</f>
        <v>300812</v>
      </c>
      <c r="C4555" t="s">
        <v>9454</v>
      </c>
      <c r="D4555" t="s">
        <v>3160</v>
      </c>
      <c r="F4555">
        <v>63555730</v>
      </c>
      <c r="G4555">
        <v>53528667</v>
      </c>
      <c r="H4555">
        <v>72038302</v>
      </c>
      <c r="P4555">
        <v>111</v>
      </c>
      <c r="Q4555" t="s">
        <v>9455</v>
      </c>
    </row>
    <row r="4556" spans="1:17" x14ac:dyDescent="0.3">
      <c r="A4556" t="s">
        <v>4664</v>
      </c>
      <c r="B4556" t="str">
        <f>"300813"</f>
        <v>300813</v>
      </c>
      <c r="C4556" t="s">
        <v>9456</v>
      </c>
      <c r="D4556" t="s">
        <v>741</v>
      </c>
      <c r="F4556">
        <v>42375107</v>
      </c>
      <c r="G4556">
        <v>32695397</v>
      </c>
      <c r="H4556">
        <v>25331371</v>
      </c>
      <c r="I4556">
        <v>28167486</v>
      </c>
      <c r="P4556">
        <v>106</v>
      </c>
      <c r="Q4556" t="s">
        <v>9457</v>
      </c>
    </row>
    <row r="4557" spans="1:17" x14ac:dyDescent="0.3">
      <c r="A4557" t="s">
        <v>4664</v>
      </c>
      <c r="B4557" t="str">
        <f>"300814"</f>
        <v>300814</v>
      </c>
      <c r="C4557" t="s">
        <v>9458</v>
      </c>
      <c r="D4557" t="s">
        <v>425</v>
      </c>
      <c r="F4557">
        <v>71273889</v>
      </c>
      <c r="G4557">
        <v>81240102</v>
      </c>
      <c r="P4557">
        <v>14</v>
      </c>
      <c r="Q4557" t="s">
        <v>9459</v>
      </c>
    </row>
    <row r="4558" spans="1:17" x14ac:dyDescent="0.3">
      <c r="A4558" t="s">
        <v>4664</v>
      </c>
      <c r="B4558" t="str">
        <f>"300815"</f>
        <v>300815</v>
      </c>
      <c r="C4558" t="s">
        <v>9460</v>
      </c>
      <c r="D4558" t="s">
        <v>499</v>
      </c>
      <c r="F4558">
        <v>423124802</v>
      </c>
      <c r="G4558">
        <v>527814252</v>
      </c>
      <c r="H4558">
        <v>239229401</v>
      </c>
      <c r="I4558">
        <v>146432497</v>
      </c>
      <c r="P4558">
        <v>345</v>
      </c>
      <c r="Q4558" t="s">
        <v>9461</v>
      </c>
    </row>
    <row r="4559" spans="1:17" x14ac:dyDescent="0.3">
      <c r="A4559" t="s">
        <v>4664</v>
      </c>
      <c r="B4559" t="str">
        <f>"300816"</f>
        <v>300816</v>
      </c>
      <c r="C4559" t="s">
        <v>9462</v>
      </c>
      <c r="D4559" t="s">
        <v>985</v>
      </c>
      <c r="F4559">
        <v>56227135</v>
      </c>
      <c r="G4559">
        <v>88802890</v>
      </c>
      <c r="H4559">
        <v>80079358</v>
      </c>
      <c r="I4559">
        <v>54108696</v>
      </c>
      <c r="P4559">
        <v>150</v>
      </c>
      <c r="Q4559" t="s">
        <v>9463</v>
      </c>
    </row>
    <row r="4560" spans="1:17" x14ac:dyDescent="0.3">
      <c r="A4560" t="s">
        <v>4664</v>
      </c>
      <c r="B4560" t="str">
        <f>"300817"</f>
        <v>300817</v>
      </c>
      <c r="C4560" t="s">
        <v>9464</v>
      </c>
      <c r="D4560" t="s">
        <v>274</v>
      </c>
      <c r="F4560">
        <v>76863504</v>
      </c>
      <c r="G4560">
        <v>49987250</v>
      </c>
      <c r="H4560">
        <v>47761190</v>
      </c>
      <c r="P4560">
        <v>63</v>
      </c>
      <c r="Q4560" t="s">
        <v>9465</v>
      </c>
    </row>
    <row r="4561" spans="1:17" x14ac:dyDescent="0.3">
      <c r="A4561" t="s">
        <v>4664</v>
      </c>
      <c r="B4561" t="str">
        <f>"300818"</f>
        <v>300818</v>
      </c>
      <c r="C4561" t="s">
        <v>9466</v>
      </c>
      <c r="D4561" t="s">
        <v>404</v>
      </c>
      <c r="F4561">
        <v>95340331</v>
      </c>
      <c r="G4561">
        <v>27155885</v>
      </c>
      <c r="H4561">
        <v>57027500</v>
      </c>
      <c r="I4561">
        <v>51790200</v>
      </c>
      <c r="P4561">
        <v>92</v>
      </c>
      <c r="Q4561" t="s">
        <v>9467</v>
      </c>
    </row>
    <row r="4562" spans="1:17" x14ac:dyDescent="0.3">
      <c r="A4562" t="s">
        <v>4664</v>
      </c>
      <c r="B4562" t="str">
        <f>"300819"</f>
        <v>300819</v>
      </c>
      <c r="C4562" t="s">
        <v>9468</v>
      </c>
      <c r="D4562" t="s">
        <v>366</v>
      </c>
      <c r="F4562">
        <v>32010463</v>
      </c>
      <c r="G4562">
        <v>14376373</v>
      </c>
      <c r="H4562">
        <v>44512095</v>
      </c>
      <c r="I4562">
        <v>51329819</v>
      </c>
      <c r="P4562">
        <v>50</v>
      </c>
      <c r="Q4562" t="s">
        <v>9469</v>
      </c>
    </row>
    <row r="4563" spans="1:17" x14ac:dyDescent="0.3">
      <c r="A4563" t="s">
        <v>4664</v>
      </c>
      <c r="B4563" t="str">
        <f>"300820"</f>
        <v>300820</v>
      </c>
      <c r="C4563" t="s">
        <v>9470</v>
      </c>
      <c r="D4563" t="s">
        <v>880</v>
      </c>
      <c r="F4563">
        <v>121358986</v>
      </c>
      <c r="G4563">
        <v>67241600</v>
      </c>
      <c r="H4563">
        <v>87631500</v>
      </c>
      <c r="I4563">
        <v>93729300</v>
      </c>
      <c r="P4563">
        <v>369</v>
      </c>
      <c r="Q4563" t="s">
        <v>9471</v>
      </c>
    </row>
    <row r="4564" spans="1:17" x14ac:dyDescent="0.3">
      <c r="A4564" t="s">
        <v>4664</v>
      </c>
      <c r="B4564" t="str">
        <f>"300821"</f>
        <v>300821</v>
      </c>
      <c r="C4564" t="s">
        <v>9472</v>
      </c>
      <c r="D4564" t="s">
        <v>1205</v>
      </c>
      <c r="F4564">
        <v>777939698</v>
      </c>
      <c r="G4564">
        <v>112850428</v>
      </c>
      <c r="H4564">
        <v>459403873</v>
      </c>
      <c r="P4564">
        <v>159</v>
      </c>
      <c r="Q4564" t="s">
        <v>9473</v>
      </c>
    </row>
    <row r="4565" spans="1:17" x14ac:dyDescent="0.3">
      <c r="A4565" t="s">
        <v>4664</v>
      </c>
      <c r="B4565" t="str">
        <f>"300822"</f>
        <v>300822</v>
      </c>
      <c r="C4565" t="s">
        <v>9474</v>
      </c>
      <c r="D4565" t="s">
        <v>313</v>
      </c>
      <c r="F4565">
        <v>125862421</v>
      </c>
      <c r="G4565">
        <v>133139859</v>
      </c>
      <c r="H4565">
        <v>114215842</v>
      </c>
      <c r="P4565">
        <v>131</v>
      </c>
      <c r="Q4565" t="s">
        <v>9475</v>
      </c>
    </row>
    <row r="4566" spans="1:17" x14ac:dyDescent="0.3">
      <c r="A4566" t="s">
        <v>4664</v>
      </c>
      <c r="B4566" t="str">
        <f>"300823"</f>
        <v>300823</v>
      </c>
      <c r="C4566" t="s">
        <v>9476</v>
      </c>
      <c r="D4566" t="s">
        <v>741</v>
      </c>
      <c r="F4566">
        <v>70996024</v>
      </c>
      <c r="G4566">
        <v>64329618</v>
      </c>
      <c r="H4566">
        <v>68582878</v>
      </c>
      <c r="P4566">
        <v>109</v>
      </c>
      <c r="Q4566" t="s">
        <v>9477</v>
      </c>
    </row>
    <row r="4567" spans="1:17" x14ac:dyDescent="0.3">
      <c r="A4567" t="s">
        <v>4664</v>
      </c>
      <c r="B4567" t="str">
        <f>"300824"</f>
        <v>300824</v>
      </c>
      <c r="C4567" t="s">
        <v>9478</v>
      </c>
      <c r="D4567" t="s">
        <v>5712</v>
      </c>
      <c r="F4567">
        <v>68723815</v>
      </c>
      <c r="G4567">
        <v>68113448</v>
      </c>
      <c r="H4567">
        <v>43020206</v>
      </c>
      <c r="P4567">
        <v>167</v>
      </c>
      <c r="Q4567" t="s">
        <v>9479</v>
      </c>
    </row>
    <row r="4568" spans="1:17" x14ac:dyDescent="0.3">
      <c r="A4568" t="s">
        <v>4664</v>
      </c>
      <c r="B4568" t="str">
        <f>"300825"</f>
        <v>300825</v>
      </c>
      <c r="C4568" t="s">
        <v>9480</v>
      </c>
      <c r="D4568" t="s">
        <v>2359</v>
      </c>
      <c r="F4568">
        <v>141733035</v>
      </c>
      <c r="G4568">
        <v>77789674</v>
      </c>
      <c r="H4568">
        <v>103579728</v>
      </c>
      <c r="P4568">
        <v>92</v>
      </c>
      <c r="Q4568" t="s">
        <v>9481</v>
      </c>
    </row>
    <row r="4569" spans="1:17" x14ac:dyDescent="0.3">
      <c r="A4569" t="s">
        <v>4664</v>
      </c>
      <c r="B4569" t="str">
        <f>"300826"</f>
        <v>300826</v>
      </c>
      <c r="C4569" t="s">
        <v>9482</v>
      </c>
      <c r="D4569" t="s">
        <v>1272</v>
      </c>
      <c r="F4569">
        <v>42231234</v>
      </c>
      <c r="G4569">
        <v>34377445</v>
      </c>
      <c r="H4569">
        <v>41586384</v>
      </c>
      <c r="P4569">
        <v>61</v>
      </c>
      <c r="Q4569" t="s">
        <v>9483</v>
      </c>
    </row>
    <row r="4570" spans="1:17" x14ac:dyDescent="0.3">
      <c r="A4570" t="s">
        <v>4664</v>
      </c>
      <c r="B4570" t="str">
        <f>"300827"</f>
        <v>300827</v>
      </c>
      <c r="C4570" t="s">
        <v>9484</v>
      </c>
      <c r="D4570" t="s">
        <v>3797</v>
      </c>
      <c r="F4570">
        <v>44564250</v>
      </c>
      <c r="G4570">
        <v>55584809</v>
      </c>
      <c r="H4570">
        <v>51373173</v>
      </c>
      <c r="P4570">
        <v>233</v>
      </c>
      <c r="Q4570" t="s">
        <v>9485</v>
      </c>
    </row>
    <row r="4571" spans="1:17" x14ac:dyDescent="0.3">
      <c r="A4571" t="s">
        <v>4664</v>
      </c>
      <c r="B4571" t="str">
        <f>"300828"</f>
        <v>300828</v>
      </c>
      <c r="C4571" t="s">
        <v>9486</v>
      </c>
      <c r="D4571" t="s">
        <v>274</v>
      </c>
      <c r="F4571">
        <v>54385431</v>
      </c>
      <c r="G4571">
        <v>46016330</v>
      </c>
      <c r="H4571">
        <v>45556413</v>
      </c>
      <c r="P4571">
        <v>91</v>
      </c>
      <c r="Q4571" t="s">
        <v>9487</v>
      </c>
    </row>
    <row r="4572" spans="1:17" x14ac:dyDescent="0.3">
      <c r="A4572" t="s">
        <v>4664</v>
      </c>
      <c r="B4572" t="str">
        <f>"300829"</f>
        <v>300829</v>
      </c>
      <c r="C4572" t="s">
        <v>9488</v>
      </c>
      <c r="D4572" t="s">
        <v>677</v>
      </c>
      <c r="F4572">
        <v>111135182</v>
      </c>
      <c r="G4572">
        <v>103179123</v>
      </c>
      <c r="H4572">
        <v>94345613</v>
      </c>
      <c r="P4572">
        <v>125</v>
      </c>
      <c r="Q4572" t="s">
        <v>9489</v>
      </c>
    </row>
    <row r="4573" spans="1:17" x14ac:dyDescent="0.3">
      <c r="A4573" t="s">
        <v>4664</v>
      </c>
      <c r="B4573" t="str">
        <f>"300830"</f>
        <v>300830</v>
      </c>
      <c r="C4573" t="s">
        <v>9490</v>
      </c>
      <c r="D4573" t="s">
        <v>945</v>
      </c>
      <c r="F4573">
        <v>18404354</v>
      </c>
      <c r="G4573">
        <v>23596179</v>
      </c>
      <c r="H4573">
        <v>19730866</v>
      </c>
      <c r="P4573">
        <v>74</v>
      </c>
      <c r="Q4573" t="s">
        <v>9491</v>
      </c>
    </row>
    <row r="4574" spans="1:17" x14ac:dyDescent="0.3">
      <c r="A4574" t="s">
        <v>4664</v>
      </c>
      <c r="B4574" t="str">
        <f>"300831"</f>
        <v>300831</v>
      </c>
      <c r="C4574" t="s">
        <v>9492</v>
      </c>
      <c r="D4574" t="s">
        <v>795</v>
      </c>
      <c r="F4574">
        <v>41469686</v>
      </c>
      <c r="G4574">
        <v>28192860</v>
      </c>
      <c r="H4574">
        <v>28566873</v>
      </c>
      <c r="P4574">
        <v>129</v>
      </c>
      <c r="Q4574" t="s">
        <v>9493</v>
      </c>
    </row>
    <row r="4575" spans="1:17" x14ac:dyDescent="0.3">
      <c r="A4575" t="s">
        <v>4664</v>
      </c>
      <c r="B4575" t="str">
        <f>"300832"</f>
        <v>300832</v>
      </c>
      <c r="C4575" t="s">
        <v>9494</v>
      </c>
      <c r="D4575" t="s">
        <v>1305</v>
      </c>
      <c r="F4575">
        <v>665717653</v>
      </c>
      <c r="G4575">
        <v>698365587</v>
      </c>
      <c r="H4575">
        <v>560348008</v>
      </c>
      <c r="P4575">
        <v>513</v>
      </c>
      <c r="Q4575" t="s">
        <v>9495</v>
      </c>
    </row>
    <row r="4576" spans="1:17" x14ac:dyDescent="0.3">
      <c r="A4576" t="s">
        <v>4664</v>
      </c>
      <c r="B4576" t="str">
        <f>"300833"</f>
        <v>300833</v>
      </c>
      <c r="C4576" t="s">
        <v>9496</v>
      </c>
      <c r="D4576" t="s">
        <v>741</v>
      </c>
      <c r="F4576">
        <v>92521948</v>
      </c>
      <c r="G4576">
        <v>66746952</v>
      </c>
      <c r="H4576">
        <v>150140680</v>
      </c>
      <c r="P4576">
        <v>89</v>
      </c>
      <c r="Q4576" t="s">
        <v>9497</v>
      </c>
    </row>
    <row r="4577" spans="1:17" x14ac:dyDescent="0.3">
      <c r="A4577" t="s">
        <v>4664</v>
      </c>
      <c r="B4577" t="str">
        <f>"300834"</f>
        <v>300834</v>
      </c>
      <c r="C4577" t="s">
        <v>9498</v>
      </c>
      <c r="D4577" t="s">
        <v>3350</v>
      </c>
      <c r="F4577">
        <v>236230468</v>
      </c>
      <c r="G4577">
        <v>133314339</v>
      </c>
      <c r="P4577">
        <v>19</v>
      </c>
      <c r="Q4577" t="s">
        <v>9499</v>
      </c>
    </row>
    <row r="4578" spans="1:17" x14ac:dyDescent="0.3">
      <c r="A4578" t="s">
        <v>4664</v>
      </c>
      <c r="B4578" t="str">
        <f>"300835"</f>
        <v>300835</v>
      </c>
      <c r="C4578" t="s">
        <v>9500</v>
      </c>
      <c r="D4578" t="s">
        <v>808</v>
      </c>
      <c r="F4578">
        <v>103719101</v>
      </c>
      <c r="G4578">
        <v>37439104</v>
      </c>
      <c r="H4578">
        <v>61734207</v>
      </c>
      <c r="P4578">
        <v>67</v>
      </c>
      <c r="Q4578" t="s">
        <v>9501</v>
      </c>
    </row>
    <row r="4579" spans="1:17" x14ac:dyDescent="0.3">
      <c r="A4579" t="s">
        <v>4664</v>
      </c>
      <c r="B4579" t="str">
        <f>"300836"</f>
        <v>300836</v>
      </c>
      <c r="C4579" t="s">
        <v>9502</v>
      </c>
      <c r="D4579" t="s">
        <v>741</v>
      </c>
      <c r="F4579">
        <v>10804732</v>
      </c>
      <c r="G4579">
        <v>15109644</v>
      </c>
      <c r="H4579">
        <v>21890758</v>
      </c>
      <c r="P4579">
        <v>61</v>
      </c>
      <c r="Q4579" t="s">
        <v>9503</v>
      </c>
    </row>
    <row r="4580" spans="1:17" x14ac:dyDescent="0.3">
      <c r="A4580" t="s">
        <v>4664</v>
      </c>
      <c r="B4580" t="str">
        <f>"300837"</f>
        <v>300837</v>
      </c>
      <c r="C4580" t="s">
        <v>9504</v>
      </c>
      <c r="D4580" t="s">
        <v>395</v>
      </c>
      <c r="F4580">
        <v>117615215</v>
      </c>
      <c r="G4580">
        <v>91387813</v>
      </c>
      <c r="H4580">
        <v>70446619</v>
      </c>
      <c r="P4580">
        <v>154</v>
      </c>
      <c r="Q4580" t="s">
        <v>9505</v>
      </c>
    </row>
    <row r="4581" spans="1:17" x14ac:dyDescent="0.3">
      <c r="A4581" t="s">
        <v>4664</v>
      </c>
      <c r="B4581" t="str">
        <f>"300838"</f>
        <v>300838</v>
      </c>
      <c r="C4581" t="s">
        <v>9506</v>
      </c>
      <c r="D4581" t="s">
        <v>274</v>
      </c>
      <c r="F4581">
        <v>67900172</v>
      </c>
      <c r="G4581">
        <v>43949466</v>
      </c>
      <c r="H4581">
        <v>48120160</v>
      </c>
      <c r="P4581">
        <v>39</v>
      </c>
      <c r="Q4581" t="s">
        <v>9507</v>
      </c>
    </row>
    <row r="4582" spans="1:17" x14ac:dyDescent="0.3">
      <c r="A4582" t="s">
        <v>4664</v>
      </c>
      <c r="B4582" t="str">
        <f>"300839"</f>
        <v>300839</v>
      </c>
      <c r="C4582" t="s">
        <v>9508</v>
      </c>
      <c r="D4582" t="s">
        <v>1615</v>
      </c>
      <c r="F4582">
        <v>4790697</v>
      </c>
      <c r="G4582">
        <v>45141530</v>
      </c>
      <c r="H4582">
        <v>54205758</v>
      </c>
      <c r="P4582">
        <v>58</v>
      </c>
      <c r="Q4582" t="s">
        <v>9509</v>
      </c>
    </row>
    <row r="4583" spans="1:17" x14ac:dyDescent="0.3">
      <c r="A4583" t="s">
        <v>4664</v>
      </c>
      <c r="B4583" t="str">
        <f>"300840"</f>
        <v>300840</v>
      </c>
      <c r="C4583" t="s">
        <v>9510</v>
      </c>
      <c r="D4583" t="s">
        <v>255</v>
      </c>
      <c r="F4583">
        <v>41670882</v>
      </c>
      <c r="G4583">
        <v>44069973</v>
      </c>
      <c r="H4583">
        <v>40515563</v>
      </c>
      <c r="P4583">
        <v>64</v>
      </c>
      <c r="Q4583" t="s">
        <v>9511</v>
      </c>
    </row>
    <row r="4584" spans="1:17" x14ac:dyDescent="0.3">
      <c r="A4584" t="s">
        <v>4664</v>
      </c>
      <c r="B4584" t="str">
        <f>"300841"</f>
        <v>300841</v>
      </c>
      <c r="C4584" t="s">
        <v>9512</v>
      </c>
      <c r="D4584" t="s">
        <v>1499</v>
      </c>
      <c r="F4584">
        <v>583360527</v>
      </c>
      <c r="G4584">
        <v>343664827</v>
      </c>
      <c r="H4584">
        <v>88466980</v>
      </c>
      <c r="P4584">
        <v>314</v>
      </c>
      <c r="Q4584" t="s">
        <v>9513</v>
      </c>
    </row>
    <row r="4585" spans="1:17" x14ac:dyDescent="0.3">
      <c r="A4585" t="s">
        <v>4664</v>
      </c>
      <c r="B4585" t="str">
        <f>"300842"</f>
        <v>300842</v>
      </c>
      <c r="C4585" t="s">
        <v>9514</v>
      </c>
      <c r="D4585" t="s">
        <v>478</v>
      </c>
      <c r="F4585">
        <v>92035921</v>
      </c>
      <c r="G4585">
        <v>79257535</v>
      </c>
      <c r="H4585">
        <v>43914362</v>
      </c>
      <c r="P4585">
        <v>130</v>
      </c>
      <c r="Q4585" t="s">
        <v>9515</v>
      </c>
    </row>
    <row r="4586" spans="1:17" x14ac:dyDescent="0.3">
      <c r="A4586" t="s">
        <v>4664</v>
      </c>
      <c r="B4586" t="str">
        <f>"300843"</f>
        <v>300843</v>
      </c>
      <c r="C4586" t="s">
        <v>9516</v>
      </c>
      <c r="D4586" t="s">
        <v>313</v>
      </c>
      <c r="F4586">
        <v>71584174</v>
      </c>
      <c r="G4586">
        <v>68215008</v>
      </c>
      <c r="H4586">
        <v>55722714</v>
      </c>
      <c r="P4586">
        <v>80</v>
      </c>
      <c r="Q4586" t="s">
        <v>9517</v>
      </c>
    </row>
    <row r="4587" spans="1:17" x14ac:dyDescent="0.3">
      <c r="A4587" t="s">
        <v>4664</v>
      </c>
      <c r="B4587" t="str">
        <f>"300844"</f>
        <v>300844</v>
      </c>
      <c r="C4587" t="s">
        <v>9518</v>
      </c>
      <c r="D4587" t="s">
        <v>1272</v>
      </c>
      <c r="F4587">
        <v>49921386</v>
      </c>
      <c r="P4587">
        <v>16</v>
      </c>
      <c r="Q4587" t="s">
        <v>9519</v>
      </c>
    </row>
    <row r="4588" spans="1:17" x14ac:dyDescent="0.3">
      <c r="A4588" t="s">
        <v>4664</v>
      </c>
      <c r="B4588" t="str">
        <f>"300845"</f>
        <v>300845</v>
      </c>
      <c r="C4588" t="s">
        <v>9520</v>
      </c>
      <c r="D4588" t="s">
        <v>236</v>
      </c>
      <c r="F4588">
        <v>11418588</v>
      </c>
      <c r="G4588">
        <v>25275683</v>
      </c>
      <c r="H4588">
        <v>21273933</v>
      </c>
      <c r="P4588">
        <v>83</v>
      </c>
      <c r="Q4588" t="s">
        <v>9521</v>
      </c>
    </row>
    <row r="4589" spans="1:17" x14ac:dyDescent="0.3">
      <c r="A4589" t="s">
        <v>4664</v>
      </c>
      <c r="B4589" t="str">
        <f>"300846"</f>
        <v>300846</v>
      </c>
      <c r="C4589" t="s">
        <v>9522</v>
      </c>
      <c r="D4589" t="s">
        <v>316</v>
      </c>
      <c r="F4589">
        <v>17263802</v>
      </c>
      <c r="G4589">
        <v>36524482</v>
      </c>
      <c r="H4589">
        <v>49475752</v>
      </c>
      <c r="J4589">
        <v>32977197</v>
      </c>
      <c r="P4589">
        <v>78</v>
      </c>
      <c r="Q4589" t="s">
        <v>9523</v>
      </c>
    </row>
    <row r="4590" spans="1:17" x14ac:dyDescent="0.3">
      <c r="A4590" t="s">
        <v>4664</v>
      </c>
      <c r="B4590" t="str">
        <f>"300847"</f>
        <v>300847</v>
      </c>
      <c r="C4590" t="s">
        <v>9524</v>
      </c>
      <c r="D4590" t="s">
        <v>386</v>
      </c>
      <c r="F4590">
        <v>72727902</v>
      </c>
      <c r="G4590">
        <v>60511507</v>
      </c>
      <c r="H4590">
        <v>53286469</v>
      </c>
      <c r="P4590">
        <v>53</v>
      </c>
      <c r="Q4590" t="s">
        <v>9525</v>
      </c>
    </row>
    <row r="4591" spans="1:17" x14ac:dyDescent="0.3">
      <c r="A4591" t="s">
        <v>4664</v>
      </c>
      <c r="B4591" t="str">
        <f>"300848"</f>
        <v>300848</v>
      </c>
      <c r="C4591" t="s">
        <v>9526</v>
      </c>
      <c r="D4591" t="s">
        <v>528</v>
      </c>
      <c r="F4591">
        <v>76084924</v>
      </c>
      <c r="G4591">
        <v>58876435</v>
      </c>
      <c r="H4591">
        <v>52020218</v>
      </c>
      <c r="P4591">
        <v>125</v>
      </c>
      <c r="Q4591" t="s">
        <v>9527</v>
      </c>
    </row>
    <row r="4592" spans="1:17" x14ac:dyDescent="0.3">
      <c r="A4592" t="s">
        <v>4664</v>
      </c>
      <c r="B4592" t="str">
        <f>"300849"</f>
        <v>300849</v>
      </c>
      <c r="C4592" t="s">
        <v>9528</v>
      </c>
      <c r="D4592" t="s">
        <v>5892</v>
      </c>
      <c r="F4592">
        <v>15183095</v>
      </c>
      <c r="G4592">
        <v>32868269</v>
      </c>
      <c r="H4592">
        <v>48997153</v>
      </c>
      <c r="P4592">
        <v>44</v>
      </c>
      <c r="Q4592" t="s">
        <v>9529</v>
      </c>
    </row>
    <row r="4593" spans="1:17" x14ac:dyDescent="0.3">
      <c r="A4593" t="s">
        <v>4664</v>
      </c>
      <c r="B4593" t="str">
        <f>"300850"</f>
        <v>300850</v>
      </c>
      <c r="C4593" t="s">
        <v>9530</v>
      </c>
      <c r="D4593" t="s">
        <v>950</v>
      </c>
      <c r="F4593">
        <v>399922502</v>
      </c>
      <c r="G4593">
        <v>258823335</v>
      </c>
      <c r="H4593">
        <v>56345192</v>
      </c>
      <c r="P4593">
        <v>264</v>
      </c>
      <c r="Q4593" t="s">
        <v>9531</v>
      </c>
    </row>
    <row r="4594" spans="1:17" x14ac:dyDescent="0.3">
      <c r="A4594" t="s">
        <v>4664</v>
      </c>
      <c r="B4594" t="str">
        <f>"300851"</f>
        <v>300851</v>
      </c>
      <c r="C4594" t="s">
        <v>9532</v>
      </c>
      <c r="D4594" t="s">
        <v>1012</v>
      </c>
      <c r="F4594">
        <v>23980721</v>
      </c>
      <c r="G4594">
        <v>35976005</v>
      </c>
      <c r="H4594">
        <v>36828160</v>
      </c>
      <c r="P4594">
        <v>45</v>
      </c>
      <c r="Q4594" t="s">
        <v>9533</v>
      </c>
    </row>
    <row r="4595" spans="1:17" x14ac:dyDescent="0.3">
      <c r="A4595" t="s">
        <v>4664</v>
      </c>
      <c r="B4595" t="str">
        <f>"300852"</f>
        <v>300852</v>
      </c>
      <c r="C4595" t="s">
        <v>9534</v>
      </c>
      <c r="D4595" t="s">
        <v>425</v>
      </c>
      <c r="F4595">
        <v>141012872</v>
      </c>
      <c r="G4595">
        <v>88605538</v>
      </c>
      <c r="H4595">
        <v>59915542</v>
      </c>
      <c r="P4595">
        <v>103</v>
      </c>
      <c r="Q4595" t="s">
        <v>9535</v>
      </c>
    </row>
    <row r="4596" spans="1:17" x14ac:dyDescent="0.3">
      <c r="A4596" t="s">
        <v>4664</v>
      </c>
      <c r="B4596" t="str">
        <f>"300853"</f>
        <v>300853</v>
      </c>
      <c r="C4596" t="s">
        <v>9536</v>
      </c>
      <c r="D4596" t="s">
        <v>2911</v>
      </c>
      <c r="F4596">
        <v>34623232</v>
      </c>
      <c r="G4596">
        <v>86193903</v>
      </c>
      <c r="H4596">
        <v>63757310</v>
      </c>
      <c r="P4596">
        <v>142</v>
      </c>
      <c r="Q4596" t="s">
        <v>9537</v>
      </c>
    </row>
    <row r="4597" spans="1:17" x14ac:dyDescent="0.3">
      <c r="A4597" t="s">
        <v>4664</v>
      </c>
      <c r="B4597" t="str">
        <f>"300854"</f>
        <v>300854</v>
      </c>
      <c r="C4597" t="s">
        <v>9538</v>
      </c>
      <c r="D4597" t="s">
        <v>499</v>
      </c>
      <c r="F4597">
        <v>75274409</v>
      </c>
      <c r="P4597">
        <v>19</v>
      </c>
      <c r="Q4597" t="s">
        <v>9539</v>
      </c>
    </row>
    <row r="4598" spans="1:17" x14ac:dyDescent="0.3">
      <c r="A4598" t="s">
        <v>4664</v>
      </c>
      <c r="B4598" t="str">
        <f>"300855"</f>
        <v>300855</v>
      </c>
      <c r="C4598" t="s">
        <v>9540</v>
      </c>
      <c r="D4598" t="s">
        <v>581</v>
      </c>
      <c r="F4598">
        <v>131476414</v>
      </c>
      <c r="G4598">
        <v>77652664</v>
      </c>
      <c r="H4598">
        <v>72918414</v>
      </c>
      <c r="P4598">
        <v>139</v>
      </c>
      <c r="Q4598" t="s">
        <v>9541</v>
      </c>
    </row>
    <row r="4599" spans="1:17" x14ac:dyDescent="0.3">
      <c r="A4599" t="s">
        <v>4664</v>
      </c>
      <c r="B4599" t="str">
        <f>"300856"</f>
        <v>300856</v>
      </c>
      <c r="C4599" t="s">
        <v>9542</v>
      </c>
      <c r="D4599" t="s">
        <v>5892</v>
      </c>
      <c r="F4599">
        <v>111752284</v>
      </c>
      <c r="G4599">
        <v>118705838</v>
      </c>
      <c r="H4599">
        <v>101574116</v>
      </c>
      <c r="P4599">
        <v>131</v>
      </c>
      <c r="Q4599" t="s">
        <v>9543</v>
      </c>
    </row>
    <row r="4600" spans="1:17" x14ac:dyDescent="0.3">
      <c r="A4600" t="s">
        <v>4664</v>
      </c>
      <c r="B4600" t="str">
        <f>"300857"</f>
        <v>300857</v>
      </c>
      <c r="C4600" t="s">
        <v>9544</v>
      </c>
      <c r="D4600" t="s">
        <v>313</v>
      </c>
      <c r="F4600">
        <v>103717658</v>
      </c>
      <c r="G4600">
        <v>78838390</v>
      </c>
      <c r="H4600">
        <v>53974918</v>
      </c>
      <c r="P4600">
        <v>59</v>
      </c>
      <c r="Q4600" t="s">
        <v>9545</v>
      </c>
    </row>
    <row r="4601" spans="1:17" x14ac:dyDescent="0.3">
      <c r="A4601" t="s">
        <v>4664</v>
      </c>
      <c r="B4601" t="str">
        <f>"300858"</f>
        <v>300858</v>
      </c>
      <c r="C4601" t="s">
        <v>9546</v>
      </c>
      <c r="D4601" t="s">
        <v>677</v>
      </c>
      <c r="F4601">
        <v>84830879</v>
      </c>
      <c r="G4601">
        <v>72534281</v>
      </c>
      <c r="H4601">
        <v>67226236</v>
      </c>
      <c r="P4601">
        <v>75</v>
      </c>
      <c r="Q4601" t="s">
        <v>9547</v>
      </c>
    </row>
    <row r="4602" spans="1:17" x14ac:dyDescent="0.3">
      <c r="A4602" t="s">
        <v>4664</v>
      </c>
      <c r="B4602" t="str">
        <f>"300859"</f>
        <v>300859</v>
      </c>
      <c r="C4602" t="s">
        <v>9548</v>
      </c>
      <c r="D4602" t="s">
        <v>119</v>
      </c>
      <c r="F4602">
        <v>48677322</v>
      </c>
      <c r="G4602">
        <v>-34594158</v>
      </c>
      <c r="H4602">
        <v>83759509</v>
      </c>
      <c r="P4602">
        <v>69</v>
      </c>
      <c r="Q4602" t="s">
        <v>9549</v>
      </c>
    </row>
    <row r="4603" spans="1:17" x14ac:dyDescent="0.3">
      <c r="A4603" t="s">
        <v>4664</v>
      </c>
      <c r="B4603" t="str">
        <f>"300860"</f>
        <v>300860</v>
      </c>
      <c r="C4603" t="s">
        <v>9550</v>
      </c>
      <c r="D4603" t="s">
        <v>1671</v>
      </c>
      <c r="F4603">
        <v>99314297</v>
      </c>
      <c r="G4603">
        <v>203902113</v>
      </c>
      <c r="H4603">
        <v>175881230</v>
      </c>
      <c r="P4603">
        <v>95</v>
      </c>
      <c r="Q4603" t="s">
        <v>9551</v>
      </c>
    </row>
    <row r="4604" spans="1:17" x14ac:dyDescent="0.3">
      <c r="A4604" t="s">
        <v>4664</v>
      </c>
      <c r="B4604" t="str">
        <f>"300861"</f>
        <v>300861</v>
      </c>
      <c r="C4604" t="s">
        <v>9552</v>
      </c>
      <c r="D4604" t="s">
        <v>404</v>
      </c>
      <c r="F4604">
        <v>551236275</v>
      </c>
      <c r="G4604">
        <v>324767077</v>
      </c>
      <c r="H4604">
        <v>318435732</v>
      </c>
      <c r="P4604">
        <v>147</v>
      </c>
      <c r="Q4604" t="s">
        <v>9553</v>
      </c>
    </row>
    <row r="4605" spans="1:17" x14ac:dyDescent="0.3">
      <c r="A4605" t="s">
        <v>4664</v>
      </c>
      <c r="B4605" t="str">
        <f>"300862"</f>
        <v>300862</v>
      </c>
      <c r="C4605" t="s">
        <v>9554</v>
      </c>
      <c r="D4605" t="s">
        <v>2551</v>
      </c>
      <c r="F4605">
        <v>72017344</v>
      </c>
      <c r="G4605">
        <v>51892959</v>
      </c>
      <c r="H4605">
        <v>53306442</v>
      </c>
      <c r="P4605">
        <v>68</v>
      </c>
      <c r="Q4605" t="s">
        <v>9555</v>
      </c>
    </row>
    <row r="4606" spans="1:17" x14ac:dyDescent="0.3">
      <c r="A4606" t="s">
        <v>4664</v>
      </c>
      <c r="B4606" t="str">
        <f>"300863"</f>
        <v>300863</v>
      </c>
      <c r="C4606" t="s">
        <v>9556</v>
      </c>
      <c r="D4606" t="s">
        <v>1415</v>
      </c>
      <c r="F4606">
        <v>72038334</v>
      </c>
      <c r="G4606">
        <v>31520455</v>
      </c>
      <c r="H4606">
        <v>35219759</v>
      </c>
      <c r="P4606">
        <v>75</v>
      </c>
      <c r="Q4606" t="s">
        <v>9557</v>
      </c>
    </row>
    <row r="4607" spans="1:17" x14ac:dyDescent="0.3">
      <c r="A4607" t="s">
        <v>4664</v>
      </c>
      <c r="B4607" t="str">
        <f>"300864"</f>
        <v>300864</v>
      </c>
      <c r="C4607" t="s">
        <v>9558</v>
      </c>
      <c r="D4607" t="s">
        <v>3548</v>
      </c>
      <c r="F4607">
        <v>69381271</v>
      </c>
      <c r="G4607">
        <v>92550143</v>
      </c>
      <c r="H4607">
        <v>70983810</v>
      </c>
      <c r="P4607">
        <v>121</v>
      </c>
      <c r="Q4607" t="s">
        <v>9559</v>
      </c>
    </row>
    <row r="4608" spans="1:17" x14ac:dyDescent="0.3">
      <c r="A4608" t="s">
        <v>4664</v>
      </c>
      <c r="B4608" t="str">
        <f>"300865"</f>
        <v>300865</v>
      </c>
      <c r="C4608" t="s">
        <v>9560</v>
      </c>
      <c r="D4608" t="s">
        <v>395</v>
      </c>
      <c r="F4608">
        <v>47664215</v>
      </c>
      <c r="G4608">
        <v>63499085</v>
      </c>
      <c r="H4608">
        <v>65620824</v>
      </c>
      <c r="P4608">
        <v>43</v>
      </c>
      <c r="Q4608" t="s">
        <v>9561</v>
      </c>
    </row>
    <row r="4609" spans="1:17" x14ac:dyDescent="0.3">
      <c r="A4609" t="s">
        <v>4664</v>
      </c>
      <c r="B4609" t="str">
        <f>"300866"</f>
        <v>300866</v>
      </c>
      <c r="C4609" t="s">
        <v>9562</v>
      </c>
      <c r="D4609" t="s">
        <v>3499</v>
      </c>
      <c r="F4609">
        <v>645549467</v>
      </c>
      <c r="G4609">
        <v>532781060</v>
      </c>
      <c r="H4609">
        <v>460567651</v>
      </c>
      <c r="P4609">
        <v>311</v>
      </c>
      <c r="Q4609" t="s">
        <v>9563</v>
      </c>
    </row>
    <row r="4610" spans="1:17" x14ac:dyDescent="0.3">
      <c r="A4610" t="s">
        <v>4664</v>
      </c>
      <c r="B4610" t="str">
        <f>"300867"</f>
        <v>300867</v>
      </c>
      <c r="C4610" t="s">
        <v>9564</v>
      </c>
      <c r="D4610" t="s">
        <v>499</v>
      </c>
      <c r="F4610">
        <v>432802311</v>
      </c>
      <c r="G4610">
        <v>241569835</v>
      </c>
      <c r="H4610">
        <v>166484525</v>
      </c>
      <c r="P4610">
        <v>103</v>
      </c>
      <c r="Q4610" t="s">
        <v>9565</v>
      </c>
    </row>
    <row r="4611" spans="1:17" x14ac:dyDescent="0.3">
      <c r="A4611" t="s">
        <v>4664</v>
      </c>
      <c r="B4611" t="str">
        <f>"300868"</f>
        <v>300868</v>
      </c>
      <c r="C4611" t="s">
        <v>9566</v>
      </c>
      <c r="D4611" t="s">
        <v>651</v>
      </c>
      <c r="F4611">
        <v>34108643</v>
      </c>
      <c r="G4611">
        <v>86026717</v>
      </c>
      <c r="H4611">
        <v>106996723</v>
      </c>
      <c r="P4611">
        <v>40</v>
      </c>
      <c r="Q4611" t="s">
        <v>9567</v>
      </c>
    </row>
    <row r="4612" spans="1:17" x14ac:dyDescent="0.3">
      <c r="A4612" t="s">
        <v>4664</v>
      </c>
      <c r="B4612" t="str">
        <f>"300869"</f>
        <v>300869</v>
      </c>
      <c r="C4612" t="s">
        <v>9568</v>
      </c>
      <c r="D4612" t="s">
        <v>122</v>
      </c>
      <c r="F4612">
        <v>288073558</v>
      </c>
      <c r="G4612">
        <v>514943653</v>
      </c>
      <c r="H4612">
        <v>39341047</v>
      </c>
      <c r="P4612">
        <v>174</v>
      </c>
      <c r="Q4612" t="s">
        <v>9569</v>
      </c>
    </row>
    <row r="4613" spans="1:17" x14ac:dyDescent="0.3">
      <c r="A4613" t="s">
        <v>4664</v>
      </c>
      <c r="B4613" t="str">
        <f>"300870"</f>
        <v>300870</v>
      </c>
      <c r="C4613" t="s">
        <v>9570</v>
      </c>
      <c r="D4613" t="s">
        <v>880</v>
      </c>
      <c r="F4613">
        <v>104560713</v>
      </c>
      <c r="G4613">
        <v>132517776</v>
      </c>
      <c r="H4613">
        <v>77916816</v>
      </c>
      <c r="P4613">
        <v>131</v>
      </c>
      <c r="Q4613" t="s">
        <v>9571</v>
      </c>
    </row>
    <row r="4614" spans="1:17" x14ac:dyDescent="0.3">
      <c r="A4614" t="s">
        <v>4664</v>
      </c>
      <c r="B4614" t="str">
        <f>"300871"</f>
        <v>300871</v>
      </c>
      <c r="C4614" t="s">
        <v>9572</v>
      </c>
      <c r="D4614" t="s">
        <v>453</v>
      </c>
      <c r="F4614">
        <v>119728893</v>
      </c>
      <c r="G4614">
        <v>96943863</v>
      </c>
      <c r="H4614">
        <v>35617380</v>
      </c>
      <c r="P4614">
        <v>83</v>
      </c>
      <c r="Q4614" t="s">
        <v>9573</v>
      </c>
    </row>
    <row r="4615" spans="1:17" x14ac:dyDescent="0.3">
      <c r="A4615" t="s">
        <v>4664</v>
      </c>
      <c r="B4615" t="str">
        <f>"300872"</f>
        <v>300872</v>
      </c>
      <c r="C4615" t="s">
        <v>9574</v>
      </c>
      <c r="D4615" t="s">
        <v>316</v>
      </c>
      <c r="F4615">
        <v>120236094</v>
      </c>
      <c r="G4615">
        <v>88299199</v>
      </c>
      <c r="H4615">
        <v>52796134</v>
      </c>
      <c r="P4615">
        <v>74</v>
      </c>
      <c r="Q4615" t="s">
        <v>9575</v>
      </c>
    </row>
    <row r="4616" spans="1:17" x14ac:dyDescent="0.3">
      <c r="A4616" t="s">
        <v>4664</v>
      </c>
      <c r="B4616" t="str">
        <f>"300873"</f>
        <v>300873</v>
      </c>
      <c r="C4616" t="s">
        <v>9576</v>
      </c>
      <c r="D4616" t="s">
        <v>3098</v>
      </c>
      <c r="F4616">
        <v>246430551</v>
      </c>
      <c r="G4616">
        <v>144465032</v>
      </c>
      <c r="H4616">
        <v>91020080</v>
      </c>
      <c r="P4616">
        <v>88</v>
      </c>
      <c r="Q4616" t="s">
        <v>9577</v>
      </c>
    </row>
    <row r="4617" spans="1:17" x14ac:dyDescent="0.3">
      <c r="A4617" t="s">
        <v>4664</v>
      </c>
      <c r="B4617" t="str">
        <f>"300875"</f>
        <v>300875</v>
      </c>
      <c r="C4617" t="s">
        <v>9578</v>
      </c>
      <c r="D4617" t="s">
        <v>428</v>
      </c>
      <c r="F4617">
        <v>33432627</v>
      </c>
      <c r="G4617">
        <v>73230405</v>
      </c>
      <c r="H4617">
        <v>60764397</v>
      </c>
      <c r="P4617">
        <v>106</v>
      </c>
      <c r="Q4617" t="s">
        <v>9579</v>
      </c>
    </row>
    <row r="4618" spans="1:17" x14ac:dyDescent="0.3">
      <c r="A4618" t="s">
        <v>4664</v>
      </c>
      <c r="B4618" t="str">
        <f>"300876"</f>
        <v>300876</v>
      </c>
      <c r="C4618" t="s">
        <v>9580</v>
      </c>
      <c r="D4618" t="s">
        <v>146</v>
      </c>
      <c r="F4618">
        <v>56939901</v>
      </c>
      <c r="G4618">
        <v>54562236</v>
      </c>
      <c r="H4618">
        <v>44068563</v>
      </c>
      <c r="P4618">
        <v>67</v>
      </c>
      <c r="Q4618" t="s">
        <v>9581</v>
      </c>
    </row>
    <row r="4619" spans="1:17" x14ac:dyDescent="0.3">
      <c r="A4619" t="s">
        <v>4664</v>
      </c>
      <c r="B4619" t="str">
        <f>"300877"</f>
        <v>300877</v>
      </c>
      <c r="C4619" t="s">
        <v>9582</v>
      </c>
      <c r="D4619" t="s">
        <v>366</v>
      </c>
      <c r="F4619">
        <v>78733579</v>
      </c>
      <c r="G4619">
        <v>205270591</v>
      </c>
      <c r="H4619">
        <v>62367157</v>
      </c>
      <c r="P4619">
        <v>75</v>
      </c>
      <c r="Q4619" t="s">
        <v>9583</v>
      </c>
    </row>
    <row r="4620" spans="1:17" x14ac:dyDescent="0.3">
      <c r="A4620" t="s">
        <v>4664</v>
      </c>
      <c r="B4620" t="str">
        <f>"300878"</f>
        <v>300878</v>
      </c>
      <c r="C4620" t="s">
        <v>9584</v>
      </c>
      <c r="D4620" t="s">
        <v>188</v>
      </c>
      <c r="F4620">
        <v>92718244</v>
      </c>
      <c r="G4620">
        <v>89297741</v>
      </c>
      <c r="H4620">
        <v>83541241</v>
      </c>
      <c r="P4620">
        <v>132</v>
      </c>
      <c r="Q4620" t="s">
        <v>9585</v>
      </c>
    </row>
    <row r="4621" spans="1:17" x14ac:dyDescent="0.3">
      <c r="A4621" t="s">
        <v>4664</v>
      </c>
      <c r="B4621" t="str">
        <f>"300879"</f>
        <v>300879</v>
      </c>
      <c r="C4621" t="s">
        <v>9586</v>
      </c>
      <c r="D4621" t="s">
        <v>741</v>
      </c>
      <c r="F4621">
        <v>72138932</v>
      </c>
      <c r="G4621">
        <v>62523849</v>
      </c>
      <c r="H4621">
        <v>50041077</v>
      </c>
      <c r="P4621">
        <v>52</v>
      </c>
      <c r="Q4621" t="s">
        <v>9587</v>
      </c>
    </row>
    <row r="4622" spans="1:17" x14ac:dyDescent="0.3">
      <c r="A4622" t="s">
        <v>4664</v>
      </c>
      <c r="B4622" t="str">
        <f>"300880"</f>
        <v>300880</v>
      </c>
      <c r="C4622" t="s">
        <v>9588</v>
      </c>
      <c r="D4622" t="s">
        <v>2171</v>
      </c>
      <c r="F4622">
        <v>82762144</v>
      </c>
      <c r="G4622">
        <v>60322266</v>
      </c>
      <c r="H4622">
        <v>43133987</v>
      </c>
      <c r="P4622">
        <v>55</v>
      </c>
      <c r="Q4622" t="s">
        <v>9589</v>
      </c>
    </row>
    <row r="4623" spans="1:17" x14ac:dyDescent="0.3">
      <c r="A4623" t="s">
        <v>4664</v>
      </c>
      <c r="B4623" t="str">
        <f>"300881"</f>
        <v>300881</v>
      </c>
      <c r="C4623" t="s">
        <v>9590</v>
      </c>
      <c r="D4623" t="s">
        <v>281</v>
      </c>
      <c r="F4623">
        <v>32197809</v>
      </c>
      <c r="G4623">
        <v>37103751</v>
      </c>
      <c r="H4623">
        <v>46019491</v>
      </c>
      <c r="P4623">
        <v>31</v>
      </c>
      <c r="Q4623" t="s">
        <v>9591</v>
      </c>
    </row>
    <row r="4624" spans="1:17" x14ac:dyDescent="0.3">
      <c r="A4624" t="s">
        <v>4664</v>
      </c>
      <c r="B4624" t="str">
        <f>"300882"</f>
        <v>300882</v>
      </c>
      <c r="C4624" t="s">
        <v>9592</v>
      </c>
      <c r="D4624" t="s">
        <v>2171</v>
      </c>
      <c r="F4624">
        <v>52666091</v>
      </c>
      <c r="G4624">
        <v>65533491</v>
      </c>
      <c r="H4624">
        <v>48996200</v>
      </c>
      <c r="P4624">
        <v>41</v>
      </c>
      <c r="Q4624" t="s">
        <v>9593</v>
      </c>
    </row>
    <row r="4625" spans="1:17" x14ac:dyDescent="0.3">
      <c r="A4625" t="s">
        <v>4664</v>
      </c>
      <c r="B4625" t="str">
        <f>"300883"</f>
        <v>300883</v>
      </c>
      <c r="C4625" t="s">
        <v>9594</v>
      </c>
      <c r="D4625" t="s">
        <v>2156</v>
      </c>
      <c r="F4625">
        <v>38779103</v>
      </c>
      <c r="G4625">
        <v>46278854</v>
      </c>
      <c r="H4625">
        <v>55684306</v>
      </c>
      <c r="P4625">
        <v>37</v>
      </c>
      <c r="Q4625" t="s">
        <v>9595</v>
      </c>
    </row>
    <row r="4626" spans="1:17" x14ac:dyDescent="0.3">
      <c r="A4626" t="s">
        <v>4664</v>
      </c>
      <c r="B4626" t="str">
        <f>"300884"</f>
        <v>300884</v>
      </c>
      <c r="C4626" t="s">
        <v>9596</v>
      </c>
      <c r="D4626" t="s">
        <v>2953</v>
      </c>
      <c r="F4626">
        <v>73468662</v>
      </c>
      <c r="G4626">
        <v>111057400</v>
      </c>
      <c r="H4626">
        <v>71296200</v>
      </c>
      <c r="P4626">
        <v>68</v>
      </c>
      <c r="Q4626" t="s">
        <v>9597</v>
      </c>
    </row>
    <row r="4627" spans="1:17" x14ac:dyDescent="0.3">
      <c r="A4627" t="s">
        <v>4664</v>
      </c>
      <c r="B4627" t="str">
        <f>"300885"</f>
        <v>300885</v>
      </c>
      <c r="C4627" t="s">
        <v>9598</v>
      </c>
      <c r="D4627" t="s">
        <v>274</v>
      </c>
      <c r="F4627">
        <v>70873433</v>
      </c>
      <c r="G4627">
        <v>42830502</v>
      </c>
      <c r="H4627">
        <v>45670963</v>
      </c>
      <c r="P4627">
        <v>45</v>
      </c>
      <c r="Q4627" t="s">
        <v>9599</v>
      </c>
    </row>
    <row r="4628" spans="1:17" x14ac:dyDescent="0.3">
      <c r="A4628" t="s">
        <v>4664</v>
      </c>
      <c r="B4628" t="str">
        <f>"300886"</f>
        <v>300886</v>
      </c>
      <c r="C4628" t="s">
        <v>9600</v>
      </c>
      <c r="D4628" t="s">
        <v>5892</v>
      </c>
      <c r="F4628">
        <v>18966285</v>
      </c>
      <c r="G4628">
        <v>37026547</v>
      </c>
      <c r="H4628">
        <v>33243454</v>
      </c>
      <c r="P4628">
        <v>49</v>
      </c>
      <c r="Q4628" t="s">
        <v>9601</v>
      </c>
    </row>
    <row r="4629" spans="1:17" x14ac:dyDescent="0.3">
      <c r="A4629" t="s">
        <v>4664</v>
      </c>
      <c r="B4629" t="str">
        <f>"300887"</f>
        <v>300887</v>
      </c>
      <c r="C4629" t="s">
        <v>9602</v>
      </c>
      <c r="D4629" t="s">
        <v>2499</v>
      </c>
      <c r="F4629">
        <v>93106779</v>
      </c>
      <c r="G4629">
        <v>52104378</v>
      </c>
      <c r="H4629">
        <v>34451458</v>
      </c>
      <c r="P4629">
        <v>117</v>
      </c>
      <c r="Q4629" t="s">
        <v>9603</v>
      </c>
    </row>
    <row r="4630" spans="1:17" x14ac:dyDescent="0.3">
      <c r="A4630" t="s">
        <v>4664</v>
      </c>
      <c r="B4630" t="str">
        <f>"300888"</f>
        <v>300888</v>
      </c>
      <c r="C4630" t="s">
        <v>9604</v>
      </c>
      <c r="D4630" t="s">
        <v>2728</v>
      </c>
      <c r="F4630">
        <v>1104041545</v>
      </c>
      <c r="G4630">
        <v>3150098281</v>
      </c>
      <c r="H4630">
        <v>404565125</v>
      </c>
      <c r="P4630">
        <v>457</v>
      </c>
      <c r="Q4630" t="s">
        <v>9605</v>
      </c>
    </row>
    <row r="4631" spans="1:17" x14ac:dyDescent="0.3">
      <c r="A4631" t="s">
        <v>4664</v>
      </c>
      <c r="B4631" t="str">
        <f>"300889"</f>
        <v>300889</v>
      </c>
      <c r="C4631" t="s">
        <v>9606</v>
      </c>
      <c r="D4631" t="s">
        <v>803</v>
      </c>
      <c r="F4631">
        <v>42228727</v>
      </c>
      <c r="G4631">
        <v>71113962</v>
      </c>
      <c r="H4631">
        <v>102467633</v>
      </c>
      <c r="P4631">
        <v>37</v>
      </c>
      <c r="Q4631" t="s">
        <v>9607</v>
      </c>
    </row>
    <row r="4632" spans="1:17" x14ac:dyDescent="0.3">
      <c r="A4632" t="s">
        <v>4664</v>
      </c>
      <c r="B4632" t="str">
        <f>"300890"</f>
        <v>300890</v>
      </c>
      <c r="C4632" t="s">
        <v>9608</v>
      </c>
      <c r="D4632" t="s">
        <v>1786</v>
      </c>
      <c r="F4632">
        <v>56494822</v>
      </c>
      <c r="G4632">
        <v>39690164</v>
      </c>
      <c r="H4632">
        <v>48115844</v>
      </c>
      <c r="P4632">
        <v>62</v>
      </c>
      <c r="Q4632" t="s">
        <v>9609</v>
      </c>
    </row>
    <row r="4633" spans="1:17" x14ac:dyDescent="0.3">
      <c r="A4633" t="s">
        <v>4664</v>
      </c>
      <c r="B4633" t="str">
        <f>"300891"</f>
        <v>300891</v>
      </c>
      <c r="C4633" t="s">
        <v>9610</v>
      </c>
      <c r="D4633" t="s">
        <v>1474</v>
      </c>
      <c r="F4633">
        <v>172523601</v>
      </c>
      <c r="G4633">
        <v>64189682</v>
      </c>
      <c r="H4633">
        <v>87378651</v>
      </c>
      <c r="P4633">
        <v>59</v>
      </c>
      <c r="Q4633" t="s">
        <v>9611</v>
      </c>
    </row>
    <row r="4634" spans="1:17" x14ac:dyDescent="0.3">
      <c r="A4634" t="s">
        <v>4664</v>
      </c>
      <c r="B4634" t="str">
        <f>"300892"</f>
        <v>300892</v>
      </c>
      <c r="C4634" t="s">
        <v>9612</v>
      </c>
      <c r="D4634" t="s">
        <v>131</v>
      </c>
      <c r="F4634">
        <v>70177589</v>
      </c>
      <c r="G4634">
        <v>102534118</v>
      </c>
      <c r="H4634">
        <v>57277695</v>
      </c>
      <c r="P4634">
        <v>99</v>
      </c>
      <c r="Q4634" t="s">
        <v>9613</v>
      </c>
    </row>
    <row r="4635" spans="1:17" x14ac:dyDescent="0.3">
      <c r="A4635" t="s">
        <v>4664</v>
      </c>
      <c r="B4635" t="str">
        <f>"300893"</f>
        <v>300893</v>
      </c>
      <c r="C4635" t="s">
        <v>9614</v>
      </c>
      <c r="D4635" t="s">
        <v>985</v>
      </c>
      <c r="F4635">
        <v>75178339</v>
      </c>
      <c r="G4635">
        <v>61486455</v>
      </c>
      <c r="H4635">
        <v>55088488</v>
      </c>
      <c r="P4635">
        <v>48</v>
      </c>
      <c r="Q4635" t="s">
        <v>9615</v>
      </c>
    </row>
    <row r="4636" spans="1:17" x14ac:dyDescent="0.3">
      <c r="A4636" t="s">
        <v>4664</v>
      </c>
      <c r="B4636" t="str">
        <f>"300894"</f>
        <v>300894</v>
      </c>
      <c r="C4636" t="s">
        <v>9616</v>
      </c>
      <c r="D4636" t="s">
        <v>3680</v>
      </c>
      <c r="F4636">
        <v>273424623</v>
      </c>
      <c r="G4636">
        <v>155637766</v>
      </c>
      <c r="H4636">
        <v>142897500</v>
      </c>
      <c r="P4636">
        <v>230</v>
      </c>
      <c r="Q4636" t="s">
        <v>9617</v>
      </c>
    </row>
    <row r="4637" spans="1:17" x14ac:dyDescent="0.3">
      <c r="A4637" t="s">
        <v>4664</v>
      </c>
      <c r="B4637" t="str">
        <f>"300895"</f>
        <v>300895</v>
      </c>
      <c r="C4637" t="s">
        <v>9618</v>
      </c>
      <c r="D4637" t="s">
        <v>316</v>
      </c>
      <c r="F4637">
        <v>43387018</v>
      </c>
      <c r="G4637">
        <v>36948838</v>
      </c>
      <c r="H4637">
        <v>32879024</v>
      </c>
      <c r="P4637">
        <v>48</v>
      </c>
      <c r="Q4637" t="s">
        <v>9619</v>
      </c>
    </row>
    <row r="4638" spans="1:17" x14ac:dyDescent="0.3">
      <c r="A4638" t="s">
        <v>4664</v>
      </c>
      <c r="B4638" t="str">
        <f>"300896"</f>
        <v>300896</v>
      </c>
      <c r="C4638" t="s">
        <v>9620</v>
      </c>
      <c r="D4638" t="s">
        <v>4234</v>
      </c>
      <c r="F4638">
        <v>708913426</v>
      </c>
      <c r="G4638">
        <v>290434298</v>
      </c>
      <c r="H4638">
        <v>220316203</v>
      </c>
      <c r="P4638">
        <v>1332</v>
      </c>
      <c r="Q4638" t="s">
        <v>9621</v>
      </c>
    </row>
    <row r="4639" spans="1:17" x14ac:dyDescent="0.3">
      <c r="A4639" t="s">
        <v>4664</v>
      </c>
      <c r="B4639" t="str">
        <f>"300897"</f>
        <v>300897</v>
      </c>
      <c r="C4639" t="s">
        <v>9622</v>
      </c>
      <c r="D4639" t="s">
        <v>2551</v>
      </c>
      <c r="F4639">
        <v>49773419</v>
      </c>
      <c r="G4639">
        <v>35792465</v>
      </c>
      <c r="H4639">
        <v>24325203</v>
      </c>
      <c r="P4639">
        <v>50</v>
      </c>
      <c r="Q4639" t="s">
        <v>9623</v>
      </c>
    </row>
    <row r="4640" spans="1:17" x14ac:dyDescent="0.3">
      <c r="A4640" t="s">
        <v>4664</v>
      </c>
      <c r="B4640" t="str">
        <f>"300898"</f>
        <v>300898</v>
      </c>
      <c r="C4640" t="s">
        <v>9624</v>
      </c>
      <c r="D4640" t="s">
        <v>900</v>
      </c>
      <c r="F4640">
        <v>60323682</v>
      </c>
      <c r="G4640">
        <v>38152264</v>
      </c>
      <c r="H4640">
        <v>40047962</v>
      </c>
      <c r="I4640">
        <v>63334046</v>
      </c>
      <c r="P4640">
        <v>73</v>
      </c>
      <c r="Q4640" t="s">
        <v>9625</v>
      </c>
    </row>
    <row r="4641" spans="1:17" x14ac:dyDescent="0.3">
      <c r="A4641" t="s">
        <v>4664</v>
      </c>
      <c r="B4641" t="str">
        <f>"300899"</f>
        <v>300899</v>
      </c>
      <c r="C4641" t="s">
        <v>9626</v>
      </c>
      <c r="D4641" t="s">
        <v>33</v>
      </c>
      <c r="F4641">
        <v>28999041</v>
      </c>
      <c r="G4641">
        <v>34801297</v>
      </c>
      <c r="H4641">
        <v>36935915</v>
      </c>
      <c r="P4641">
        <v>58</v>
      </c>
      <c r="Q4641" t="s">
        <v>9627</v>
      </c>
    </row>
    <row r="4642" spans="1:17" x14ac:dyDescent="0.3">
      <c r="A4642" t="s">
        <v>4664</v>
      </c>
      <c r="B4642" t="str">
        <f>"300900"</f>
        <v>300900</v>
      </c>
      <c r="C4642" t="s">
        <v>9628</v>
      </c>
      <c r="D4642" t="s">
        <v>98</v>
      </c>
      <c r="F4642">
        <v>40282347</v>
      </c>
      <c r="G4642">
        <v>26517922</v>
      </c>
      <c r="H4642">
        <v>18028482</v>
      </c>
      <c r="P4642">
        <v>76</v>
      </c>
      <c r="Q4642" t="s">
        <v>9629</v>
      </c>
    </row>
    <row r="4643" spans="1:17" x14ac:dyDescent="0.3">
      <c r="A4643" t="s">
        <v>4664</v>
      </c>
      <c r="B4643" t="str">
        <f>"300901"</f>
        <v>300901</v>
      </c>
      <c r="C4643" t="s">
        <v>9630</v>
      </c>
      <c r="D4643" t="s">
        <v>255</v>
      </c>
      <c r="F4643">
        <v>64202220</v>
      </c>
      <c r="G4643">
        <v>84432261</v>
      </c>
      <c r="H4643">
        <v>87500858</v>
      </c>
      <c r="P4643">
        <v>45</v>
      </c>
      <c r="Q4643" t="s">
        <v>9631</v>
      </c>
    </row>
    <row r="4644" spans="1:17" x14ac:dyDescent="0.3">
      <c r="A4644" t="s">
        <v>4664</v>
      </c>
      <c r="B4644" t="str">
        <f>"300902"</f>
        <v>300902</v>
      </c>
      <c r="C4644" t="s">
        <v>9632</v>
      </c>
      <c r="D4644" t="s">
        <v>741</v>
      </c>
      <c r="F4644">
        <v>14763213</v>
      </c>
      <c r="G4644">
        <v>41554797</v>
      </c>
      <c r="H4644">
        <v>37704702</v>
      </c>
      <c r="P4644">
        <v>40</v>
      </c>
      <c r="Q4644" t="s">
        <v>9633</v>
      </c>
    </row>
    <row r="4645" spans="1:17" x14ac:dyDescent="0.3">
      <c r="A4645" t="s">
        <v>4664</v>
      </c>
      <c r="B4645" t="str">
        <f>"300903"</f>
        <v>300903</v>
      </c>
      <c r="C4645" t="s">
        <v>9634</v>
      </c>
      <c r="D4645" t="s">
        <v>425</v>
      </c>
      <c r="F4645">
        <v>64444915</v>
      </c>
      <c r="G4645">
        <v>77281136</v>
      </c>
      <c r="H4645">
        <v>49157112</v>
      </c>
      <c r="P4645">
        <v>61</v>
      </c>
      <c r="Q4645" t="s">
        <v>9635</v>
      </c>
    </row>
    <row r="4646" spans="1:17" x14ac:dyDescent="0.3">
      <c r="A4646" t="s">
        <v>4664</v>
      </c>
      <c r="B4646" t="str">
        <f>"300905"</f>
        <v>300905</v>
      </c>
      <c r="C4646" t="s">
        <v>9636</v>
      </c>
      <c r="D4646" t="s">
        <v>779</v>
      </c>
      <c r="F4646">
        <v>79911774</v>
      </c>
      <c r="G4646">
        <v>77922413</v>
      </c>
      <c r="H4646">
        <v>75411682</v>
      </c>
      <c r="P4646">
        <v>54</v>
      </c>
      <c r="Q4646" t="s">
        <v>9637</v>
      </c>
    </row>
    <row r="4647" spans="1:17" x14ac:dyDescent="0.3">
      <c r="A4647" t="s">
        <v>4664</v>
      </c>
      <c r="B4647" t="str">
        <f>"300906"</f>
        <v>300906</v>
      </c>
      <c r="C4647" t="s">
        <v>9638</v>
      </c>
      <c r="D4647" t="s">
        <v>2551</v>
      </c>
      <c r="F4647">
        <v>30527771</v>
      </c>
      <c r="G4647">
        <v>24682324</v>
      </c>
      <c r="H4647">
        <v>23051887</v>
      </c>
      <c r="P4647">
        <v>60</v>
      </c>
      <c r="Q4647" t="s">
        <v>9639</v>
      </c>
    </row>
    <row r="4648" spans="1:17" x14ac:dyDescent="0.3">
      <c r="A4648" t="s">
        <v>4664</v>
      </c>
      <c r="B4648" t="str">
        <f>"300907"</f>
        <v>300907</v>
      </c>
      <c r="C4648" t="s">
        <v>9640</v>
      </c>
      <c r="D4648" t="s">
        <v>1171</v>
      </c>
      <c r="F4648">
        <v>31030455</v>
      </c>
      <c r="G4648">
        <v>44105588</v>
      </c>
      <c r="H4648">
        <v>24633700</v>
      </c>
      <c r="P4648">
        <v>36</v>
      </c>
      <c r="Q4648" t="s">
        <v>9641</v>
      </c>
    </row>
    <row r="4649" spans="1:17" x14ac:dyDescent="0.3">
      <c r="A4649" t="s">
        <v>4664</v>
      </c>
      <c r="B4649" t="str">
        <f>"300908"</f>
        <v>300908</v>
      </c>
      <c r="C4649" t="s">
        <v>9642</v>
      </c>
      <c r="D4649" t="s">
        <v>433</v>
      </c>
      <c r="F4649">
        <v>106498723</v>
      </c>
      <c r="G4649">
        <v>105834470</v>
      </c>
      <c r="H4649">
        <v>70400322</v>
      </c>
      <c r="P4649">
        <v>173</v>
      </c>
      <c r="Q4649" t="s">
        <v>9643</v>
      </c>
    </row>
    <row r="4650" spans="1:17" x14ac:dyDescent="0.3">
      <c r="A4650" t="s">
        <v>4664</v>
      </c>
      <c r="B4650" t="str">
        <f>"300909"</f>
        <v>300909</v>
      </c>
      <c r="C4650" t="s">
        <v>9644</v>
      </c>
      <c r="D4650" t="s">
        <v>1117</v>
      </c>
      <c r="F4650">
        <v>103777850</v>
      </c>
      <c r="G4650">
        <v>70138299</v>
      </c>
      <c r="H4650">
        <v>39461499</v>
      </c>
      <c r="P4650">
        <v>65</v>
      </c>
      <c r="Q4650" t="s">
        <v>9645</v>
      </c>
    </row>
    <row r="4651" spans="1:17" x14ac:dyDescent="0.3">
      <c r="A4651" t="s">
        <v>4664</v>
      </c>
      <c r="B4651" t="str">
        <f>"300910"</f>
        <v>300910</v>
      </c>
      <c r="C4651" t="s">
        <v>9646</v>
      </c>
      <c r="D4651" t="s">
        <v>386</v>
      </c>
      <c r="F4651">
        <v>135627203</v>
      </c>
      <c r="G4651">
        <v>129172854</v>
      </c>
      <c r="H4651">
        <v>65022400</v>
      </c>
      <c r="P4651">
        <v>116</v>
      </c>
      <c r="Q4651" t="s">
        <v>9647</v>
      </c>
    </row>
    <row r="4652" spans="1:17" x14ac:dyDescent="0.3">
      <c r="A4652" t="s">
        <v>4664</v>
      </c>
      <c r="B4652" t="str">
        <f>"300911"</f>
        <v>300911</v>
      </c>
      <c r="C4652" t="s">
        <v>9648</v>
      </c>
      <c r="D4652" t="s">
        <v>3680</v>
      </c>
      <c r="F4652">
        <v>155511411</v>
      </c>
      <c r="G4652">
        <v>95523659</v>
      </c>
      <c r="H4652">
        <v>55584605</v>
      </c>
      <c r="P4652">
        <v>151</v>
      </c>
      <c r="Q4652" t="s">
        <v>9649</v>
      </c>
    </row>
    <row r="4653" spans="1:17" x14ac:dyDescent="0.3">
      <c r="A4653" t="s">
        <v>4664</v>
      </c>
      <c r="B4653" t="str">
        <f>"300912"</f>
        <v>300912</v>
      </c>
      <c r="C4653" t="s">
        <v>9650</v>
      </c>
      <c r="D4653" t="s">
        <v>985</v>
      </c>
      <c r="F4653">
        <v>-16970056</v>
      </c>
      <c r="G4653">
        <v>66177071</v>
      </c>
      <c r="H4653">
        <v>49349819</v>
      </c>
      <c r="P4653">
        <v>39</v>
      </c>
      <c r="Q4653" t="s">
        <v>9651</v>
      </c>
    </row>
    <row r="4654" spans="1:17" x14ac:dyDescent="0.3">
      <c r="A4654" t="s">
        <v>4664</v>
      </c>
      <c r="B4654" t="str">
        <f>"300913"</f>
        <v>300913</v>
      </c>
      <c r="C4654" t="s">
        <v>9652</v>
      </c>
      <c r="D4654" t="s">
        <v>250</v>
      </c>
      <c r="F4654">
        <v>61126965</v>
      </c>
      <c r="G4654">
        <v>52518185</v>
      </c>
      <c r="H4654">
        <v>54525962</v>
      </c>
      <c r="P4654">
        <v>33</v>
      </c>
      <c r="Q4654" t="s">
        <v>9653</v>
      </c>
    </row>
    <row r="4655" spans="1:17" x14ac:dyDescent="0.3">
      <c r="A4655" t="s">
        <v>4664</v>
      </c>
      <c r="B4655" t="str">
        <f>"300915"</f>
        <v>300915</v>
      </c>
      <c r="C4655" t="s">
        <v>9654</v>
      </c>
      <c r="D4655" t="s">
        <v>900</v>
      </c>
      <c r="F4655">
        <v>93534224</v>
      </c>
      <c r="G4655">
        <v>48295962</v>
      </c>
      <c r="H4655">
        <v>40448904</v>
      </c>
      <c r="P4655">
        <v>101</v>
      </c>
      <c r="Q4655" t="s">
        <v>9655</v>
      </c>
    </row>
    <row r="4656" spans="1:17" x14ac:dyDescent="0.3">
      <c r="A4656" t="s">
        <v>4664</v>
      </c>
      <c r="B4656" t="str">
        <f>"300916"</f>
        <v>300916</v>
      </c>
      <c r="C4656" t="s">
        <v>9656</v>
      </c>
      <c r="D4656" t="s">
        <v>313</v>
      </c>
      <c r="F4656">
        <v>102219334</v>
      </c>
      <c r="G4656">
        <v>60631139</v>
      </c>
      <c r="H4656">
        <v>31304400</v>
      </c>
      <c r="P4656">
        <v>79</v>
      </c>
      <c r="Q4656" t="s">
        <v>9657</v>
      </c>
    </row>
    <row r="4657" spans="1:17" x14ac:dyDescent="0.3">
      <c r="A4657" t="s">
        <v>4664</v>
      </c>
      <c r="B4657" t="str">
        <f>"300917"</f>
        <v>300917</v>
      </c>
      <c r="C4657" t="s">
        <v>9658</v>
      </c>
      <c r="D4657" t="s">
        <v>2948</v>
      </c>
      <c r="F4657">
        <v>85333083</v>
      </c>
      <c r="G4657">
        <v>72841155</v>
      </c>
      <c r="H4657">
        <v>47738738</v>
      </c>
      <c r="P4657">
        <v>80</v>
      </c>
      <c r="Q4657" t="s">
        <v>9659</v>
      </c>
    </row>
    <row r="4658" spans="1:17" x14ac:dyDescent="0.3">
      <c r="A4658" t="s">
        <v>4664</v>
      </c>
      <c r="B4658" t="str">
        <f>"300918"</f>
        <v>300918</v>
      </c>
      <c r="C4658" t="s">
        <v>9660</v>
      </c>
      <c r="D4658" t="s">
        <v>366</v>
      </c>
      <c r="F4658">
        <v>96351832</v>
      </c>
      <c r="G4658">
        <v>76990145</v>
      </c>
      <c r="H4658">
        <v>97987300</v>
      </c>
      <c r="P4658">
        <v>38</v>
      </c>
      <c r="Q4658" t="s">
        <v>9661</v>
      </c>
    </row>
    <row r="4659" spans="1:17" x14ac:dyDescent="0.3">
      <c r="A4659" t="s">
        <v>4664</v>
      </c>
      <c r="B4659" t="str">
        <f>"300919"</f>
        <v>300919</v>
      </c>
      <c r="C4659" t="s">
        <v>9662</v>
      </c>
      <c r="D4659" t="s">
        <v>1786</v>
      </c>
      <c r="F4659">
        <v>765277373</v>
      </c>
      <c r="G4659">
        <v>280280600</v>
      </c>
      <c r="H4659">
        <v>123731100</v>
      </c>
      <c r="P4659">
        <v>175</v>
      </c>
      <c r="Q4659" t="s">
        <v>9663</v>
      </c>
    </row>
    <row r="4660" spans="1:17" x14ac:dyDescent="0.3">
      <c r="A4660" t="s">
        <v>4664</v>
      </c>
      <c r="B4660" t="str">
        <f>"300920"</f>
        <v>300920</v>
      </c>
      <c r="C4660" t="s">
        <v>9664</v>
      </c>
      <c r="D4660" t="s">
        <v>1192</v>
      </c>
      <c r="F4660">
        <v>75054579</v>
      </c>
      <c r="G4660">
        <v>94555139</v>
      </c>
      <c r="H4660">
        <v>86388583</v>
      </c>
      <c r="P4660">
        <v>46</v>
      </c>
      <c r="Q4660" t="s">
        <v>9665</v>
      </c>
    </row>
    <row r="4661" spans="1:17" x14ac:dyDescent="0.3">
      <c r="A4661" t="s">
        <v>4664</v>
      </c>
      <c r="B4661" t="str">
        <f>"300921"</f>
        <v>300921</v>
      </c>
      <c r="C4661" t="s">
        <v>9666</v>
      </c>
      <c r="D4661" t="s">
        <v>5597</v>
      </c>
      <c r="F4661">
        <v>48918986</v>
      </c>
      <c r="G4661">
        <v>54771803</v>
      </c>
      <c r="H4661">
        <v>48918300</v>
      </c>
      <c r="P4661">
        <v>39</v>
      </c>
      <c r="Q4661" t="s">
        <v>9667</v>
      </c>
    </row>
    <row r="4662" spans="1:17" x14ac:dyDescent="0.3">
      <c r="A4662" t="s">
        <v>4664</v>
      </c>
      <c r="B4662" t="str">
        <f>"300922"</f>
        <v>300922</v>
      </c>
      <c r="C4662" t="s">
        <v>9668</v>
      </c>
      <c r="D4662" t="s">
        <v>428</v>
      </c>
      <c r="F4662">
        <v>56723438</v>
      </c>
      <c r="G4662">
        <v>42970046</v>
      </c>
      <c r="H4662">
        <v>33100681</v>
      </c>
      <c r="I4662">
        <v>34301710</v>
      </c>
      <c r="P4662">
        <v>83</v>
      </c>
      <c r="Q4662" t="s">
        <v>9669</v>
      </c>
    </row>
    <row r="4663" spans="1:17" x14ac:dyDescent="0.3">
      <c r="A4663" t="s">
        <v>4664</v>
      </c>
      <c r="B4663" t="str">
        <f>"300923"</f>
        <v>300923</v>
      </c>
      <c r="C4663" t="s">
        <v>9670</v>
      </c>
      <c r="D4663" t="s">
        <v>1012</v>
      </c>
      <c r="F4663">
        <v>57585645</v>
      </c>
      <c r="G4663">
        <v>49132470</v>
      </c>
      <c r="H4663">
        <v>42055175</v>
      </c>
      <c r="P4663">
        <v>28</v>
      </c>
      <c r="Q4663" t="s">
        <v>9671</v>
      </c>
    </row>
    <row r="4664" spans="1:17" x14ac:dyDescent="0.3">
      <c r="A4664" t="s">
        <v>4664</v>
      </c>
      <c r="B4664" t="str">
        <f>"300925"</f>
        <v>300925</v>
      </c>
      <c r="C4664" t="s">
        <v>9672</v>
      </c>
      <c r="D4664" t="s">
        <v>945</v>
      </c>
      <c r="F4664">
        <v>97212398</v>
      </c>
      <c r="G4664">
        <v>83006347</v>
      </c>
      <c r="H4664">
        <v>68406000</v>
      </c>
      <c r="P4664">
        <v>72</v>
      </c>
      <c r="Q4664" t="s">
        <v>9673</v>
      </c>
    </row>
    <row r="4665" spans="1:17" x14ac:dyDescent="0.3">
      <c r="A4665" t="s">
        <v>4664</v>
      </c>
      <c r="B4665" t="str">
        <f>"300926"</f>
        <v>300926</v>
      </c>
      <c r="C4665" t="s">
        <v>9674</v>
      </c>
      <c r="D4665" t="s">
        <v>985</v>
      </c>
      <c r="F4665">
        <v>59981116</v>
      </c>
      <c r="G4665">
        <v>47777344</v>
      </c>
      <c r="H4665">
        <v>33294800</v>
      </c>
      <c r="P4665">
        <v>45</v>
      </c>
      <c r="Q4665" t="s">
        <v>9675</v>
      </c>
    </row>
    <row r="4666" spans="1:17" x14ac:dyDescent="0.3">
      <c r="A4666" t="s">
        <v>4664</v>
      </c>
      <c r="B4666" t="str">
        <f>"300927"</f>
        <v>300927</v>
      </c>
      <c r="C4666" t="s">
        <v>9676</v>
      </c>
      <c r="D4666" t="s">
        <v>1233</v>
      </c>
      <c r="F4666">
        <v>54648125</v>
      </c>
      <c r="G4666">
        <v>42477086</v>
      </c>
      <c r="H4666">
        <v>44569500</v>
      </c>
      <c r="P4666">
        <v>44</v>
      </c>
      <c r="Q4666" t="s">
        <v>9677</v>
      </c>
    </row>
    <row r="4667" spans="1:17" x14ac:dyDescent="0.3">
      <c r="A4667" t="s">
        <v>4664</v>
      </c>
      <c r="B4667" t="str">
        <f>"300928"</f>
        <v>300928</v>
      </c>
      <c r="C4667" t="s">
        <v>9678</v>
      </c>
      <c r="D4667" t="s">
        <v>1415</v>
      </c>
      <c r="F4667">
        <v>39119889</v>
      </c>
      <c r="G4667">
        <v>48122336</v>
      </c>
      <c r="H4667">
        <v>53386170</v>
      </c>
      <c r="P4667">
        <v>27</v>
      </c>
      <c r="Q4667" t="s">
        <v>9679</v>
      </c>
    </row>
    <row r="4668" spans="1:17" x14ac:dyDescent="0.3">
      <c r="A4668" t="s">
        <v>4664</v>
      </c>
      <c r="B4668" t="str">
        <f>"300929"</f>
        <v>300929</v>
      </c>
      <c r="C4668" t="s">
        <v>9680</v>
      </c>
      <c r="D4668" t="s">
        <v>33</v>
      </c>
      <c r="F4668">
        <v>41811848</v>
      </c>
      <c r="G4668">
        <v>41729812</v>
      </c>
      <c r="H4668">
        <v>37915700</v>
      </c>
      <c r="P4668">
        <v>48</v>
      </c>
      <c r="Q4668" t="s">
        <v>9681</v>
      </c>
    </row>
    <row r="4669" spans="1:17" x14ac:dyDescent="0.3">
      <c r="A4669" t="s">
        <v>4664</v>
      </c>
      <c r="B4669" t="str">
        <f>"300930"</f>
        <v>300930</v>
      </c>
      <c r="C4669" t="s">
        <v>9682</v>
      </c>
      <c r="D4669" t="s">
        <v>581</v>
      </c>
      <c r="F4669">
        <v>69538957</v>
      </c>
      <c r="G4669">
        <v>43461643</v>
      </c>
      <c r="H4669">
        <v>40953310</v>
      </c>
      <c r="P4669">
        <v>75</v>
      </c>
      <c r="Q4669" t="s">
        <v>9683</v>
      </c>
    </row>
    <row r="4670" spans="1:17" x14ac:dyDescent="0.3">
      <c r="A4670" t="s">
        <v>4664</v>
      </c>
      <c r="B4670" t="str">
        <f>"300931"</f>
        <v>300931</v>
      </c>
      <c r="C4670" t="s">
        <v>9684</v>
      </c>
      <c r="D4670" t="s">
        <v>1689</v>
      </c>
      <c r="F4670">
        <v>22547749</v>
      </c>
      <c r="G4670">
        <v>30658965</v>
      </c>
      <c r="H4670">
        <v>30811100</v>
      </c>
      <c r="P4670">
        <v>31</v>
      </c>
      <c r="Q4670" t="s">
        <v>9685</v>
      </c>
    </row>
    <row r="4671" spans="1:17" x14ac:dyDescent="0.3">
      <c r="A4671" t="s">
        <v>4664</v>
      </c>
      <c r="B4671" t="str">
        <f>"300932"</f>
        <v>300932</v>
      </c>
      <c r="C4671" t="s">
        <v>9686</v>
      </c>
      <c r="D4671" t="s">
        <v>657</v>
      </c>
      <c r="F4671">
        <v>108796079</v>
      </c>
      <c r="G4671">
        <v>111333696</v>
      </c>
      <c r="H4671">
        <v>68884800</v>
      </c>
      <c r="P4671">
        <v>29</v>
      </c>
      <c r="Q4671" t="s">
        <v>9687</v>
      </c>
    </row>
    <row r="4672" spans="1:17" x14ac:dyDescent="0.3">
      <c r="A4672" t="s">
        <v>4664</v>
      </c>
      <c r="B4672" t="str">
        <f>"300933"</f>
        <v>300933</v>
      </c>
      <c r="C4672" t="s">
        <v>9688</v>
      </c>
      <c r="D4672" t="s">
        <v>1164</v>
      </c>
      <c r="F4672">
        <v>62108061</v>
      </c>
      <c r="G4672">
        <v>64436683</v>
      </c>
      <c r="H4672">
        <v>74374800</v>
      </c>
      <c r="P4672">
        <v>30</v>
      </c>
      <c r="Q4672" t="s">
        <v>9689</v>
      </c>
    </row>
    <row r="4673" spans="1:17" x14ac:dyDescent="0.3">
      <c r="A4673" t="s">
        <v>4664</v>
      </c>
      <c r="B4673" t="str">
        <f>"300935"</f>
        <v>300935</v>
      </c>
      <c r="C4673" t="s">
        <v>9690</v>
      </c>
      <c r="D4673" t="s">
        <v>945</v>
      </c>
      <c r="F4673">
        <v>12850628</v>
      </c>
      <c r="G4673">
        <v>42571994</v>
      </c>
      <c r="H4673">
        <v>49481700</v>
      </c>
      <c r="P4673">
        <v>55</v>
      </c>
      <c r="Q4673" t="s">
        <v>9691</v>
      </c>
    </row>
    <row r="4674" spans="1:17" x14ac:dyDescent="0.3">
      <c r="A4674" t="s">
        <v>4664</v>
      </c>
      <c r="B4674" t="str">
        <f>"300936"</f>
        <v>300936</v>
      </c>
      <c r="C4674" t="s">
        <v>9692</v>
      </c>
      <c r="D4674" t="s">
        <v>425</v>
      </c>
      <c r="F4674">
        <v>37049534</v>
      </c>
      <c r="G4674">
        <v>42079263</v>
      </c>
      <c r="H4674">
        <v>44321900</v>
      </c>
      <c r="P4674">
        <v>54</v>
      </c>
      <c r="Q4674" t="s">
        <v>9693</v>
      </c>
    </row>
    <row r="4675" spans="1:17" x14ac:dyDescent="0.3">
      <c r="A4675" t="s">
        <v>4664</v>
      </c>
      <c r="B4675" t="str">
        <f>"300937"</f>
        <v>300937</v>
      </c>
      <c r="C4675" t="s">
        <v>9694</v>
      </c>
      <c r="D4675" t="s">
        <v>125</v>
      </c>
      <c r="F4675">
        <v>10982834</v>
      </c>
      <c r="G4675">
        <v>32418281</v>
      </c>
      <c r="H4675">
        <v>28083098</v>
      </c>
      <c r="P4675">
        <v>35</v>
      </c>
      <c r="Q4675" t="s">
        <v>9695</v>
      </c>
    </row>
    <row r="4676" spans="1:17" x14ac:dyDescent="0.3">
      <c r="A4676" t="s">
        <v>4664</v>
      </c>
      <c r="B4676" t="str">
        <f>"300938"</f>
        <v>300938</v>
      </c>
      <c r="C4676" t="s">
        <v>9696</v>
      </c>
      <c r="D4676" t="s">
        <v>2499</v>
      </c>
      <c r="F4676">
        <v>60438019</v>
      </c>
      <c r="G4676">
        <v>45272133</v>
      </c>
      <c r="H4676">
        <v>58827307</v>
      </c>
      <c r="P4676">
        <v>43</v>
      </c>
      <c r="Q4676" t="s">
        <v>9697</v>
      </c>
    </row>
    <row r="4677" spans="1:17" x14ac:dyDescent="0.3">
      <c r="A4677" t="s">
        <v>4664</v>
      </c>
      <c r="B4677" t="str">
        <f>"300939"</f>
        <v>300939</v>
      </c>
      <c r="C4677" t="s">
        <v>9698</v>
      </c>
      <c r="D4677" t="s">
        <v>1117</v>
      </c>
      <c r="F4677">
        <v>80985206</v>
      </c>
      <c r="G4677">
        <v>61557724</v>
      </c>
      <c r="H4677">
        <v>63009725</v>
      </c>
      <c r="P4677">
        <v>31</v>
      </c>
      <c r="Q4677" t="s">
        <v>9699</v>
      </c>
    </row>
    <row r="4678" spans="1:17" x14ac:dyDescent="0.3">
      <c r="A4678" t="s">
        <v>4664</v>
      </c>
      <c r="B4678" t="str">
        <f>"300940"</f>
        <v>300940</v>
      </c>
      <c r="C4678" t="s">
        <v>9700</v>
      </c>
      <c r="D4678" t="s">
        <v>803</v>
      </c>
      <c r="F4678">
        <v>37084992</v>
      </c>
      <c r="G4678">
        <v>61851392</v>
      </c>
      <c r="H4678">
        <v>58099300</v>
      </c>
      <c r="P4678">
        <v>39</v>
      </c>
      <c r="Q4678" t="s">
        <v>9701</v>
      </c>
    </row>
    <row r="4679" spans="1:17" x14ac:dyDescent="0.3">
      <c r="A4679" t="s">
        <v>4664</v>
      </c>
      <c r="B4679" t="str">
        <f>"300941"</f>
        <v>300941</v>
      </c>
      <c r="C4679" t="s">
        <v>9702</v>
      </c>
      <c r="D4679" t="s">
        <v>236</v>
      </c>
      <c r="F4679">
        <v>51833369</v>
      </c>
      <c r="G4679">
        <v>71621013</v>
      </c>
      <c r="H4679">
        <v>35164000</v>
      </c>
      <c r="I4679">
        <v>25118737</v>
      </c>
      <c r="P4679">
        <v>69</v>
      </c>
      <c r="Q4679" t="s">
        <v>9703</v>
      </c>
    </row>
    <row r="4680" spans="1:17" x14ac:dyDescent="0.3">
      <c r="A4680" t="s">
        <v>4664</v>
      </c>
      <c r="B4680" t="str">
        <f>"300942"</f>
        <v>300942</v>
      </c>
      <c r="C4680" t="s">
        <v>9704</v>
      </c>
      <c r="D4680" t="s">
        <v>1305</v>
      </c>
      <c r="F4680">
        <v>195661371</v>
      </c>
      <c r="G4680">
        <v>51895538</v>
      </c>
      <c r="H4680">
        <v>54221600</v>
      </c>
      <c r="P4680">
        <v>98</v>
      </c>
      <c r="Q4680" t="s">
        <v>9705</v>
      </c>
    </row>
    <row r="4681" spans="1:17" x14ac:dyDescent="0.3">
      <c r="A4681" t="s">
        <v>4664</v>
      </c>
      <c r="B4681" t="str">
        <f>"300943"</f>
        <v>300943</v>
      </c>
      <c r="C4681" t="s">
        <v>9706</v>
      </c>
      <c r="D4681" t="s">
        <v>274</v>
      </c>
      <c r="F4681">
        <v>58651135</v>
      </c>
      <c r="G4681">
        <v>57597406</v>
      </c>
      <c r="H4681">
        <v>54355202</v>
      </c>
      <c r="I4681">
        <v>58855507</v>
      </c>
      <c r="P4681">
        <v>35</v>
      </c>
      <c r="Q4681" t="s">
        <v>9707</v>
      </c>
    </row>
    <row r="4682" spans="1:17" x14ac:dyDescent="0.3">
      <c r="A4682" t="s">
        <v>4664</v>
      </c>
      <c r="B4682" t="str">
        <f>"300945"</f>
        <v>300945</v>
      </c>
      <c r="C4682" t="s">
        <v>9708</v>
      </c>
      <c r="D4682" t="s">
        <v>1238</v>
      </c>
      <c r="F4682">
        <v>61319661</v>
      </c>
      <c r="G4682">
        <v>55280431</v>
      </c>
      <c r="H4682">
        <v>51013200</v>
      </c>
      <c r="P4682">
        <v>36</v>
      </c>
      <c r="Q4682" t="s">
        <v>9709</v>
      </c>
    </row>
    <row r="4683" spans="1:17" x14ac:dyDescent="0.3">
      <c r="A4683" t="s">
        <v>4664</v>
      </c>
      <c r="B4683" t="str">
        <f>"300946"</f>
        <v>300946</v>
      </c>
      <c r="C4683" t="s">
        <v>9710</v>
      </c>
      <c r="D4683" t="s">
        <v>274</v>
      </c>
      <c r="F4683">
        <v>88166027</v>
      </c>
      <c r="G4683">
        <v>75996560</v>
      </c>
      <c r="H4683">
        <v>52359300</v>
      </c>
      <c r="P4683">
        <v>75</v>
      </c>
      <c r="Q4683" t="s">
        <v>9711</v>
      </c>
    </row>
    <row r="4684" spans="1:17" x14ac:dyDescent="0.3">
      <c r="A4684" t="s">
        <v>4664</v>
      </c>
      <c r="B4684" t="str">
        <f>"300947"</f>
        <v>300947</v>
      </c>
      <c r="C4684" t="s">
        <v>9712</v>
      </c>
      <c r="D4684" t="s">
        <v>271</v>
      </c>
      <c r="F4684">
        <v>79750098</v>
      </c>
      <c r="G4684">
        <v>67137377</v>
      </c>
      <c r="H4684">
        <v>70319617</v>
      </c>
      <c r="P4684">
        <v>28</v>
      </c>
      <c r="Q4684" t="s">
        <v>9713</v>
      </c>
    </row>
    <row r="4685" spans="1:17" x14ac:dyDescent="0.3">
      <c r="A4685" t="s">
        <v>4664</v>
      </c>
      <c r="B4685" t="str">
        <f>"300948"</f>
        <v>300948</v>
      </c>
      <c r="C4685" t="s">
        <v>9714</v>
      </c>
      <c r="D4685" t="s">
        <v>2408</v>
      </c>
      <c r="F4685">
        <v>50360337</v>
      </c>
      <c r="G4685">
        <v>53420432</v>
      </c>
      <c r="H4685">
        <v>45642291</v>
      </c>
      <c r="P4685">
        <v>38</v>
      </c>
      <c r="Q4685" t="s">
        <v>9715</v>
      </c>
    </row>
    <row r="4686" spans="1:17" x14ac:dyDescent="0.3">
      <c r="A4686" t="s">
        <v>4664</v>
      </c>
      <c r="B4686" t="str">
        <f>"300949"</f>
        <v>300949</v>
      </c>
      <c r="C4686" t="s">
        <v>9716</v>
      </c>
      <c r="D4686" t="s">
        <v>2408</v>
      </c>
      <c r="F4686">
        <v>49708502</v>
      </c>
      <c r="P4686">
        <v>39</v>
      </c>
      <c r="Q4686" t="s">
        <v>9717</v>
      </c>
    </row>
    <row r="4687" spans="1:17" x14ac:dyDescent="0.3">
      <c r="A4687" t="s">
        <v>4664</v>
      </c>
      <c r="B4687" t="str">
        <f>"300950"</f>
        <v>300950</v>
      </c>
      <c r="C4687" t="s">
        <v>9718</v>
      </c>
      <c r="D4687" t="s">
        <v>395</v>
      </c>
      <c r="F4687">
        <v>24707141</v>
      </c>
      <c r="G4687">
        <v>27253761</v>
      </c>
      <c r="P4687">
        <v>58</v>
      </c>
      <c r="Q4687" t="s">
        <v>9719</v>
      </c>
    </row>
    <row r="4688" spans="1:17" x14ac:dyDescent="0.3">
      <c r="A4688" t="s">
        <v>4664</v>
      </c>
      <c r="B4688" t="str">
        <f>"300951"</f>
        <v>300951</v>
      </c>
      <c r="C4688" t="s">
        <v>9720</v>
      </c>
      <c r="D4688" t="s">
        <v>313</v>
      </c>
      <c r="F4688">
        <v>180688497</v>
      </c>
      <c r="G4688">
        <v>90961032</v>
      </c>
      <c r="P4688">
        <v>67</v>
      </c>
      <c r="Q4688" t="s">
        <v>9721</v>
      </c>
    </row>
    <row r="4689" spans="1:17" x14ac:dyDescent="0.3">
      <c r="A4689" t="s">
        <v>4664</v>
      </c>
      <c r="B4689" t="str">
        <f>"300952"</f>
        <v>300952</v>
      </c>
      <c r="C4689" t="s">
        <v>9722</v>
      </c>
      <c r="D4689" t="s">
        <v>330</v>
      </c>
      <c r="F4689">
        <v>71414745</v>
      </c>
      <c r="P4689">
        <v>38</v>
      </c>
      <c r="Q4689" t="s">
        <v>9723</v>
      </c>
    </row>
    <row r="4690" spans="1:17" x14ac:dyDescent="0.3">
      <c r="A4690" t="s">
        <v>4664</v>
      </c>
      <c r="B4690" t="str">
        <f>"300953"</f>
        <v>300953</v>
      </c>
      <c r="C4690" t="s">
        <v>9724</v>
      </c>
      <c r="D4690" t="s">
        <v>274</v>
      </c>
      <c r="F4690">
        <v>117607954</v>
      </c>
      <c r="G4690">
        <v>67864011</v>
      </c>
      <c r="P4690">
        <v>84</v>
      </c>
      <c r="Q4690" t="s">
        <v>9725</v>
      </c>
    </row>
    <row r="4691" spans="1:17" x14ac:dyDescent="0.3">
      <c r="A4691" t="s">
        <v>4664</v>
      </c>
      <c r="B4691" t="str">
        <f>"300955"</f>
        <v>300955</v>
      </c>
      <c r="C4691" t="s">
        <v>9726</v>
      </c>
      <c r="D4691" t="s">
        <v>5892</v>
      </c>
      <c r="F4691">
        <v>64457199</v>
      </c>
      <c r="G4691">
        <v>66717869</v>
      </c>
      <c r="P4691">
        <v>42</v>
      </c>
      <c r="Q4691" t="s">
        <v>9727</v>
      </c>
    </row>
    <row r="4692" spans="1:17" x14ac:dyDescent="0.3">
      <c r="A4692" t="s">
        <v>4664</v>
      </c>
      <c r="B4692" t="str">
        <f>"300956"</f>
        <v>300956</v>
      </c>
      <c r="C4692" t="s">
        <v>9728</v>
      </c>
      <c r="D4692" t="s">
        <v>313</v>
      </c>
      <c r="F4692">
        <v>54095637</v>
      </c>
      <c r="G4692">
        <v>85518450</v>
      </c>
      <c r="P4692">
        <v>45</v>
      </c>
      <c r="Q4692" t="s">
        <v>9729</v>
      </c>
    </row>
    <row r="4693" spans="1:17" x14ac:dyDescent="0.3">
      <c r="A4693" t="s">
        <v>4664</v>
      </c>
      <c r="B4693" t="str">
        <f>"300957"</f>
        <v>300957</v>
      </c>
      <c r="C4693" t="s">
        <v>9730</v>
      </c>
      <c r="D4693" t="s">
        <v>709</v>
      </c>
      <c r="F4693">
        <v>355251880</v>
      </c>
      <c r="G4693">
        <v>215270774</v>
      </c>
      <c r="P4693">
        <v>350</v>
      </c>
      <c r="Q4693" t="s">
        <v>9731</v>
      </c>
    </row>
    <row r="4694" spans="1:17" x14ac:dyDescent="0.3">
      <c r="A4694" t="s">
        <v>4664</v>
      </c>
      <c r="B4694" t="str">
        <f>"300958"</f>
        <v>300958</v>
      </c>
      <c r="C4694" t="s">
        <v>9732</v>
      </c>
      <c r="D4694" t="s">
        <v>3548</v>
      </c>
      <c r="F4694">
        <v>55262160</v>
      </c>
      <c r="G4694">
        <v>50185330</v>
      </c>
      <c r="H4694">
        <v>36589290</v>
      </c>
      <c r="P4694">
        <v>28</v>
      </c>
      <c r="Q4694" t="s">
        <v>9733</v>
      </c>
    </row>
    <row r="4695" spans="1:17" x14ac:dyDescent="0.3">
      <c r="A4695" t="s">
        <v>4664</v>
      </c>
      <c r="B4695" t="str">
        <f>"300959"</f>
        <v>300959</v>
      </c>
      <c r="C4695" t="s">
        <v>9734</v>
      </c>
      <c r="D4695" t="s">
        <v>5597</v>
      </c>
      <c r="F4695">
        <v>66359395</v>
      </c>
      <c r="G4695">
        <v>58239063</v>
      </c>
      <c r="P4695">
        <v>31</v>
      </c>
      <c r="Q4695" t="s">
        <v>9735</v>
      </c>
    </row>
    <row r="4696" spans="1:17" x14ac:dyDescent="0.3">
      <c r="A4696" t="s">
        <v>4664</v>
      </c>
      <c r="B4696" t="str">
        <f>"300960"</f>
        <v>300960</v>
      </c>
      <c r="C4696" t="s">
        <v>9736</v>
      </c>
      <c r="D4696" t="s">
        <v>1012</v>
      </c>
      <c r="F4696">
        <v>12332547</v>
      </c>
      <c r="G4696">
        <v>34129882</v>
      </c>
      <c r="P4696">
        <v>26</v>
      </c>
      <c r="Q4696" t="s">
        <v>9737</v>
      </c>
    </row>
    <row r="4697" spans="1:17" x14ac:dyDescent="0.3">
      <c r="A4697" t="s">
        <v>4664</v>
      </c>
      <c r="B4697" t="str">
        <f>"300961"</f>
        <v>300961</v>
      </c>
      <c r="C4697" t="s">
        <v>9738</v>
      </c>
      <c r="D4697" t="s">
        <v>33</v>
      </c>
      <c r="F4697">
        <v>51011891</v>
      </c>
      <c r="P4697">
        <v>27</v>
      </c>
      <c r="Q4697" t="s">
        <v>9739</v>
      </c>
    </row>
    <row r="4698" spans="1:17" x14ac:dyDescent="0.3">
      <c r="A4698" t="s">
        <v>4664</v>
      </c>
      <c r="B4698" t="str">
        <f>"300962"</f>
        <v>300962</v>
      </c>
      <c r="C4698" t="s">
        <v>9740</v>
      </c>
      <c r="D4698" t="s">
        <v>9741</v>
      </c>
      <c r="F4698">
        <v>81372705</v>
      </c>
      <c r="G4698">
        <v>46474978</v>
      </c>
      <c r="P4698">
        <v>32</v>
      </c>
      <c r="Q4698" t="s">
        <v>9742</v>
      </c>
    </row>
    <row r="4699" spans="1:17" x14ac:dyDescent="0.3">
      <c r="A4699" t="s">
        <v>4664</v>
      </c>
      <c r="B4699" t="str">
        <f>"300963"</f>
        <v>300963</v>
      </c>
      <c r="C4699" t="s">
        <v>9743</v>
      </c>
      <c r="D4699" t="s">
        <v>581</v>
      </c>
      <c r="F4699">
        <v>30677752</v>
      </c>
      <c r="G4699">
        <v>49330305</v>
      </c>
      <c r="P4699">
        <v>35</v>
      </c>
      <c r="Q4699" t="s">
        <v>9744</v>
      </c>
    </row>
    <row r="4700" spans="1:17" x14ac:dyDescent="0.3">
      <c r="A4700" t="s">
        <v>4664</v>
      </c>
      <c r="B4700" t="str">
        <f>"300964"</f>
        <v>300964</v>
      </c>
      <c r="C4700" t="s">
        <v>9745</v>
      </c>
      <c r="D4700" t="s">
        <v>425</v>
      </c>
      <c r="F4700">
        <v>55533432</v>
      </c>
      <c r="P4700">
        <v>20</v>
      </c>
      <c r="Q4700" t="s">
        <v>9746</v>
      </c>
    </row>
    <row r="4701" spans="1:17" x14ac:dyDescent="0.3">
      <c r="A4701" t="s">
        <v>4664</v>
      </c>
      <c r="B4701" t="str">
        <f>"300965"</f>
        <v>300965</v>
      </c>
      <c r="C4701" t="s">
        <v>9747</v>
      </c>
      <c r="D4701" t="s">
        <v>98</v>
      </c>
      <c r="F4701">
        <v>57454963</v>
      </c>
      <c r="P4701">
        <v>31</v>
      </c>
      <c r="Q4701" t="s">
        <v>9748</v>
      </c>
    </row>
    <row r="4702" spans="1:17" x14ac:dyDescent="0.3">
      <c r="A4702" t="s">
        <v>4664</v>
      </c>
      <c r="B4702" t="str">
        <f>"300966"</f>
        <v>300966</v>
      </c>
      <c r="C4702" t="s">
        <v>9749</v>
      </c>
      <c r="D4702" t="s">
        <v>496</v>
      </c>
      <c r="F4702">
        <v>54065348</v>
      </c>
      <c r="G4702">
        <v>31290294</v>
      </c>
      <c r="P4702">
        <v>32</v>
      </c>
      <c r="Q4702" t="s">
        <v>9750</v>
      </c>
    </row>
    <row r="4703" spans="1:17" x14ac:dyDescent="0.3">
      <c r="A4703" t="s">
        <v>4664</v>
      </c>
      <c r="B4703" t="str">
        <f>"300967"</f>
        <v>300967</v>
      </c>
      <c r="C4703" t="s">
        <v>9751</v>
      </c>
      <c r="D4703" t="s">
        <v>6173</v>
      </c>
      <c r="F4703">
        <v>77066856</v>
      </c>
      <c r="G4703">
        <v>50201169</v>
      </c>
      <c r="H4703">
        <v>81474705</v>
      </c>
      <c r="P4703">
        <v>34</v>
      </c>
      <c r="Q4703" t="s">
        <v>9752</v>
      </c>
    </row>
    <row r="4704" spans="1:17" x14ac:dyDescent="0.3">
      <c r="A4704" t="s">
        <v>4664</v>
      </c>
      <c r="B4704" t="str">
        <f>"300968"</f>
        <v>300968</v>
      </c>
      <c r="C4704" t="s">
        <v>9753</v>
      </c>
      <c r="D4704" t="s">
        <v>313</v>
      </c>
      <c r="F4704">
        <v>60281092</v>
      </c>
      <c r="G4704">
        <v>100361331</v>
      </c>
      <c r="H4704">
        <v>74482840</v>
      </c>
      <c r="P4704">
        <v>31</v>
      </c>
      <c r="Q4704" t="s">
        <v>9754</v>
      </c>
    </row>
    <row r="4705" spans="1:17" x14ac:dyDescent="0.3">
      <c r="A4705" t="s">
        <v>4664</v>
      </c>
      <c r="B4705" t="str">
        <f>"300969"</f>
        <v>300969</v>
      </c>
      <c r="C4705" t="s">
        <v>9755</v>
      </c>
      <c r="D4705" t="s">
        <v>191</v>
      </c>
      <c r="F4705">
        <v>90441952</v>
      </c>
      <c r="P4705">
        <v>42</v>
      </c>
      <c r="Q4705" t="s">
        <v>9756</v>
      </c>
    </row>
    <row r="4706" spans="1:17" x14ac:dyDescent="0.3">
      <c r="A4706" t="s">
        <v>4664</v>
      </c>
      <c r="B4706" t="str">
        <f>"300970"</f>
        <v>300970</v>
      </c>
      <c r="C4706" t="s">
        <v>9757</v>
      </c>
      <c r="D4706" t="s">
        <v>7244</v>
      </c>
      <c r="F4706">
        <v>-4110416</v>
      </c>
      <c r="P4706">
        <v>25</v>
      </c>
      <c r="Q4706" t="s">
        <v>9758</v>
      </c>
    </row>
    <row r="4707" spans="1:17" x14ac:dyDescent="0.3">
      <c r="A4707" t="s">
        <v>4664</v>
      </c>
      <c r="B4707" t="str">
        <f>"300971"</f>
        <v>300971</v>
      </c>
      <c r="C4707" t="s">
        <v>9759</v>
      </c>
      <c r="D4707" t="s">
        <v>741</v>
      </c>
      <c r="F4707">
        <v>72256226</v>
      </c>
      <c r="G4707">
        <v>50559580</v>
      </c>
      <c r="P4707">
        <v>39</v>
      </c>
      <c r="Q4707" t="s">
        <v>9760</v>
      </c>
    </row>
    <row r="4708" spans="1:17" x14ac:dyDescent="0.3">
      <c r="A4708" t="s">
        <v>4664</v>
      </c>
      <c r="B4708" t="str">
        <f>"300972"</f>
        <v>300972</v>
      </c>
      <c r="C4708" t="s">
        <v>9761</v>
      </c>
      <c r="D4708" t="s">
        <v>7244</v>
      </c>
      <c r="F4708">
        <v>-20837651</v>
      </c>
      <c r="G4708">
        <v>71338382</v>
      </c>
      <c r="P4708">
        <v>22</v>
      </c>
      <c r="Q4708" t="s">
        <v>9762</v>
      </c>
    </row>
    <row r="4709" spans="1:17" x14ac:dyDescent="0.3">
      <c r="A4709" t="s">
        <v>4664</v>
      </c>
      <c r="B4709" t="str">
        <f>"300973"</f>
        <v>300973</v>
      </c>
      <c r="C4709" t="s">
        <v>9763</v>
      </c>
      <c r="D4709" t="s">
        <v>2479</v>
      </c>
      <c r="F4709">
        <v>197566615</v>
      </c>
      <c r="G4709">
        <v>158723901</v>
      </c>
      <c r="P4709">
        <v>140</v>
      </c>
      <c r="Q4709" t="s">
        <v>9764</v>
      </c>
    </row>
    <row r="4710" spans="1:17" x14ac:dyDescent="0.3">
      <c r="A4710" t="s">
        <v>4664</v>
      </c>
      <c r="B4710" t="str">
        <f>"300975"</f>
        <v>300975</v>
      </c>
      <c r="C4710" t="s">
        <v>9765</v>
      </c>
      <c r="D4710" t="s">
        <v>651</v>
      </c>
      <c r="F4710">
        <v>187348805</v>
      </c>
      <c r="G4710">
        <v>114705559</v>
      </c>
      <c r="H4710">
        <v>72078709</v>
      </c>
      <c r="P4710">
        <v>30</v>
      </c>
      <c r="Q4710" t="s">
        <v>9766</v>
      </c>
    </row>
    <row r="4711" spans="1:17" x14ac:dyDescent="0.3">
      <c r="A4711" t="s">
        <v>4664</v>
      </c>
      <c r="B4711" t="str">
        <f>"300976"</f>
        <v>300976</v>
      </c>
      <c r="C4711" t="s">
        <v>9767</v>
      </c>
      <c r="D4711" t="s">
        <v>313</v>
      </c>
      <c r="F4711">
        <v>173241041</v>
      </c>
      <c r="G4711">
        <v>150465054</v>
      </c>
      <c r="P4711">
        <v>35</v>
      </c>
      <c r="Q4711" t="s">
        <v>9768</v>
      </c>
    </row>
    <row r="4712" spans="1:17" x14ac:dyDescent="0.3">
      <c r="A4712" t="s">
        <v>4664</v>
      </c>
      <c r="B4712" t="str">
        <f>"300977"</f>
        <v>300977</v>
      </c>
      <c r="C4712" t="s">
        <v>9769</v>
      </c>
      <c r="D4712" t="s">
        <v>1272</v>
      </c>
      <c r="F4712">
        <v>94727453</v>
      </c>
      <c r="P4712">
        <v>46</v>
      </c>
      <c r="Q4712" t="s">
        <v>9770</v>
      </c>
    </row>
    <row r="4713" spans="1:17" x14ac:dyDescent="0.3">
      <c r="A4713" t="s">
        <v>4664</v>
      </c>
      <c r="B4713" t="str">
        <f>"300978"</f>
        <v>300978</v>
      </c>
      <c r="C4713" t="s">
        <v>9771</v>
      </c>
      <c r="D4713" t="s">
        <v>191</v>
      </c>
      <c r="F4713">
        <v>95017101</v>
      </c>
      <c r="P4713">
        <v>37</v>
      </c>
      <c r="Q4713" t="s">
        <v>9772</v>
      </c>
    </row>
    <row r="4714" spans="1:17" x14ac:dyDescent="0.3">
      <c r="A4714" t="s">
        <v>4664</v>
      </c>
      <c r="B4714" t="str">
        <f>"300979"</f>
        <v>300979</v>
      </c>
      <c r="C4714" t="s">
        <v>9773</v>
      </c>
      <c r="D4714" t="s">
        <v>9774</v>
      </c>
      <c r="F4714">
        <v>1997088511</v>
      </c>
      <c r="G4714">
        <v>1317579668</v>
      </c>
      <c r="P4714">
        <v>95</v>
      </c>
      <c r="Q4714" t="s">
        <v>9775</v>
      </c>
    </row>
    <row r="4715" spans="1:17" x14ac:dyDescent="0.3">
      <c r="A4715" t="s">
        <v>4664</v>
      </c>
      <c r="B4715" t="str">
        <f>"300980"</f>
        <v>300980</v>
      </c>
      <c r="C4715" t="s">
        <v>9776</v>
      </c>
      <c r="D4715" t="s">
        <v>1192</v>
      </c>
      <c r="F4715">
        <v>69207269</v>
      </c>
      <c r="P4715">
        <v>77</v>
      </c>
      <c r="Q4715" t="s">
        <v>9777</v>
      </c>
    </row>
    <row r="4716" spans="1:17" x14ac:dyDescent="0.3">
      <c r="A4716" t="s">
        <v>4664</v>
      </c>
      <c r="B4716" t="str">
        <f>"300981"</f>
        <v>300981</v>
      </c>
      <c r="C4716" t="s">
        <v>9778</v>
      </c>
      <c r="D4716" t="s">
        <v>1077</v>
      </c>
      <c r="F4716">
        <v>2323537036</v>
      </c>
      <c r="P4716">
        <v>127</v>
      </c>
      <c r="Q4716" t="s">
        <v>9779</v>
      </c>
    </row>
    <row r="4717" spans="1:17" x14ac:dyDescent="0.3">
      <c r="A4717" t="s">
        <v>4664</v>
      </c>
      <c r="B4717" t="str">
        <f>"300982"</f>
        <v>300982</v>
      </c>
      <c r="C4717" t="s">
        <v>9780</v>
      </c>
      <c r="D4717" t="s">
        <v>101</v>
      </c>
      <c r="F4717">
        <v>203939647</v>
      </c>
      <c r="G4717">
        <v>148904115</v>
      </c>
      <c r="P4717">
        <v>65</v>
      </c>
      <c r="Q4717" t="s">
        <v>9781</v>
      </c>
    </row>
    <row r="4718" spans="1:17" x14ac:dyDescent="0.3">
      <c r="A4718" t="s">
        <v>4664</v>
      </c>
      <c r="B4718" t="str">
        <f>"300983"</f>
        <v>300983</v>
      </c>
      <c r="C4718" t="s">
        <v>9782</v>
      </c>
      <c r="D4718" t="s">
        <v>1272</v>
      </c>
      <c r="F4718">
        <v>198954412</v>
      </c>
      <c r="P4718">
        <v>34</v>
      </c>
      <c r="Q4718" t="s">
        <v>9783</v>
      </c>
    </row>
    <row r="4719" spans="1:17" x14ac:dyDescent="0.3">
      <c r="A4719" t="s">
        <v>4664</v>
      </c>
      <c r="B4719" t="str">
        <f>"300984"</f>
        <v>300984</v>
      </c>
      <c r="C4719" t="s">
        <v>9784</v>
      </c>
      <c r="D4719" t="s">
        <v>560</v>
      </c>
      <c r="F4719">
        <v>47218303</v>
      </c>
      <c r="P4719">
        <v>18</v>
      </c>
      <c r="Q4719" t="s">
        <v>9785</v>
      </c>
    </row>
    <row r="4720" spans="1:17" x14ac:dyDescent="0.3">
      <c r="A4720" t="s">
        <v>4664</v>
      </c>
      <c r="B4720" t="str">
        <f>"300985"</f>
        <v>300985</v>
      </c>
      <c r="C4720" t="s">
        <v>9786</v>
      </c>
      <c r="D4720" t="s">
        <v>274</v>
      </c>
      <c r="F4720">
        <v>31385663</v>
      </c>
      <c r="G4720">
        <v>174663657</v>
      </c>
      <c r="P4720">
        <v>32</v>
      </c>
      <c r="Q4720" t="s">
        <v>9787</v>
      </c>
    </row>
    <row r="4721" spans="1:17" x14ac:dyDescent="0.3">
      <c r="A4721" t="s">
        <v>4664</v>
      </c>
      <c r="B4721" t="str">
        <f>"300986"</f>
        <v>300986</v>
      </c>
      <c r="C4721" t="s">
        <v>9788</v>
      </c>
      <c r="D4721" t="s">
        <v>504</v>
      </c>
      <c r="F4721">
        <v>104497955</v>
      </c>
      <c r="G4721">
        <v>115252156</v>
      </c>
      <c r="P4721">
        <v>34</v>
      </c>
      <c r="Q4721" t="s">
        <v>9789</v>
      </c>
    </row>
    <row r="4722" spans="1:17" x14ac:dyDescent="0.3">
      <c r="A4722" t="s">
        <v>4664</v>
      </c>
      <c r="B4722" t="str">
        <f>"300987"</f>
        <v>300987</v>
      </c>
      <c r="C4722" t="s">
        <v>9790</v>
      </c>
      <c r="D4722" t="s">
        <v>522</v>
      </c>
      <c r="F4722">
        <v>26970997</v>
      </c>
      <c r="G4722">
        <v>27602101</v>
      </c>
      <c r="P4722">
        <v>24</v>
      </c>
      <c r="Q4722" t="s">
        <v>9791</v>
      </c>
    </row>
    <row r="4723" spans="1:17" x14ac:dyDescent="0.3">
      <c r="A4723" t="s">
        <v>4664</v>
      </c>
      <c r="B4723" t="str">
        <f>"300988"</f>
        <v>300988</v>
      </c>
      <c r="C4723" t="s">
        <v>9792</v>
      </c>
      <c r="D4723" t="s">
        <v>741</v>
      </c>
      <c r="F4723">
        <v>54379777</v>
      </c>
      <c r="P4723">
        <v>20</v>
      </c>
      <c r="Q4723" t="s">
        <v>9793</v>
      </c>
    </row>
    <row r="4724" spans="1:17" x14ac:dyDescent="0.3">
      <c r="A4724" t="s">
        <v>4664</v>
      </c>
      <c r="B4724" t="str">
        <f>"300989"</f>
        <v>300989</v>
      </c>
      <c r="C4724" t="s">
        <v>9794</v>
      </c>
      <c r="D4724" t="s">
        <v>1272</v>
      </c>
      <c r="F4724">
        <v>55534570</v>
      </c>
      <c r="P4724">
        <v>32</v>
      </c>
      <c r="Q4724" t="s">
        <v>9795</v>
      </c>
    </row>
    <row r="4725" spans="1:17" x14ac:dyDescent="0.3">
      <c r="A4725" t="s">
        <v>4664</v>
      </c>
      <c r="B4725" t="str">
        <f>"300990"</f>
        <v>300990</v>
      </c>
      <c r="C4725" t="s">
        <v>9796</v>
      </c>
      <c r="D4725" t="s">
        <v>988</v>
      </c>
      <c r="F4725">
        <v>94490268</v>
      </c>
      <c r="P4725">
        <v>42</v>
      </c>
      <c r="Q4725" t="s">
        <v>9797</v>
      </c>
    </row>
    <row r="4726" spans="1:17" x14ac:dyDescent="0.3">
      <c r="A4726" t="s">
        <v>4664</v>
      </c>
      <c r="B4726" t="str">
        <f>"300991"</f>
        <v>300991</v>
      </c>
      <c r="C4726" t="s">
        <v>9798</v>
      </c>
      <c r="D4726" t="s">
        <v>651</v>
      </c>
      <c r="F4726">
        <v>60292068</v>
      </c>
      <c r="G4726">
        <v>48206857</v>
      </c>
      <c r="P4726">
        <v>58</v>
      </c>
      <c r="Q4726" t="s">
        <v>9799</v>
      </c>
    </row>
    <row r="4727" spans="1:17" x14ac:dyDescent="0.3">
      <c r="A4727" t="s">
        <v>4664</v>
      </c>
      <c r="B4727" t="str">
        <f>"300992"</f>
        <v>300992</v>
      </c>
      <c r="C4727" t="s">
        <v>9800</v>
      </c>
      <c r="D4727" t="s">
        <v>560</v>
      </c>
      <c r="F4727">
        <v>51171191</v>
      </c>
      <c r="G4727">
        <v>57303866</v>
      </c>
      <c r="P4727">
        <v>26</v>
      </c>
      <c r="Q4727" t="s">
        <v>9801</v>
      </c>
    </row>
    <row r="4728" spans="1:17" x14ac:dyDescent="0.3">
      <c r="A4728" t="s">
        <v>4664</v>
      </c>
      <c r="B4728" t="str">
        <f>"300993"</f>
        <v>300993</v>
      </c>
      <c r="C4728" t="s">
        <v>9802</v>
      </c>
      <c r="D4728" t="s">
        <v>2436</v>
      </c>
      <c r="F4728">
        <v>106831922</v>
      </c>
      <c r="G4728">
        <v>73088837</v>
      </c>
      <c r="P4728">
        <v>31</v>
      </c>
      <c r="Q4728" t="s">
        <v>9803</v>
      </c>
    </row>
    <row r="4729" spans="1:17" x14ac:dyDescent="0.3">
      <c r="A4729" t="s">
        <v>4664</v>
      </c>
      <c r="B4729" t="str">
        <f>"300994"</f>
        <v>300994</v>
      </c>
      <c r="C4729" t="s">
        <v>9804</v>
      </c>
      <c r="D4729" t="s">
        <v>233</v>
      </c>
      <c r="F4729">
        <v>147165602</v>
      </c>
      <c r="G4729">
        <v>95344613</v>
      </c>
      <c r="P4729">
        <v>21</v>
      </c>
      <c r="Q4729" t="s">
        <v>9805</v>
      </c>
    </row>
    <row r="4730" spans="1:17" x14ac:dyDescent="0.3">
      <c r="A4730" t="s">
        <v>4664</v>
      </c>
      <c r="B4730" t="str">
        <f>"300995"</f>
        <v>300995</v>
      </c>
      <c r="C4730" t="s">
        <v>9806</v>
      </c>
      <c r="D4730" t="s">
        <v>341</v>
      </c>
      <c r="F4730">
        <v>30832009</v>
      </c>
      <c r="G4730">
        <v>72351577</v>
      </c>
      <c r="P4730">
        <v>26</v>
      </c>
      <c r="Q4730" t="s">
        <v>9807</v>
      </c>
    </row>
    <row r="4731" spans="1:17" x14ac:dyDescent="0.3">
      <c r="A4731" t="s">
        <v>4664</v>
      </c>
      <c r="B4731" t="str">
        <f>"300996"</f>
        <v>300996</v>
      </c>
      <c r="C4731" t="s">
        <v>9808</v>
      </c>
      <c r="D4731" t="s">
        <v>945</v>
      </c>
      <c r="F4731">
        <v>42764205</v>
      </c>
      <c r="P4731">
        <v>42</v>
      </c>
      <c r="Q4731" t="s">
        <v>9809</v>
      </c>
    </row>
    <row r="4732" spans="1:17" x14ac:dyDescent="0.3">
      <c r="A4732" t="s">
        <v>4664</v>
      </c>
      <c r="B4732" t="str">
        <f>"300997"</f>
        <v>300997</v>
      </c>
      <c r="C4732" t="s">
        <v>9810</v>
      </c>
      <c r="D4732" t="s">
        <v>440</v>
      </c>
      <c r="F4732">
        <v>124532200</v>
      </c>
      <c r="G4732">
        <v>111283226</v>
      </c>
      <c r="P4732">
        <v>39</v>
      </c>
      <c r="Q4732" t="s">
        <v>9811</v>
      </c>
    </row>
    <row r="4733" spans="1:17" x14ac:dyDescent="0.3">
      <c r="A4733" t="s">
        <v>4664</v>
      </c>
      <c r="B4733" t="str">
        <f>"300998"</f>
        <v>300998</v>
      </c>
      <c r="C4733" t="s">
        <v>9812</v>
      </c>
      <c r="D4733" t="s">
        <v>985</v>
      </c>
      <c r="F4733">
        <v>11057026</v>
      </c>
      <c r="P4733">
        <v>26</v>
      </c>
      <c r="Q4733" t="s">
        <v>9813</v>
      </c>
    </row>
    <row r="4734" spans="1:17" x14ac:dyDescent="0.3">
      <c r="A4734" t="s">
        <v>4664</v>
      </c>
      <c r="B4734" t="str">
        <f>"300999"</f>
        <v>300999</v>
      </c>
      <c r="C4734" t="s">
        <v>9814</v>
      </c>
      <c r="D4734" t="s">
        <v>306</v>
      </c>
      <c r="F4734">
        <v>3681093000</v>
      </c>
      <c r="G4734">
        <v>5089839000</v>
      </c>
      <c r="H4734">
        <v>3489110000</v>
      </c>
      <c r="P4734">
        <v>1181</v>
      </c>
      <c r="Q4734" t="s">
        <v>9815</v>
      </c>
    </row>
    <row r="4735" spans="1:17" x14ac:dyDescent="0.3">
      <c r="A4735" t="s">
        <v>4664</v>
      </c>
      <c r="B4735" t="str">
        <f>"301000"</f>
        <v>301000</v>
      </c>
      <c r="C4735" t="s">
        <v>9816</v>
      </c>
      <c r="D4735" t="s">
        <v>985</v>
      </c>
      <c r="F4735">
        <v>82061043</v>
      </c>
      <c r="P4735">
        <v>25</v>
      </c>
      <c r="Q4735" t="s">
        <v>9817</v>
      </c>
    </row>
    <row r="4736" spans="1:17" x14ac:dyDescent="0.3">
      <c r="A4736" t="s">
        <v>4664</v>
      </c>
      <c r="B4736" t="str">
        <f>"301001"</f>
        <v>301001</v>
      </c>
      <c r="C4736" t="s">
        <v>9818</v>
      </c>
      <c r="D4736" t="s">
        <v>3590</v>
      </c>
      <c r="F4736">
        <v>39406080</v>
      </c>
      <c r="G4736">
        <v>53760096</v>
      </c>
      <c r="P4736">
        <v>23</v>
      </c>
      <c r="Q4736" t="s">
        <v>9819</v>
      </c>
    </row>
    <row r="4737" spans="1:17" x14ac:dyDescent="0.3">
      <c r="A4737" t="s">
        <v>4664</v>
      </c>
      <c r="B4737" t="str">
        <f>"301002"</f>
        <v>301002</v>
      </c>
      <c r="C4737" t="s">
        <v>9820</v>
      </c>
      <c r="D4737" t="s">
        <v>210</v>
      </c>
      <c r="F4737">
        <v>102726688</v>
      </c>
      <c r="G4737">
        <v>62205762</v>
      </c>
      <c r="P4737">
        <v>43</v>
      </c>
      <c r="Q4737" t="s">
        <v>9821</v>
      </c>
    </row>
    <row r="4738" spans="1:17" x14ac:dyDescent="0.3">
      <c r="A4738" t="s">
        <v>4664</v>
      </c>
      <c r="B4738" t="str">
        <f>"301003"</f>
        <v>301003</v>
      </c>
      <c r="C4738" t="s">
        <v>9822</v>
      </c>
      <c r="D4738" t="s">
        <v>341</v>
      </c>
      <c r="F4738">
        <v>98647147</v>
      </c>
      <c r="P4738">
        <v>31</v>
      </c>
      <c r="Q4738" t="s">
        <v>9823</v>
      </c>
    </row>
    <row r="4739" spans="1:17" x14ac:dyDescent="0.3">
      <c r="A4739" t="s">
        <v>4664</v>
      </c>
      <c r="B4739" t="str">
        <f>"301004"</f>
        <v>301004</v>
      </c>
      <c r="C4739" t="s">
        <v>9824</v>
      </c>
      <c r="D4739" t="s">
        <v>2436</v>
      </c>
      <c r="F4739">
        <v>61530367</v>
      </c>
      <c r="P4739">
        <v>25</v>
      </c>
      <c r="Q4739" t="s">
        <v>9825</v>
      </c>
    </row>
    <row r="4740" spans="1:17" x14ac:dyDescent="0.3">
      <c r="A4740" t="s">
        <v>4664</v>
      </c>
      <c r="B4740" t="str">
        <f>"301005"</f>
        <v>301005</v>
      </c>
      <c r="C4740" t="s">
        <v>9826</v>
      </c>
      <c r="D4740" t="s">
        <v>985</v>
      </c>
      <c r="F4740">
        <v>59102961</v>
      </c>
      <c r="P4740">
        <v>23</v>
      </c>
      <c r="Q4740" t="s">
        <v>9827</v>
      </c>
    </row>
    <row r="4741" spans="1:17" x14ac:dyDescent="0.3">
      <c r="A4741" t="s">
        <v>4664</v>
      </c>
      <c r="B4741" t="str">
        <f>"301006"</f>
        <v>301006</v>
      </c>
      <c r="C4741" t="s">
        <v>9828</v>
      </c>
      <c r="D4741" t="s">
        <v>2551</v>
      </c>
      <c r="F4741">
        <v>102720216</v>
      </c>
      <c r="G4741">
        <v>117638065</v>
      </c>
      <c r="P4741">
        <v>50</v>
      </c>
      <c r="Q4741" t="s">
        <v>9829</v>
      </c>
    </row>
    <row r="4742" spans="1:17" x14ac:dyDescent="0.3">
      <c r="A4742" t="s">
        <v>4664</v>
      </c>
      <c r="B4742" t="str">
        <f>"301007"</f>
        <v>301007</v>
      </c>
      <c r="C4742" t="s">
        <v>9830</v>
      </c>
      <c r="D4742" t="s">
        <v>348</v>
      </c>
      <c r="F4742">
        <v>41609281</v>
      </c>
      <c r="G4742">
        <v>29062946</v>
      </c>
      <c r="P4742">
        <v>44</v>
      </c>
      <c r="Q4742" t="s">
        <v>9831</v>
      </c>
    </row>
    <row r="4743" spans="1:17" x14ac:dyDescent="0.3">
      <c r="A4743" t="s">
        <v>4664</v>
      </c>
      <c r="B4743" t="str">
        <f>"301008"</f>
        <v>301008</v>
      </c>
      <c r="C4743" t="s">
        <v>9832</v>
      </c>
      <c r="D4743" t="s">
        <v>1253</v>
      </c>
      <c r="F4743">
        <v>50590273</v>
      </c>
      <c r="P4743">
        <v>36</v>
      </c>
      <c r="Q4743" t="s">
        <v>9833</v>
      </c>
    </row>
    <row r="4744" spans="1:17" x14ac:dyDescent="0.3">
      <c r="A4744" t="s">
        <v>4664</v>
      </c>
      <c r="B4744" t="str">
        <f>"301009"</f>
        <v>301009</v>
      </c>
      <c r="C4744" t="s">
        <v>9834</v>
      </c>
      <c r="D4744" t="s">
        <v>2728</v>
      </c>
      <c r="F4744">
        <v>69448833</v>
      </c>
      <c r="G4744">
        <v>168051817</v>
      </c>
      <c r="P4744">
        <v>59</v>
      </c>
      <c r="Q4744" t="s">
        <v>9835</v>
      </c>
    </row>
    <row r="4745" spans="1:17" x14ac:dyDescent="0.3">
      <c r="A4745" t="s">
        <v>4664</v>
      </c>
      <c r="B4745" t="str">
        <f>"301010"</f>
        <v>301010</v>
      </c>
      <c r="C4745" t="s">
        <v>9836</v>
      </c>
      <c r="D4745" t="s">
        <v>722</v>
      </c>
      <c r="F4745">
        <v>21434013</v>
      </c>
      <c r="G4745">
        <v>19362518</v>
      </c>
      <c r="P4745">
        <v>33</v>
      </c>
      <c r="Q4745" t="s">
        <v>9837</v>
      </c>
    </row>
    <row r="4746" spans="1:17" x14ac:dyDescent="0.3">
      <c r="A4746" t="s">
        <v>4664</v>
      </c>
      <c r="B4746" t="str">
        <f>"301011"</f>
        <v>301011</v>
      </c>
      <c r="C4746" t="s">
        <v>9838</v>
      </c>
      <c r="D4746" t="s">
        <v>741</v>
      </c>
      <c r="F4746">
        <v>45575363</v>
      </c>
      <c r="G4746">
        <v>21379935</v>
      </c>
      <c r="P4746">
        <v>28</v>
      </c>
      <c r="Q4746" t="s">
        <v>9839</v>
      </c>
    </row>
    <row r="4747" spans="1:17" x14ac:dyDescent="0.3">
      <c r="A4747" t="s">
        <v>4664</v>
      </c>
      <c r="B4747" t="str">
        <f>"301012"</f>
        <v>301012</v>
      </c>
      <c r="C4747" t="s">
        <v>9840</v>
      </c>
      <c r="D4747" t="s">
        <v>210</v>
      </c>
      <c r="F4747">
        <v>37021468</v>
      </c>
      <c r="G4747">
        <v>36013325</v>
      </c>
      <c r="P4747">
        <v>23</v>
      </c>
      <c r="Q4747" t="s">
        <v>9841</v>
      </c>
    </row>
    <row r="4748" spans="1:17" x14ac:dyDescent="0.3">
      <c r="A4748" t="s">
        <v>4664</v>
      </c>
      <c r="B4748" t="str">
        <f>"301013"</f>
        <v>301013</v>
      </c>
      <c r="C4748" t="s">
        <v>9842</v>
      </c>
      <c r="D4748" t="s">
        <v>741</v>
      </c>
      <c r="F4748">
        <v>15230118</v>
      </c>
      <c r="G4748">
        <v>61521279</v>
      </c>
      <c r="P4748">
        <v>20</v>
      </c>
      <c r="Q4748" t="s">
        <v>9843</v>
      </c>
    </row>
    <row r="4749" spans="1:17" x14ac:dyDescent="0.3">
      <c r="A4749" t="s">
        <v>4664</v>
      </c>
      <c r="B4749" t="str">
        <f>"301015"</f>
        <v>301015</v>
      </c>
      <c r="C4749" t="s">
        <v>9844</v>
      </c>
      <c r="D4749" t="s">
        <v>125</v>
      </c>
      <c r="F4749">
        <v>308555096</v>
      </c>
      <c r="G4749">
        <v>159878559</v>
      </c>
      <c r="P4749">
        <v>45</v>
      </c>
      <c r="Q4749" t="s">
        <v>9845</v>
      </c>
    </row>
    <row r="4750" spans="1:17" x14ac:dyDescent="0.3">
      <c r="A4750" t="s">
        <v>4664</v>
      </c>
      <c r="B4750" t="str">
        <f>"301016"</f>
        <v>301016</v>
      </c>
      <c r="C4750" t="s">
        <v>9846</v>
      </c>
      <c r="D4750" t="s">
        <v>1012</v>
      </c>
      <c r="F4750">
        <v>109079811</v>
      </c>
      <c r="P4750">
        <v>35</v>
      </c>
      <c r="Q4750" t="s">
        <v>9847</v>
      </c>
    </row>
    <row r="4751" spans="1:17" x14ac:dyDescent="0.3">
      <c r="A4751" t="s">
        <v>4664</v>
      </c>
      <c r="B4751" t="str">
        <f>"301017"</f>
        <v>301017</v>
      </c>
      <c r="C4751" t="s">
        <v>9848</v>
      </c>
      <c r="D4751" t="s">
        <v>1684</v>
      </c>
      <c r="F4751">
        <v>110025044</v>
      </c>
      <c r="G4751">
        <v>123042291</v>
      </c>
      <c r="P4751">
        <v>36</v>
      </c>
      <c r="Q4751" t="s">
        <v>9849</v>
      </c>
    </row>
    <row r="4752" spans="1:17" x14ac:dyDescent="0.3">
      <c r="A4752" t="s">
        <v>4664</v>
      </c>
      <c r="B4752" t="str">
        <f>"301018"</f>
        <v>301018</v>
      </c>
      <c r="C4752" t="s">
        <v>9850</v>
      </c>
      <c r="D4752" t="s">
        <v>988</v>
      </c>
      <c r="F4752">
        <v>83727173</v>
      </c>
      <c r="P4752">
        <v>37</v>
      </c>
      <c r="Q4752" t="s">
        <v>9851</v>
      </c>
    </row>
    <row r="4753" spans="1:17" x14ac:dyDescent="0.3">
      <c r="A4753" t="s">
        <v>4664</v>
      </c>
      <c r="B4753" t="str">
        <f>"301019"</f>
        <v>301019</v>
      </c>
      <c r="C4753" t="s">
        <v>9852</v>
      </c>
      <c r="D4753" t="s">
        <v>1192</v>
      </c>
      <c r="F4753">
        <v>76462303</v>
      </c>
      <c r="G4753">
        <v>62758741</v>
      </c>
      <c r="P4753">
        <v>39</v>
      </c>
      <c r="Q4753" t="s">
        <v>9853</v>
      </c>
    </row>
    <row r="4754" spans="1:17" x14ac:dyDescent="0.3">
      <c r="A4754" t="s">
        <v>4664</v>
      </c>
      <c r="B4754" t="str">
        <f>"301020"</f>
        <v>301020</v>
      </c>
      <c r="C4754" t="s">
        <v>9854</v>
      </c>
      <c r="D4754" t="s">
        <v>348</v>
      </c>
      <c r="F4754">
        <v>86016678</v>
      </c>
      <c r="G4754">
        <v>74020801</v>
      </c>
      <c r="P4754">
        <v>54</v>
      </c>
      <c r="Q4754" t="s">
        <v>9855</v>
      </c>
    </row>
    <row r="4755" spans="1:17" x14ac:dyDescent="0.3">
      <c r="A4755" t="s">
        <v>4664</v>
      </c>
      <c r="B4755" t="str">
        <f>"301021"</f>
        <v>301021</v>
      </c>
      <c r="C4755" t="s">
        <v>9856</v>
      </c>
      <c r="D4755" t="s">
        <v>3784</v>
      </c>
      <c r="F4755">
        <v>66296336</v>
      </c>
      <c r="G4755">
        <v>29400905</v>
      </c>
      <c r="P4755">
        <v>35</v>
      </c>
      <c r="Q4755" t="s">
        <v>9857</v>
      </c>
    </row>
    <row r="4756" spans="1:17" x14ac:dyDescent="0.3">
      <c r="A4756" t="s">
        <v>4664</v>
      </c>
      <c r="B4756" t="str">
        <f>"301022"</f>
        <v>301022</v>
      </c>
      <c r="C4756" t="s">
        <v>9858</v>
      </c>
      <c r="D4756" t="s">
        <v>985</v>
      </c>
      <c r="F4756">
        <v>47665193</v>
      </c>
      <c r="P4756">
        <v>24</v>
      </c>
      <c r="Q4756" t="s">
        <v>9859</v>
      </c>
    </row>
    <row r="4757" spans="1:17" x14ac:dyDescent="0.3">
      <c r="A4757" t="s">
        <v>4664</v>
      </c>
      <c r="B4757" t="str">
        <f>"301023"</f>
        <v>301023</v>
      </c>
      <c r="C4757" t="s">
        <v>9860</v>
      </c>
      <c r="D4757" t="s">
        <v>1171</v>
      </c>
      <c r="F4757">
        <v>45518398</v>
      </c>
      <c r="P4757">
        <v>22</v>
      </c>
      <c r="Q4757" t="s">
        <v>9861</v>
      </c>
    </row>
    <row r="4758" spans="1:17" x14ac:dyDescent="0.3">
      <c r="A4758" t="s">
        <v>4664</v>
      </c>
      <c r="B4758" t="str">
        <f>"301024"</f>
        <v>301024</v>
      </c>
      <c r="C4758" t="s">
        <v>9862</v>
      </c>
      <c r="D4758" t="s">
        <v>1272</v>
      </c>
      <c r="F4758">
        <v>41936860</v>
      </c>
      <c r="P4758">
        <v>22</v>
      </c>
      <c r="Q4758" t="s">
        <v>9863</v>
      </c>
    </row>
    <row r="4759" spans="1:17" x14ac:dyDescent="0.3">
      <c r="A4759" t="s">
        <v>4664</v>
      </c>
      <c r="B4759" t="str">
        <f>"301025"</f>
        <v>301025</v>
      </c>
      <c r="C4759" t="s">
        <v>9864</v>
      </c>
      <c r="D4759" t="s">
        <v>525</v>
      </c>
      <c r="F4759">
        <v>45275669</v>
      </c>
      <c r="G4759">
        <v>33246121</v>
      </c>
      <c r="P4759">
        <v>24</v>
      </c>
      <c r="Q4759" t="s">
        <v>9865</v>
      </c>
    </row>
    <row r="4760" spans="1:17" x14ac:dyDescent="0.3">
      <c r="A4760" t="s">
        <v>4664</v>
      </c>
      <c r="B4760" t="str">
        <f>"301026"</f>
        <v>301026</v>
      </c>
      <c r="C4760" t="s">
        <v>9866</v>
      </c>
      <c r="D4760" t="s">
        <v>636</v>
      </c>
      <c r="F4760">
        <v>217570347</v>
      </c>
      <c r="G4760">
        <v>79121064</v>
      </c>
      <c r="P4760">
        <v>41</v>
      </c>
      <c r="Q4760" t="s">
        <v>9867</v>
      </c>
    </row>
    <row r="4761" spans="1:17" x14ac:dyDescent="0.3">
      <c r="A4761" t="s">
        <v>4664</v>
      </c>
      <c r="B4761" t="str">
        <f>"301027"</f>
        <v>301027</v>
      </c>
      <c r="C4761" t="s">
        <v>9868</v>
      </c>
      <c r="D4761" t="s">
        <v>1272</v>
      </c>
      <c r="F4761">
        <v>80208152</v>
      </c>
      <c r="G4761">
        <v>72679507</v>
      </c>
      <c r="P4761">
        <v>25</v>
      </c>
      <c r="Q4761" t="s">
        <v>9869</v>
      </c>
    </row>
    <row r="4762" spans="1:17" x14ac:dyDescent="0.3">
      <c r="A4762" t="s">
        <v>4664</v>
      </c>
      <c r="B4762" t="str">
        <f>"301028"</f>
        <v>301028</v>
      </c>
      <c r="C4762" t="s">
        <v>9870</v>
      </c>
      <c r="D4762" t="s">
        <v>560</v>
      </c>
      <c r="F4762">
        <v>146803498</v>
      </c>
      <c r="G4762">
        <v>95656137</v>
      </c>
      <c r="P4762">
        <v>53</v>
      </c>
      <c r="Q4762" t="s">
        <v>9871</v>
      </c>
    </row>
    <row r="4763" spans="1:17" x14ac:dyDescent="0.3">
      <c r="A4763" t="s">
        <v>4664</v>
      </c>
      <c r="B4763" t="str">
        <f>"301029"</f>
        <v>301029</v>
      </c>
      <c r="C4763" t="s">
        <v>9872</v>
      </c>
      <c r="D4763" t="s">
        <v>3450</v>
      </c>
      <c r="F4763">
        <v>306773397</v>
      </c>
      <c r="G4763">
        <v>185783132</v>
      </c>
      <c r="P4763">
        <v>67</v>
      </c>
      <c r="Q4763" t="s">
        <v>9873</v>
      </c>
    </row>
    <row r="4764" spans="1:17" x14ac:dyDescent="0.3">
      <c r="A4764" t="s">
        <v>4664</v>
      </c>
      <c r="B4764" t="str">
        <f>"301030"</f>
        <v>301030</v>
      </c>
      <c r="C4764" t="s">
        <v>9874</v>
      </c>
      <c r="D4764" t="s">
        <v>1070</v>
      </c>
      <c r="F4764">
        <v>33174579</v>
      </c>
      <c r="G4764">
        <v>22978807</v>
      </c>
      <c r="H4764">
        <v>44450000</v>
      </c>
      <c r="P4764">
        <v>19</v>
      </c>
      <c r="Q4764" t="s">
        <v>9875</v>
      </c>
    </row>
    <row r="4765" spans="1:17" x14ac:dyDescent="0.3">
      <c r="A4765" t="s">
        <v>4664</v>
      </c>
      <c r="B4765" t="str">
        <f>"301031"</f>
        <v>301031</v>
      </c>
      <c r="C4765" t="s">
        <v>9876</v>
      </c>
      <c r="D4765" t="s">
        <v>651</v>
      </c>
      <c r="F4765">
        <v>56099153</v>
      </c>
      <c r="G4765">
        <v>39353146</v>
      </c>
      <c r="P4765">
        <v>77</v>
      </c>
      <c r="Q4765" t="s">
        <v>9877</v>
      </c>
    </row>
    <row r="4766" spans="1:17" x14ac:dyDescent="0.3">
      <c r="A4766" t="s">
        <v>4664</v>
      </c>
      <c r="B4766" t="str">
        <f>"301032"</f>
        <v>301032</v>
      </c>
      <c r="C4766" t="s">
        <v>9878</v>
      </c>
      <c r="D4766" t="s">
        <v>560</v>
      </c>
      <c r="F4766">
        <v>52301995</v>
      </c>
      <c r="G4766">
        <v>63383692</v>
      </c>
      <c r="P4766">
        <v>19</v>
      </c>
      <c r="Q4766" t="s">
        <v>9879</v>
      </c>
    </row>
    <row r="4767" spans="1:17" x14ac:dyDescent="0.3">
      <c r="A4767" t="s">
        <v>4664</v>
      </c>
      <c r="B4767" t="str">
        <f>"301033"</f>
        <v>301033</v>
      </c>
      <c r="C4767" t="s">
        <v>9880</v>
      </c>
      <c r="D4767" t="s">
        <v>1077</v>
      </c>
      <c r="F4767">
        <v>32047391</v>
      </c>
      <c r="G4767">
        <v>23135058</v>
      </c>
      <c r="P4767">
        <v>31</v>
      </c>
      <c r="Q4767" t="s">
        <v>9881</v>
      </c>
    </row>
    <row r="4768" spans="1:17" x14ac:dyDescent="0.3">
      <c r="A4768" t="s">
        <v>4664</v>
      </c>
      <c r="B4768" t="str">
        <f>"301035"</f>
        <v>301035</v>
      </c>
      <c r="C4768" t="s">
        <v>9882</v>
      </c>
      <c r="D4768" t="s">
        <v>853</v>
      </c>
      <c r="F4768">
        <v>450047903</v>
      </c>
      <c r="G4768">
        <v>428554393</v>
      </c>
      <c r="P4768">
        <v>40</v>
      </c>
      <c r="Q4768" t="s">
        <v>9883</v>
      </c>
    </row>
    <row r="4769" spans="1:17" x14ac:dyDescent="0.3">
      <c r="A4769" t="s">
        <v>4664</v>
      </c>
      <c r="B4769" t="str">
        <f>"301036"</f>
        <v>301036</v>
      </c>
      <c r="C4769" t="s">
        <v>9884</v>
      </c>
      <c r="D4769" t="s">
        <v>2570</v>
      </c>
      <c r="F4769">
        <v>78944029</v>
      </c>
      <c r="G4769">
        <v>108443252</v>
      </c>
      <c r="P4769">
        <v>20</v>
      </c>
      <c r="Q4769" t="s">
        <v>9885</v>
      </c>
    </row>
    <row r="4770" spans="1:17" x14ac:dyDescent="0.3">
      <c r="A4770" t="s">
        <v>4664</v>
      </c>
      <c r="B4770" t="str">
        <f>"301037"</f>
        <v>301037</v>
      </c>
      <c r="C4770" t="s">
        <v>9886</v>
      </c>
      <c r="D4770" t="s">
        <v>2570</v>
      </c>
      <c r="F4770">
        <v>46872226</v>
      </c>
      <c r="G4770">
        <v>76406149</v>
      </c>
      <c r="P4770">
        <v>13</v>
      </c>
      <c r="Q4770" t="s">
        <v>9887</v>
      </c>
    </row>
    <row r="4771" spans="1:17" x14ac:dyDescent="0.3">
      <c r="A4771" t="s">
        <v>4664</v>
      </c>
      <c r="B4771" t="str">
        <f>"301038"</f>
        <v>301038</v>
      </c>
      <c r="C4771" t="s">
        <v>9888</v>
      </c>
      <c r="D4771" t="s">
        <v>1272</v>
      </c>
      <c r="F4771">
        <v>39021684</v>
      </c>
      <c r="G4771">
        <v>50603986</v>
      </c>
      <c r="P4771">
        <v>21</v>
      </c>
      <c r="Q4771" t="s">
        <v>9889</v>
      </c>
    </row>
    <row r="4772" spans="1:17" x14ac:dyDescent="0.3">
      <c r="A4772" t="s">
        <v>4664</v>
      </c>
      <c r="B4772" t="str">
        <f>"301039"</f>
        <v>301039</v>
      </c>
      <c r="C4772" t="s">
        <v>9890</v>
      </c>
      <c r="D4772" t="s">
        <v>27</v>
      </c>
      <c r="F4772">
        <v>786409852</v>
      </c>
      <c r="G4772">
        <v>866637838</v>
      </c>
      <c r="P4772">
        <v>35</v>
      </c>
      <c r="Q4772" t="s">
        <v>9891</v>
      </c>
    </row>
    <row r="4773" spans="1:17" x14ac:dyDescent="0.3">
      <c r="A4773" t="s">
        <v>4664</v>
      </c>
      <c r="B4773" t="str">
        <f>"301040"</f>
        <v>301040</v>
      </c>
      <c r="C4773" t="s">
        <v>9892</v>
      </c>
      <c r="D4773" t="s">
        <v>950</v>
      </c>
      <c r="F4773">
        <v>87414590</v>
      </c>
      <c r="G4773">
        <v>98610954</v>
      </c>
      <c r="P4773">
        <v>22</v>
      </c>
      <c r="Q4773" t="s">
        <v>9893</v>
      </c>
    </row>
    <row r="4774" spans="1:17" x14ac:dyDescent="0.3">
      <c r="A4774" t="s">
        <v>4664</v>
      </c>
      <c r="B4774" t="str">
        <f>"301041"</f>
        <v>301041</v>
      </c>
      <c r="C4774" t="s">
        <v>9894</v>
      </c>
      <c r="D4774" t="s">
        <v>425</v>
      </c>
      <c r="F4774">
        <v>35138671</v>
      </c>
      <c r="G4774">
        <v>36869950</v>
      </c>
      <c r="P4774">
        <v>31</v>
      </c>
      <c r="Q4774" t="s">
        <v>9895</v>
      </c>
    </row>
    <row r="4775" spans="1:17" x14ac:dyDescent="0.3">
      <c r="A4775" t="s">
        <v>4664</v>
      </c>
      <c r="B4775" t="str">
        <f>"301042"</f>
        <v>301042</v>
      </c>
      <c r="C4775" t="s">
        <v>9896</v>
      </c>
      <c r="D4775" t="s">
        <v>2953</v>
      </c>
      <c r="F4775">
        <v>58000733</v>
      </c>
      <c r="P4775">
        <v>14</v>
      </c>
      <c r="Q4775" t="s">
        <v>9897</v>
      </c>
    </row>
    <row r="4776" spans="1:17" x14ac:dyDescent="0.3">
      <c r="A4776" t="s">
        <v>4664</v>
      </c>
      <c r="B4776" t="str">
        <f>"301043"</f>
        <v>301043</v>
      </c>
      <c r="C4776" t="s">
        <v>9898</v>
      </c>
      <c r="D4776" t="s">
        <v>560</v>
      </c>
      <c r="F4776">
        <v>47609135</v>
      </c>
      <c r="P4776">
        <v>18</v>
      </c>
      <c r="Q4776" t="s">
        <v>9899</v>
      </c>
    </row>
    <row r="4777" spans="1:17" x14ac:dyDescent="0.3">
      <c r="A4777" t="s">
        <v>4664</v>
      </c>
      <c r="B4777" t="str">
        <f>"301045"</f>
        <v>301045</v>
      </c>
      <c r="C4777" t="s">
        <v>9900</v>
      </c>
      <c r="D4777" t="s">
        <v>164</v>
      </c>
      <c r="F4777">
        <v>76696662</v>
      </c>
      <c r="G4777">
        <v>76541582</v>
      </c>
      <c r="P4777">
        <v>17</v>
      </c>
      <c r="Q4777" t="s">
        <v>9901</v>
      </c>
    </row>
    <row r="4778" spans="1:17" x14ac:dyDescent="0.3">
      <c r="A4778" t="s">
        <v>4664</v>
      </c>
      <c r="B4778" t="str">
        <f>"301046"</f>
        <v>301046</v>
      </c>
      <c r="C4778" t="s">
        <v>9902</v>
      </c>
      <c r="D4778" t="s">
        <v>1986</v>
      </c>
      <c r="F4778">
        <v>83079179</v>
      </c>
      <c r="G4778">
        <v>51246042</v>
      </c>
      <c r="P4778">
        <v>33</v>
      </c>
      <c r="Q4778" t="s">
        <v>9903</v>
      </c>
    </row>
    <row r="4779" spans="1:17" x14ac:dyDescent="0.3">
      <c r="A4779" t="s">
        <v>4664</v>
      </c>
      <c r="B4779" t="str">
        <f>"301047"</f>
        <v>301047</v>
      </c>
      <c r="C4779" t="s">
        <v>9904</v>
      </c>
      <c r="D4779" t="s">
        <v>1461</v>
      </c>
      <c r="F4779">
        <v>556362583</v>
      </c>
      <c r="G4779">
        <v>750594221</v>
      </c>
      <c r="P4779">
        <v>71</v>
      </c>
      <c r="Q4779" t="s">
        <v>9905</v>
      </c>
    </row>
    <row r="4780" spans="1:17" x14ac:dyDescent="0.3">
      <c r="A4780" t="s">
        <v>4664</v>
      </c>
      <c r="B4780" t="str">
        <f>"301048"</f>
        <v>301048</v>
      </c>
      <c r="C4780" t="s">
        <v>9906</v>
      </c>
      <c r="D4780" t="s">
        <v>1012</v>
      </c>
      <c r="F4780">
        <v>160469658</v>
      </c>
      <c r="G4780">
        <v>153315832</v>
      </c>
      <c r="P4780">
        <v>16</v>
      </c>
      <c r="Q4780" t="s">
        <v>9907</v>
      </c>
    </row>
    <row r="4781" spans="1:17" x14ac:dyDescent="0.3">
      <c r="A4781" t="s">
        <v>4664</v>
      </c>
      <c r="B4781" t="str">
        <f>"301049"</f>
        <v>301049</v>
      </c>
      <c r="C4781" t="s">
        <v>9908</v>
      </c>
      <c r="D4781" t="s">
        <v>499</v>
      </c>
      <c r="F4781">
        <v>71131780</v>
      </c>
      <c r="P4781">
        <v>26</v>
      </c>
      <c r="Q4781" t="s">
        <v>9909</v>
      </c>
    </row>
    <row r="4782" spans="1:17" x14ac:dyDescent="0.3">
      <c r="A4782" t="s">
        <v>4664</v>
      </c>
      <c r="B4782" t="str">
        <f>"301050"</f>
        <v>301050</v>
      </c>
      <c r="C4782" t="s">
        <v>9910</v>
      </c>
      <c r="D4782" t="s">
        <v>1136</v>
      </c>
      <c r="F4782">
        <v>175029908</v>
      </c>
      <c r="G4782">
        <v>74101030</v>
      </c>
      <c r="P4782">
        <v>31</v>
      </c>
      <c r="Q4782" t="s">
        <v>9911</v>
      </c>
    </row>
    <row r="4783" spans="1:17" x14ac:dyDescent="0.3">
      <c r="A4783" t="s">
        <v>4664</v>
      </c>
      <c r="B4783" t="str">
        <f>"301051"</f>
        <v>301051</v>
      </c>
      <c r="C4783" t="s">
        <v>9912</v>
      </c>
      <c r="D4783" t="s">
        <v>313</v>
      </c>
      <c r="F4783">
        <v>147615985</v>
      </c>
      <c r="P4783">
        <v>18</v>
      </c>
      <c r="Q4783" t="s">
        <v>9913</v>
      </c>
    </row>
    <row r="4784" spans="1:17" x14ac:dyDescent="0.3">
      <c r="A4784" t="s">
        <v>4664</v>
      </c>
      <c r="B4784" t="str">
        <f>"301052"</f>
        <v>301052</v>
      </c>
      <c r="C4784" t="s">
        <v>9914</v>
      </c>
      <c r="D4784" t="s">
        <v>525</v>
      </c>
      <c r="F4784">
        <v>41982587</v>
      </c>
      <c r="G4784">
        <v>20163358</v>
      </c>
      <c r="P4784">
        <v>16</v>
      </c>
      <c r="Q4784" t="s">
        <v>9915</v>
      </c>
    </row>
    <row r="4785" spans="1:17" x14ac:dyDescent="0.3">
      <c r="A4785" t="s">
        <v>4664</v>
      </c>
      <c r="B4785" t="str">
        <f>"301053"</f>
        <v>301053</v>
      </c>
      <c r="C4785" t="s">
        <v>9916</v>
      </c>
      <c r="D4785" t="s">
        <v>534</v>
      </c>
      <c r="F4785">
        <v>61753146</v>
      </c>
      <c r="G4785">
        <v>36339962</v>
      </c>
      <c r="P4785">
        <v>24</v>
      </c>
      <c r="Q4785" t="s">
        <v>9917</v>
      </c>
    </row>
    <row r="4786" spans="1:17" x14ac:dyDescent="0.3">
      <c r="A4786" t="s">
        <v>4664</v>
      </c>
      <c r="B4786" t="str">
        <f>"301055"</f>
        <v>301055</v>
      </c>
      <c r="C4786" t="s">
        <v>9918</v>
      </c>
      <c r="D4786" t="s">
        <v>2436</v>
      </c>
      <c r="F4786">
        <v>62830041</v>
      </c>
      <c r="P4786">
        <v>28</v>
      </c>
      <c r="Q4786" t="s">
        <v>9919</v>
      </c>
    </row>
    <row r="4787" spans="1:17" x14ac:dyDescent="0.3">
      <c r="A4787" t="s">
        <v>4664</v>
      </c>
      <c r="B4787" t="str">
        <f>"301056"</f>
        <v>301056</v>
      </c>
      <c r="C4787" t="s">
        <v>9920</v>
      </c>
      <c r="D4787" t="s">
        <v>1689</v>
      </c>
      <c r="F4787">
        <v>54173855</v>
      </c>
      <c r="G4787">
        <v>42699641</v>
      </c>
      <c r="P4787">
        <v>16</v>
      </c>
      <c r="Q4787" t="s">
        <v>9921</v>
      </c>
    </row>
    <row r="4788" spans="1:17" x14ac:dyDescent="0.3">
      <c r="A4788" t="s">
        <v>4664</v>
      </c>
      <c r="B4788" t="str">
        <f>"301057"</f>
        <v>301057</v>
      </c>
      <c r="C4788" t="s">
        <v>9922</v>
      </c>
      <c r="D4788" t="s">
        <v>2708</v>
      </c>
      <c r="F4788">
        <v>56836693</v>
      </c>
      <c r="P4788">
        <v>16</v>
      </c>
      <c r="Q4788" t="s">
        <v>9923</v>
      </c>
    </row>
    <row r="4789" spans="1:17" x14ac:dyDescent="0.3">
      <c r="A4789" t="s">
        <v>4664</v>
      </c>
      <c r="B4789" t="str">
        <f>"301058"</f>
        <v>301058</v>
      </c>
      <c r="C4789" t="s">
        <v>9924</v>
      </c>
      <c r="D4789" t="s">
        <v>1272</v>
      </c>
      <c r="F4789">
        <v>74522988</v>
      </c>
      <c r="G4789">
        <v>39047504</v>
      </c>
      <c r="P4789">
        <v>24</v>
      </c>
      <c r="Q4789" t="s">
        <v>9925</v>
      </c>
    </row>
    <row r="4790" spans="1:17" x14ac:dyDescent="0.3">
      <c r="A4790" t="s">
        <v>4664</v>
      </c>
      <c r="B4790" t="str">
        <f>"301059"</f>
        <v>301059</v>
      </c>
      <c r="C4790" t="s">
        <v>9926</v>
      </c>
      <c r="D4790" t="s">
        <v>386</v>
      </c>
      <c r="F4790">
        <v>38522499</v>
      </c>
      <c r="G4790">
        <v>40367618</v>
      </c>
      <c r="P4790">
        <v>21</v>
      </c>
      <c r="Q4790" t="s">
        <v>9927</v>
      </c>
    </row>
    <row r="4791" spans="1:17" x14ac:dyDescent="0.3">
      <c r="A4791" t="s">
        <v>4664</v>
      </c>
      <c r="B4791" t="str">
        <f>"301060"</f>
        <v>301060</v>
      </c>
      <c r="C4791" t="s">
        <v>9928</v>
      </c>
      <c r="D4791" t="s">
        <v>2565</v>
      </c>
      <c r="F4791">
        <v>177362493</v>
      </c>
      <c r="G4791">
        <v>92840753</v>
      </c>
      <c r="P4791">
        <v>41</v>
      </c>
      <c r="Q4791" t="s">
        <v>9929</v>
      </c>
    </row>
    <row r="4792" spans="1:17" x14ac:dyDescent="0.3">
      <c r="A4792" t="s">
        <v>4664</v>
      </c>
      <c r="B4792" t="str">
        <f>"301061"</f>
        <v>301061</v>
      </c>
      <c r="C4792" t="s">
        <v>9930</v>
      </c>
      <c r="D4792" t="s">
        <v>757</v>
      </c>
      <c r="F4792">
        <v>236402114</v>
      </c>
      <c r="P4792">
        <v>28</v>
      </c>
      <c r="Q4792" t="s">
        <v>9931</v>
      </c>
    </row>
    <row r="4793" spans="1:17" x14ac:dyDescent="0.3">
      <c r="A4793" t="s">
        <v>4664</v>
      </c>
      <c r="B4793" t="str">
        <f>"301062"</f>
        <v>301062</v>
      </c>
      <c r="C4793" t="s">
        <v>9932</v>
      </c>
      <c r="D4793" t="s">
        <v>2156</v>
      </c>
      <c r="F4793">
        <v>115657073</v>
      </c>
      <c r="G4793">
        <v>74609949</v>
      </c>
      <c r="P4793">
        <v>13</v>
      </c>
      <c r="Q4793" t="s">
        <v>9933</v>
      </c>
    </row>
    <row r="4794" spans="1:17" x14ac:dyDescent="0.3">
      <c r="A4794" t="s">
        <v>4664</v>
      </c>
      <c r="B4794" t="str">
        <f>"301063"</f>
        <v>301063</v>
      </c>
      <c r="C4794" t="s">
        <v>9934</v>
      </c>
      <c r="D4794" t="s">
        <v>274</v>
      </c>
      <c r="F4794">
        <v>65718644</v>
      </c>
      <c r="G4794">
        <v>79146767</v>
      </c>
      <c r="P4794">
        <v>17</v>
      </c>
      <c r="Q4794" t="s">
        <v>9935</v>
      </c>
    </row>
    <row r="4795" spans="1:17" x14ac:dyDescent="0.3">
      <c r="A4795" t="s">
        <v>4664</v>
      </c>
      <c r="B4795" t="str">
        <f>"301065"</f>
        <v>301065</v>
      </c>
      <c r="C4795" t="s">
        <v>9936</v>
      </c>
      <c r="D4795" t="s">
        <v>386</v>
      </c>
      <c r="F4795">
        <v>45590862</v>
      </c>
      <c r="P4795">
        <v>12</v>
      </c>
      <c r="Q4795" t="s">
        <v>9937</v>
      </c>
    </row>
    <row r="4796" spans="1:17" x14ac:dyDescent="0.3">
      <c r="A4796" t="s">
        <v>4664</v>
      </c>
      <c r="B4796" t="str">
        <f>"301066"</f>
        <v>301066</v>
      </c>
      <c r="C4796" t="s">
        <v>9938</v>
      </c>
      <c r="D4796" t="s">
        <v>330</v>
      </c>
      <c r="F4796">
        <v>50341215</v>
      </c>
      <c r="G4796">
        <v>45726655</v>
      </c>
      <c r="P4796">
        <v>21</v>
      </c>
      <c r="Q4796" t="s">
        <v>9939</v>
      </c>
    </row>
    <row r="4797" spans="1:17" x14ac:dyDescent="0.3">
      <c r="A4797" t="s">
        <v>4664</v>
      </c>
      <c r="B4797" t="str">
        <f>"301067"</f>
        <v>301067</v>
      </c>
      <c r="C4797" t="s">
        <v>9940</v>
      </c>
      <c r="D4797" t="s">
        <v>313</v>
      </c>
      <c r="F4797">
        <v>39663127</v>
      </c>
      <c r="G4797">
        <v>45753458</v>
      </c>
      <c r="P4797">
        <v>18</v>
      </c>
      <c r="Q4797" t="s">
        <v>9941</v>
      </c>
    </row>
    <row r="4798" spans="1:17" x14ac:dyDescent="0.3">
      <c r="A4798" t="s">
        <v>4664</v>
      </c>
      <c r="B4798" t="str">
        <f>"301068"</f>
        <v>301068</v>
      </c>
      <c r="C4798" t="s">
        <v>9942</v>
      </c>
      <c r="D4798" t="s">
        <v>499</v>
      </c>
      <c r="F4798">
        <v>30810221</v>
      </c>
      <c r="G4798">
        <v>58516811</v>
      </c>
      <c r="P4798">
        <v>14</v>
      </c>
      <c r="Q4798" t="s">
        <v>9943</v>
      </c>
    </row>
    <row r="4799" spans="1:17" x14ac:dyDescent="0.3">
      <c r="A4799" t="s">
        <v>4664</v>
      </c>
      <c r="B4799" t="str">
        <f>"301069"</f>
        <v>301069</v>
      </c>
      <c r="C4799" t="s">
        <v>9944</v>
      </c>
      <c r="D4799" t="s">
        <v>1233</v>
      </c>
      <c r="F4799">
        <v>141667378</v>
      </c>
      <c r="G4799">
        <v>140860635</v>
      </c>
      <c r="P4799">
        <v>29</v>
      </c>
      <c r="Q4799" t="s">
        <v>9945</v>
      </c>
    </row>
    <row r="4800" spans="1:17" x14ac:dyDescent="0.3">
      <c r="A4800" t="s">
        <v>4664</v>
      </c>
      <c r="B4800" t="str">
        <f>"301070"</f>
        <v>301070</v>
      </c>
      <c r="C4800" t="s">
        <v>9946</v>
      </c>
      <c r="D4800" t="s">
        <v>560</v>
      </c>
      <c r="F4800">
        <v>59491865</v>
      </c>
      <c r="P4800">
        <v>19</v>
      </c>
      <c r="Q4800" t="s">
        <v>9947</v>
      </c>
    </row>
    <row r="4801" spans="1:17" x14ac:dyDescent="0.3">
      <c r="A4801" t="s">
        <v>4664</v>
      </c>
      <c r="B4801" t="str">
        <f>"301071"</f>
        <v>301071</v>
      </c>
      <c r="C4801" t="s">
        <v>9948</v>
      </c>
      <c r="D4801" t="s">
        <v>404</v>
      </c>
      <c r="F4801">
        <v>161067548</v>
      </c>
      <c r="G4801">
        <v>43389782</v>
      </c>
      <c r="P4801">
        <v>76</v>
      </c>
      <c r="Q4801" t="s">
        <v>9949</v>
      </c>
    </row>
    <row r="4802" spans="1:17" x14ac:dyDescent="0.3">
      <c r="A4802" t="s">
        <v>4664</v>
      </c>
      <c r="B4802" t="str">
        <f>"301072"</f>
        <v>301072</v>
      </c>
      <c r="C4802" t="s">
        <v>9950</v>
      </c>
      <c r="D4802" t="s">
        <v>348</v>
      </c>
      <c r="F4802">
        <v>41267778</v>
      </c>
      <c r="G4802">
        <v>33642203</v>
      </c>
      <c r="P4802">
        <v>17</v>
      </c>
      <c r="Q4802" t="s">
        <v>9951</v>
      </c>
    </row>
    <row r="4803" spans="1:17" x14ac:dyDescent="0.3">
      <c r="A4803" t="s">
        <v>4664</v>
      </c>
      <c r="B4803" t="str">
        <f>"301073"</f>
        <v>301073</v>
      </c>
      <c r="C4803" t="s">
        <v>9952</v>
      </c>
      <c r="D4803" t="s">
        <v>590</v>
      </c>
      <c r="F4803">
        <v>33711227</v>
      </c>
      <c r="G4803">
        <v>18211796</v>
      </c>
      <c r="P4803">
        <v>22</v>
      </c>
      <c r="Q4803" t="s">
        <v>9953</v>
      </c>
    </row>
    <row r="4804" spans="1:17" x14ac:dyDescent="0.3">
      <c r="A4804" t="s">
        <v>4664</v>
      </c>
      <c r="B4804" t="str">
        <f>"301075"</f>
        <v>301075</v>
      </c>
      <c r="C4804" t="s">
        <v>9954</v>
      </c>
      <c r="D4804" t="s">
        <v>143</v>
      </c>
      <c r="F4804">
        <v>49344309</v>
      </c>
      <c r="P4804">
        <v>22</v>
      </c>
      <c r="Q4804" t="s">
        <v>9955</v>
      </c>
    </row>
    <row r="4805" spans="1:17" x14ac:dyDescent="0.3">
      <c r="A4805" t="s">
        <v>4664</v>
      </c>
      <c r="B4805" t="str">
        <f>"301076"</f>
        <v>301076</v>
      </c>
      <c r="C4805" t="s">
        <v>9956</v>
      </c>
      <c r="D4805" t="s">
        <v>386</v>
      </c>
      <c r="F4805">
        <v>50530132</v>
      </c>
      <c r="P4805">
        <v>20</v>
      </c>
      <c r="Q4805" t="s">
        <v>9957</v>
      </c>
    </row>
    <row r="4806" spans="1:17" x14ac:dyDescent="0.3">
      <c r="A4806" t="s">
        <v>4664</v>
      </c>
      <c r="B4806" t="str">
        <f>"301077"</f>
        <v>301077</v>
      </c>
      <c r="C4806" t="s">
        <v>9958</v>
      </c>
      <c r="D4806" t="s">
        <v>386</v>
      </c>
      <c r="F4806">
        <v>105433659</v>
      </c>
      <c r="G4806">
        <v>64298934</v>
      </c>
      <c r="P4806">
        <v>30</v>
      </c>
      <c r="Q4806" t="s">
        <v>9959</v>
      </c>
    </row>
    <row r="4807" spans="1:17" x14ac:dyDescent="0.3">
      <c r="A4807" t="s">
        <v>4664</v>
      </c>
      <c r="B4807" t="str">
        <f>"301078"</f>
        <v>301078</v>
      </c>
      <c r="C4807" t="s">
        <v>9960</v>
      </c>
      <c r="D4807" t="s">
        <v>295</v>
      </c>
      <c r="F4807">
        <v>236792213</v>
      </c>
      <c r="G4807">
        <v>258914057</v>
      </c>
      <c r="P4807">
        <v>23</v>
      </c>
      <c r="Q4807" t="s">
        <v>9961</v>
      </c>
    </row>
    <row r="4808" spans="1:17" x14ac:dyDescent="0.3">
      <c r="A4808" t="s">
        <v>4664</v>
      </c>
      <c r="B4808" t="str">
        <f>"301079"</f>
        <v>301079</v>
      </c>
      <c r="C4808" t="s">
        <v>9962</v>
      </c>
      <c r="D4808" t="s">
        <v>2001</v>
      </c>
      <c r="F4808">
        <v>39314345</v>
      </c>
      <c r="G4808">
        <v>35550536</v>
      </c>
      <c r="P4808">
        <v>22</v>
      </c>
      <c r="Q4808" t="s">
        <v>9963</v>
      </c>
    </row>
    <row r="4809" spans="1:17" x14ac:dyDescent="0.3">
      <c r="A4809" t="s">
        <v>4664</v>
      </c>
      <c r="B4809" t="str">
        <f>"301080"</f>
        <v>301080</v>
      </c>
      <c r="C4809" t="s">
        <v>9964</v>
      </c>
      <c r="D4809" t="s">
        <v>1461</v>
      </c>
      <c r="F4809">
        <v>121272420</v>
      </c>
      <c r="P4809">
        <v>52</v>
      </c>
      <c r="Q4809" t="s">
        <v>9965</v>
      </c>
    </row>
    <row r="4810" spans="1:17" x14ac:dyDescent="0.3">
      <c r="A4810" t="s">
        <v>4664</v>
      </c>
      <c r="B4810" t="str">
        <f>"301081"</f>
        <v>301081</v>
      </c>
      <c r="C4810" t="s">
        <v>9966</v>
      </c>
      <c r="D4810" t="s">
        <v>1070</v>
      </c>
      <c r="F4810">
        <v>65177781</v>
      </c>
      <c r="G4810">
        <v>68489774</v>
      </c>
      <c r="P4810">
        <v>21</v>
      </c>
      <c r="Q4810" t="s">
        <v>9967</v>
      </c>
    </row>
    <row r="4811" spans="1:17" x14ac:dyDescent="0.3">
      <c r="A4811" t="s">
        <v>4664</v>
      </c>
      <c r="B4811" t="str">
        <f>"301082"</f>
        <v>301082</v>
      </c>
      <c r="C4811" t="s">
        <v>9968</v>
      </c>
      <c r="D4811" t="s">
        <v>1164</v>
      </c>
      <c r="F4811">
        <v>69673753</v>
      </c>
      <c r="G4811">
        <v>53326931</v>
      </c>
      <c r="P4811">
        <v>17</v>
      </c>
      <c r="Q4811" t="s">
        <v>9969</v>
      </c>
    </row>
    <row r="4812" spans="1:17" x14ac:dyDescent="0.3">
      <c r="A4812" t="s">
        <v>4664</v>
      </c>
      <c r="B4812" t="str">
        <f>"301083"</f>
        <v>301083</v>
      </c>
      <c r="C4812" t="s">
        <v>9970</v>
      </c>
      <c r="D4812" t="s">
        <v>741</v>
      </c>
      <c r="F4812">
        <v>46538124</v>
      </c>
      <c r="G4812">
        <v>45652082</v>
      </c>
      <c r="P4812">
        <v>16</v>
      </c>
      <c r="Q4812" t="s">
        <v>9971</v>
      </c>
    </row>
    <row r="4813" spans="1:17" x14ac:dyDescent="0.3">
      <c r="A4813" t="s">
        <v>4664</v>
      </c>
      <c r="B4813" t="str">
        <f>"301085"</f>
        <v>301085</v>
      </c>
      <c r="C4813" t="s">
        <v>9972</v>
      </c>
      <c r="D4813" t="s">
        <v>316</v>
      </c>
      <c r="F4813">
        <v>70722111</v>
      </c>
      <c r="P4813">
        <v>16</v>
      </c>
      <c r="Q4813" t="s">
        <v>9973</v>
      </c>
    </row>
    <row r="4814" spans="1:17" x14ac:dyDescent="0.3">
      <c r="A4814" t="s">
        <v>4664</v>
      </c>
      <c r="B4814" t="str">
        <f>"301086"</f>
        <v>301086</v>
      </c>
      <c r="C4814" t="s">
        <v>9974</v>
      </c>
      <c r="D4814" t="s">
        <v>313</v>
      </c>
      <c r="F4814">
        <v>99759166</v>
      </c>
      <c r="P4814">
        <v>28</v>
      </c>
      <c r="Q4814" t="s">
        <v>9975</v>
      </c>
    </row>
    <row r="4815" spans="1:17" x14ac:dyDescent="0.3">
      <c r="A4815" t="s">
        <v>4664</v>
      </c>
      <c r="B4815" t="str">
        <f>"301087"</f>
        <v>301087</v>
      </c>
      <c r="C4815" t="s">
        <v>9976</v>
      </c>
      <c r="D4815" t="s">
        <v>1305</v>
      </c>
      <c r="F4815">
        <v>304414130</v>
      </c>
      <c r="G4815">
        <v>331346522</v>
      </c>
      <c r="P4815">
        <v>33</v>
      </c>
      <c r="Q4815" t="s">
        <v>9977</v>
      </c>
    </row>
    <row r="4816" spans="1:17" x14ac:dyDescent="0.3">
      <c r="A4816" t="s">
        <v>4664</v>
      </c>
      <c r="B4816" t="str">
        <f>"301088"</f>
        <v>301088</v>
      </c>
      <c r="C4816" t="s">
        <v>9978</v>
      </c>
      <c r="D4816" t="s">
        <v>255</v>
      </c>
      <c r="F4816">
        <v>113908183</v>
      </c>
      <c r="G4816">
        <v>84492070</v>
      </c>
      <c r="P4816">
        <v>28</v>
      </c>
      <c r="Q4816" t="s">
        <v>9979</v>
      </c>
    </row>
    <row r="4817" spans="1:17" x14ac:dyDescent="0.3">
      <c r="A4817" t="s">
        <v>4664</v>
      </c>
      <c r="B4817" t="str">
        <f>"301089"</f>
        <v>301089</v>
      </c>
      <c r="C4817" t="s">
        <v>9980</v>
      </c>
      <c r="D4817" t="s">
        <v>496</v>
      </c>
      <c r="F4817">
        <v>65885589</v>
      </c>
      <c r="G4817">
        <v>84861223</v>
      </c>
      <c r="P4817">
        <v>37</v>
      </c>
      <c r="Q4817" t="s">
        <v>9981</v>
      </c>
    </row>
    <row r="4818" spans="1:17" x14ac:dyDescent="0.3">
      <c r="A4818" t="s">
        <v>4664</v>
      </c>
      <c r="B4818" t="str">
        <f>"301090"</f>
        <v>301090</v>
      </c>
      <c r="C4818" t="s">
        <v>9982</v>
      </c>
      <c r="D4818" t="s">
        <v>528</v>
      </c>
      <c r="F4818">
        <v>350462945</v>
      </c>
      <c r="G4818">
        <v>564508816</v>
      </c>
      <c r="P4818">
        <v>18</v>
      </c>
      <c r="Q4818" t="s">
        <v>9983</v>
      </c>
    </row>
    <row r="4819" spans="1:17" x14ac:dyDescent="0.3">
      <c r="A4819" t="s">
        <v>4664</v>
      </c>
      <c r="B4819" t="str">
        <f>"301091"</f>
        <v>301091</v>
      </c>
      <c r="C4819" t="s">
        <v>9984</v>
      </c>
      <c r="D4819" t="s">
        <v>1272</v>
      </c>
      <c r="F4819">
        <v>69031925</v>
      </c>
      <c r="G4819">
        <v>45904349</v>
      </c>
      <c r="P4819">
        <v>25</v>
      </c>
      <c r="Q4819" t="s">
        <v>9985</v>
      </c>
    </row>
    <row r="4820" spans="1:17" x14ac:dyDescent="0.3">
      <c r="A4820" t="s">
        <v>4664</v>
      </c>
      <c r="B4820" t="str">
        <f>"301092"</f>
        <v>301092</v>
      </c>
      <c r="C4820" t="s">
        <v>9986</v>
      </c>
      <c r="D4820" t="s">
        <v>3350</v>
      </c>
      <c r="F4820">
        <v>70791775</v>
      </c>
      <c r="G4820">
        <v>70652262</v>
      </c>
      <c r="P4820">
        <v>22</v>
      </c>
      <c r="Q4820" t="s">
        <v>9987</v>
      </c>
    </row>
    <row r="4821" spans="1:17" x14ac:dyDescent="0.3">
      <c r="A4821" t="s">
        <v>4664</v>
      </c>
      <c r="B4821" t="str">
        <f>"301093"</f>
        <v>301093</v>
      </c>
      <c r="C4821" t="s">
        <v>9988</v>
      </c>
      <c r="D4821" t="s">
        <v>1077</v>
      </c>
      <c r="F4821">
        <v>184307847</v>
      </c>
      <c r="P4821">
        <v>30</v>
      </c>
      <c r="Q4821" t="s">
        <v>9989</v>
      </c>
    </row>
    <row r="4822" spans="1:17" x14ac:dyDescent="0.3">
      <c r="A4822" t="s">
        <v>4664</v>
      </c>
      <c r="B4822" t="str">
        <f>"301096"</f>
        <v>301096</v>
      </c>
      <c r="C4822" t="s">
        <v>9990</v>
      </c>
      <c r="D4822" t="s">
        <v>1461</v>
      </c>
      <c r="F4822">
        <v>64518783</v>
      </c>
      <c r="G4822">
        <v>20888070</v>
      </c>
      <c r="P4822">
        <v>26</v>
      </c>
      <c r="Q4822" t="s">
        <v>9991</v>
      </c>
    </row>
    <row r="4823" spans="1:17" x14ac:dyDescent="0.3">
      <c r="A4823" t="s">
        <v>4664</v>
      </c>
      <c r="B4823" t="str">
        <f>"301098"</f>
        <v>301098</v>
      </c>
      <c r="C4823" t="s">
        <v>9992</v>
      </c>
      <c r="D4823" t="s">
        <v>2408</v>
      </c>
      <c r="F4823">
        <v>75830307</v>
      </c>
      <c r="G4823">
        <v>64928119</v>
      </c>
      <c r="P4823">
        <v>13</v>
      </c>
      <c r="Q4823" t="s">
        <v>9993</v>
      </c>
    </row>
    <row r="4824" spans="1:17" x14ac:dyDescent="0.3">
      <c r="A4824" t="s">
        <v>4664</v>
      </c>
      <c r="B4824" t="str">
        <f>"301099"</f>
        <v>301099</v>
      </c>
      <c r="C4824" t="s">
        <v>9994</v>
      </c>
      <c r="D4824" t="s">
        <v>546</v>
      </c>
      <c r="F4824">
        <v>54979118</v>
      </c>
      <c r="G4824">
        <v>20949192</v>
      </c>
      <c r="P4824">
        <v>16</v>
      </c>
      <c r="Q4824" t="s">
        <v>9995</v>
      </c>
    </row>
    <row r="4825" spans="1:17" x14ac:dyDescent="0.3">
      <c r="A4825" t="s">
        <v>4664</v>
      </c>
      <c r="B4825" t="str">
        <f>"301100"</f>
        <v>301100</v>
      </c>
      <c r="C4825" t="s">
        <v>9996</v>
      </c>
      <c r="D4825" t="s">
        <v>386</v>
      </c>
      <c r="F4825">
        <v>100481379</v>
      </c>
      <c r="G4825">
        <v>114878286</v>
      </c>
      <c r="P4825">
        <v>11</v>
      </c>
      <c r="Q4825" t="s">
        <v>9997</v>
      </c>
    </row>
    <row r="4826" spans="1:17" x14ac:dyDescent="0.3">
      <c r="A4826" t="s">
        <v>4664</v>
      </c>
      <c r="B4826" t="str">
        <f>"301101"</f>
        <v>301101</v>
      </c>
      <c r="C4826" t="s">
        <v>9998</v>
      </c>
      <c r="D4826" t="s">
        <v>3383</v>
      </c>
      <c r="F4826">
        <v>54658845</v>
      </c>
      <c r="G4826">
        <v>37332520</v>
      </c>
      <c r="P4826">
        <v>19</v>
      </c>
      <c r="Q4826" t="s">
        <v>9999</v>
      </c>
    </row>
    <row r="4827" spans="1:17" x14ac:dyDescent="0.3">
      <c r="A4827" t="s">
        <v>4664</v>
      </c>
      <c r="B4827" t="str">
        <f>"301106"</f>
        <v>301106</v>
      </c>
      <c r="C4827" t="s">
        <v>10000</v>
      </c>
      <c r="F4827">
        <v>61426516</v>
      </c>
      <c r="G4827">
        <v>48497784</v>
      </c>
      <c r="P4827">
        <v>8</v>
      </c>
      <c r="Q4827" t="s">
        <v>10001</v>
      </c>
    </row>
    <row r="4828" spans="1:17" x14ac:dyDescent="0.3">
      <c r="A4828" t="s">
        <v>4664</v>
      </c>
      <c r="B4828" t="str">
        <f>"301108"</f>
        <v>301108</v>
      </c>
      <c r="C4828" t="s">
        <v>10002</v>
      </c>
      <c r="D4828" t="s">
        <v>2728</v>
      </c>
      <c r="F4828">
        <v>185159545</v>
      </c>
      <c r="G4828">
        <v>113619482</v>
      </c>
      <c r="P4828">
        <v>24</v>
      </c>
      <c r="Q4828" t="s">
        <v>10003</v>
      </c>
    </row>
    <row r="4829" spans="1:17" x14ac:dyDescent="0.3">
      <c r="A4829" t="s">
        <v>4664</v>
      </c>
      <c r="B4829" t="str">
        <f>"301111"</f>
        <v>301111</v>
      </c>
      <c r="C4829" t="s">
        <v>10004</v>
      </c>
      <c r="D4829" t="s">
        <v>143</v>
      </c>
      <c r="F4829">
        <v>46252369</v>
      </c>
      <c r="G4829">
        <v>45641327</v>
      </c>
      <c r="P4829">
        <v>28</v>
      </c>
      <c r="Q4829" t="s">
        <v>10005</v>
      </c>
    </row>
    <row r="4830" spans="1:17" x14ac:dyDescent="0.3">
      <c r="A4830" t="s">
        <v>4664</v>
      </c>
      <c r="B4830" t="str">
        <f>"301113"</f>
        <v>301113</v>
      </c>
      <c r="C4830" t="s">
        <v>10006</v>
      </c>
      <c r="D4830" t="s">
        <v>2436</v>
      </c>
      <c r="F4830">
        <v>74621584</v>
      </c>
      <c r="G4830">
        <v>56273120</v>
      </c>
      <c r="P4830">
        <v>27</v>
      </c>
      <c r="Q4830" t="s">
        <v>10007</v>
      </c>
    </row>
    <row r="4831" spans="1:17" x14ac:dyDescent="0.3">
      <c r="A4831" t="s">
        <v>4664</v>
      </c>
      <c r="B4831" t="str">
        <f>"301116"</f>
        <v>301116</v>
      </c>
      <c r="C4831" t="s">
        <v>10008</v>
      </c>
      <c r="D4831" t="s">
        <v>6173</v>
      </c>
      <c r="F4831">
        <v>47490379</v>
      </c>
      <c r="G4831">
        <v>45658873</v>
      </c>
      <c r="P4831">
        <v>11</v>
      </c>
      <c r="Q4831" t="s">
        <v>10009</v>
      </c>
    </row>
    <row r="4832" spans="1:17" x14ac:dyDescent="0.3">
      <c r="A4832" t="s">
        <v>4664</v>
      </c>
      <c r="B4832" t="str">
        <f>"301117"</f>
        <v>301117</v>
      </c>
      <c r="C4832" t="s">
        <v>10010</v>
      </c>
      <c r="D4832" t="s">
        <v>2953</v>
      </c>
      <c r="F4832">
        <v>45241401</v>
      </c>
      <c r="G4832">
        <v>25770778</v>
      </c>
      <c r="P4832">
        <v>9</v>
      </c>
      <c r="Q4832" t="s">
        <v>10011</v>
      </c>
    </row>
    <row r="4833" spans="1:17" x14ac:dyDescent="0.3">
      <c r="A4833" t="s">
        <v>4664</v>
      </c>
      <c r="B4833" t="str">
        <f>"301118"</f>
        <v>301118</v>
      </c>
      <c r="C4833" t="s">
        <v>10012</v>
      </c>
      <c r="D4833" t="s">
        <v>1233</v>
      </c>
      <c r="F4833">
        <v>172124379</v>
      </c>
      <c r="G4833">
        <v>72741764</v>
      </c>
      <c r="P4833">
        <v>16</v>
      </c>
      <c r="Q4833" t="s">
        <v>10013</v>
      </c>
    </row>
    <row r="4834" spans="1:17" x14ac:dyDescent="0.3">
      <c r="A4834" t="s">
        <v>4664</v>
      </c>
      <c r="B4834" t="str">
        <f>"301119"</f>
        <v>301119</v>
      </c>
      <c r="C4834" t="s">
        <v>10014</v>
      </c>
      <c r="D4834" t="s">
        <v>348</v>
      </c>
      <c r="F4834">
        <v>38547870</v>
      </c>
      <c r="G4834">
        <v>36717608</v>
      </c>
      <c r="P4834">
        <v>12</v>
      </c>
      <c r="Q4834" t="s">
        <v>10015</v>
      </c>
    </row>
    <row r="4835" spans="1:17" x14ac:dyDescent="0.3">
      <c r="A4835" t="s">
        <v>4664</v>
      </c>
      <c r="B4835" t="str">
        <f>"301122"</f>
        <v>301122</v>
      </c>
      <c r="C4835" t="s">
        <v>10016</v>
      </c>
      <c r="F4835">
        <v>90767717</v>
      </c>
      <c r="G4835">
        <v>118255470</v>
      </c>
      <c r="P4835">
        <v>14</v>
      </c>
      <c r="Q4835" t="s">
        <v>10017</v>
      </c>
    </row>
    <row r="4836" spans="1:17" x14ac:dyDescent="0.3">
      <c r="A4836" t="s">
        <v>4664</v>
      </c>
      <c r="B4836" t="str">
        <f>"301123"</f>
        <v>301123</v>
      </c>
      <c r="C4836" t="s">
        <v>10018</v>
      </c>
      <c r="F4836">
        <v>143483315</v>
      </c>
      <c r="P4836">
        <v>6</v>
      </c>
      <c r="Q4836" t="s">
        <v>10019</v>
      </c>
    </row>
    <row r="4837" spans="1:17" x14ac:dyDescent="0.3">
      <c r="A4837" t="s">
        <v>4664</v>
      </c>
      <c r="B4837" t="str">
        <f>"301126"</f>
        <v>301126</v>
      </c>
      <c r="C4837" t="s">
        <v>10020</v>
      </c>
      <c r="D4837" t="s">
        <v>125</v>
      </c>
      <c r="F4837">
        <v>50225929</v>
      </c>
      <c r="G4837">
        <v>30093160</v>
      </c>
      <c r="P4837">
        <v>14</v>
      </c>
      <c r="Q4837" t="s">
        <v>10021</v>
      </c>
    </row>
    <row r="4838" spans="1:17" x14ac:dyDescent="0.3">
      <c r="A4838" t="s">
        <v>4664</v>
      </c>
      <c r="B4838" t="str">
        <f>"301127"</f>
        <v>301127</v>
      </c>
      <c r="C4838" t="s">
        <v>10022</v>
      </c>
      <c r="D4838" t="s">
        <v>33</v>
      </c>
      <c r="F4838">
        <v>104853133</v>
      </c>
      <c r="G4838">
        <v>116312485</v>
      </c>
      <c r="P4838">
        <v>13</v>
      </c>
      <c r="Q4838" t="s">
        <v>10023</v>
      </c>
    </row>
    <row r="4839" spans="1:17" x14ac:dyDescent="0.3">
      <c r="A4839" t="s">
        <v>4664</v>
      </c>
      <c r="B4839" t="str">
        <f>"301128"</f>
        <v>301128</v>
      </c>
      <c r="C4839" t="s">
        <v>10024</v>
      </c>
      <c r="D4839" t="s">
        <v>741</v>
      </c>
      <c r="F4839">
        <v>40892566</v>
      </c>
      <c r="G4839">
        <v>53844115</v>
      </c>
      <c r="P4839">
        <v>12</v>
      </c>
      <c r="Q4839" t="s">
        <v>10025</v>
      </c>
    </row>
    <row r="4840" spans="1:17" x14ac:dyDescent="0.3">
      <c r="A4840" t="s">
        <v>4664</v>
      </c>
      <c r="B4840" t="str">
        <f>"301129"</f>
        <v>301129</v>
      </c>
      <c r="C4840" t="s">
        <v>10026</v>
      </c>
      <c r="D4840" t="s">
        <v>2551</v>
      </c>
      <c r="F4840">
        <v>12113625</v>
      </c>
      <c r="G4840">
        <v>3954160</v>
      </c>
      <c r="P4840">
        <v>22</v>
      </c>
      <c r="Q4840" t="s">
        <v>10027</v>
      </c>
    </row>
    <row r="4841" spans="1:17" x14ac:dyDescent="0.3">
      <c r="A4841" t="s">
        <v>4664</v>
      </c>
      <c r="B4841" t="str">
        <f>"301130"</f>
        <v>301130</v>
      </c>
      <c r="C4841" t="s">
        <v>10028</v>
      </c>
      <c r="F4841">
        <v>34152267</v>
      </c>
      <c r="G4841">
        <v>33203032</v>
      </c>
      <c r="P4841">
        <v>7</v>
      </c>
      <c r="Q4841" t="s">
        <v>10029</v>
      </c>
    </row>
    <row r="4842" spans="1:17" x14ac:dyDescent="0.3">
      <c r="A4842" t="s">
        <v>4664</v>
      </c>
      <c r="B4842" t="str">
        <f>"301133"</f>
        <v>301133</v>
      </c>
      <c r="C4842" t="s">
        <v>10030</v>
      </c>
      <c r="D4842" t="s">
        <v>191</v>
      </c>
      <c r="F4842">
        <v>27969809</v>
      </c>
      <c r="G4842">
        <v>23489386</v>
      </c>
      <c r="P4842">
        <v>15</v>
      </c>
      <c r="Q4842" t="s">
        <v>10031</v>
      </c>
    </row>
    <row r="4843" spans="1:17" x14ac:dyDescent="0.3">
      <c r="A4843" t="s">
        <v>4664</v>
      </c>
      <c r="B4843" t="str">
        <f>"301136"</f>
        <v>301136</v>
      </c>
      <c r="C4843" t="s">
        <v>10032</v>
      </c>
      <c r="D4843" t="s">
        <v>1272</v>
      </c>
      <c r="F4843">
        <v>48025249</v>
      </c>
      <c r="G4843">
        <v>49795241</v>
      </c>
      <c r="P4843">
        <v>9</v>
      </c>
      <c r="Q4843" t="s">
        <v>10033</v>
      </c>
    </row>
    <row r="4844" spans="1:17" x14ac:dyDescent="0.3">
      <c r="A4844" t="s">
        <v>4664</v>
      </c>
      <c r="B4844" t="str">
        <f>"301138"</f>
        <v>301138</v>
      </c>
      <c r="C4844" t="s">
        <v>10034</v>
      </c>
      <c r="D4844" t="s">
        <v>741</v>
      </c>
      <c r="F4844">
        <v>68398216</v>
      </c>
      <c r="G4844">
        <v>50193053</v>
      </c>
      <c r="P4844">
        <v>16</v>
      </c>
      <c r="Q4844" t="s">
        <v>10035</v>
      </c>
    </row>
    <row r="4845" spans="1:17" x14ac:dyDescent="0.3">
      <c r="A4845" t="s">
        <v>4664</v>
      </c>
      <c r="B4845" t="str">
        <f>"301149"</f>
        <v>301149</v>
      </c>
      <c r="C4845" t="s">
        <v>10036</v>
      </c>
      <c r="D4845" t="s">
        <v>386</v>
      </c>
      <c r="F4845">
        <v>163948536</v>
      </c>
      <c r="G4845">
        <v>58677977</v>
      </c>
      <c r="P4845">
        <v>17</v>
      </c>
      <c r="Q4845" t="s">
        <v>10037</v>
      </c>
    </row>
    <row r="4846" spans="1:17" x14ac:dyDescent="0.3">
      <c r="A4846" t="s">
        <v>4664</v>
      </c>
      <c r="B4846" t="str">
        <f>"301155"</f>
        <v>301155</v>
      </c>
      <c r="C4846" t="s">
        <v>10038</v>
      </c>
      <c r="D4846" t="s">
        <v>950</v>
      </c>
      <c r="F4846">
        <v>916861871</v>
      </c>
      <c r="G4846">
        <v>381444848</v>
      </c>
      <c r="P4846">
        <v>40</v>
      </c>
      <c r="Q4846" t="s">
        <v>10039</v>
      </c>
    </row>
    <row r="4847" spans="1:17" x14ac:dyDescent="0.3">
      <c r="A4847" t="s">
        <v>4664</v>
      </c>
      <c r="B4847" t="str">
        <f>"301158"</f>
        <v>301158</v>
      </c>
      <c r="C4847" t="s">
        <v>10040</v>
      </c>
      <c r="D4847" t="s">
        <v>395</v>
      </c>
      <c r="F4847">
        <v>28055667</v>
      </c>
      <c r="G4847">
        <v>26472352</v>
      </c>
      <c r="P4847">
        <v>12</v>
      </c>
      <c r="Q4847" t="s">
        <v>10041</v>
      </c>
    </row>
    <row r="4848" spans="1:17" x14ac:dyDescent="0.3">
      <c r="A4848" t="s">
        <v>4664</v>
      </c>
      <c r="B4848" t="str">
        <f>"301159"</f>
        <v>301159</v>
      </c>
      <c r="C4848" t="s">
        <v>10042</v>
      </c>
      <c r="D4848" t="s">
        <v>945</v>
      </c>
      <c r="F4848">
        <v>-2754259</v>
      </c>
      <c r="G4848">
        <v>-15580330</v>
      </c>
      <c r="P4848">
        <v>10</v>
      </c>
      <c r="Q4848" t="s">
        <v>10043</v>
      </c>
    </row>
    <row r="4849" spans="1:17" x14ac:dyDescent="0.3">
      <c r="A4849" t="s">
        <v>4664</v>
      </c>
      <c r="B4849" t="str">
        <f>"301166"</f>
        <v>301166</v>
      </c>
      <c r="C4849" t="s">
        <v>10044</v>
      </c>
      <c r="D4849" t="s">
        <v>1379</v>
      </c>
      <c r="F4849">
        <v>79317387</v>
      </c>
      <c r="G4849">
        <v>50095924</v>
      </c>
      <c r="P4849">
        <v>21</v>
      </c>
      <c r="Q4849" t="s">
        <v>10045</v>
      </c>
    </row>
    <row r="4850" spans="1:17" x14ac:dyDescent="0.3">
      <c r="A4850" t="s">
        <v>4664</v>
      </c>
      <c r="B4850" t="str">
        <f>"301167"</f>
        <v>301167</v>
      </c>
      <c r="C4850" t="s">
        <v>10046</v>
      </c>
      <c r="D4850" t="s">
        <v>1272</v>
      </c>
      <c r="F4850">
        <v>41324000</v>
      </c>
      <c r="G4850">
        <v>50807100</v>
      </c>
      <c r="P4850">
        <v>17</v>
      </c>
      <c r="Q4850" t="s">
        <v>10047</v>
      </c>
    </row>
    <row r="4851" spans="1:17" x14ac:dyDescent="0.3">
      <c r="A4851" t="s">
        <v>4664</v>
      </c>
      <c r="B4851" t="str">
        <f>"301168"</f>
        <v>301168</v>
      </c>
      <c r="C4851" t="s">
        <v>10048</v>
      </c>
      <c r="D4851" t="s">
        <v>478</v>
      </c>
      <c r="F4851">
        <v>63379339</v>
      </c>
      <c r="G4851">
        <v>70993805</v>
      </c>
      <c r="P4851">
        <v>14</v>
      </c>
      <c r="Q4851" t="s">
        <v>10049</v>
      </c>
    </row>
    <row r="4852" spans="1:17" x14ac:dyDescent="0.3">
      <c r="A4852" t="s">
        <v>4664</v>
      </c>
      <c r="B4852" t="str">
        <f>"301169"</f>
        <v>301169</v>
      </c>
      <c r="C4852" t="s">
        <v>10050</v>
      </c>
      <c r="D4852" t="s">
        <v>9741</v>
      </c>
      <c r="F4852">
        <v>-7319221</v>
      </c>
      <c r="G4852">
        <v>-9096499</v>
      </c>
      <c r="P4852">
        <v>15</v>
      </c>
      <c r="Q4852" t="s">
        <v>10051</v>
      </c>
    </row>
    <row r="4853" spans="1:17" x14ac:dyDescent="0.3">
      <c r="A4853" t="s">
        <v>4664</v>
      </c>
      <c r="B4853" t="str">
        <f>"301177"</f>
        <v>301177</v>
      </c>
      <c r="C4853" t="s">
        <v>10052</v>
      </c>
      <c r="D4853" t="s">
        <v>1238</v>
      </c>
      <c r="F4853">
        <v>990441428</v>
      </c>
      <c r="G4853">
        <v>311105514</v>
      </c>
      <c r="P4853">
        <v>30</v>
      </c>
      <c r="Q4853" t="s">
        <v>10053</v>
      </c>
    </row>
    <row r="4854" spans="1:17" x14ac:dyDescent="0.3">
      <c r="A4854" t="s">
        <v>4664</v>
      </c>
      <c r="B4854" t="str">
        <f>"301178"</f>
        <v>301178</v>
      </c>
      <c r="C4854" t="s">
        <v>10054</v>
      </c>
      <c r="D4854" t="s">
        <v>316</v>
      </c>
      <c r="F4854">
        <v>14691348</v>
      </c>
      <c r="G4854">
        <v>5013536</v>
      </c>
      <c r="P4854">
        <v>15</v>
      </c>
      <c r="Q4854" t="s">
        <v>10055</v>
      </c>
    </row>
    <row r="4855" spans="1:17" x14ac:dyDescent="0.3">
      <c r="A4855" t="s">
        <v>4664</v>
      </c>
      <c r="B4855" t="str">
        <f>"301179"</f>
        <v>301179</v>
      </c>
      <c r="C4855" t="s">
        <v>10056</v>
      </c>
      <c r="D4855" t="s">
        <v>610</v>
      </c>
      <c r="F4855">
        <v>62449545</v>
      </c>
      <c r="G4855">
        <v>40411880</v>
      </c>
      <c r="P4855">
        <v>17</v>
      </c>
      <c r="Q4855" t="s">
        <v>10057</v>
      </c>
    </row>
    <row r="4856" spans="1:17" x14ac:dyDescent="0.3">
      <c r="A4856" t="s">
        <v>4664</v>
      </c>
      <c r="B4856" t="str">
        <f>"301180"</f>
        <v>301180</v>
      </c>
      <c r="C4856" t="s">
        <v>10058</v>
      </c>
      <c r="D4856" t="s">
        <v>313</v>
      </c>
      <c r="F4856">
        <v>136024895</v>
      </c>
      <c r="G4856">
        <v>79664118</v>
      </c>
      <c r="P4856">
        <v>15</v>
      </c>
      <c r="Q4856" t="s">
        <v>10059</v>
      </c>
    </row>
    <row r="4857" spans="1:17" x14ac:dyDescent="0.3">
      <c r="A4857" t="s">
        <v>4664</v>
      </c>
      <c r="B4857" t="str">
        <f>"301181"</f>
        <v>301181</v>
      </c>
      <c r="C4857" t="s">
        <v>10060</v>
      </c>
      <c r="F4857">
        <v>72717450</v>
      </c>
      <c r="G4857">
        <v>85138898</v>
      </c>
      <c r="P4857">
        <v>5</v>
      </c>
      <c r="Q4857" t="s">
        <v>10061</v>
      </c>
    </row>
    <row r="4858" spans="1:17" x14ac:dyDescent="0.3">
      <c r="A4858" t="s">
        <v>4664</v>
      </c>
      <c r="B4858" t="str">
        <f>"301182"</f>
        <v>301182</v>
      </c>
      <c r="C4858" t="s">
        <v>10062</v>
      </c>
      <c r="D4858" t="s">
        <v>313</v>
      </c>
      <c r="F4858">
        <v>44447555</v>
      </c>
      <c r="G4858">
        <v>25449280</v>
      </c>
      <c r="P4858">
        <v>11</v>
      </c>
      <c r="Q4858" t="s">
        <v>10063</v>
      </c>
    </row>
    <row r="4859" spans="1:17" x14ac:dyDescent="0.3">
      <c r="A4859" t="s">
        <v>4664</v>
      </c>
      <c r="B4859" t="str">
        <f>"301185"</f>
        <v>301185</v>
      </c>
      <c r="C4859" t="s">
        <v>10064</v>
      </c>
      <c r="D4859" t="s">
        <v>316</v>
      </c>
      <c r="F4859">
        <v>44517928</v>
      </c>
      <c r="G4859">
        <v>25495434</v>
      </c>
      <c r="P4859">
        <v>20</v>
      </c>
      <c r="Q4859" t="s">
        <v>10065</v>
      </c>
    </row>
    <row r="4860" spans="1:17" x14ac:dyDescent="0.3">
      <c r="A4860" t="s">
        <v>4664</v>
      </c>
      <c r="B4860" t="str">
        <f>"301186"</f>
        <v>301186</v>
      </c>
      <c r="C4860" t="s">
        <v>10066</v>
      </c>
      <c r="D4860" t="s">
        <v>985</v>
      </c>
      <c r="F4860">
        <v>37902934</v>
      </c>
      <c r="G4860">
        <v>35476548</v>
      </c>
      <c r="P4860">
        <v>10</v>
      </c>
      <c r="Q4860" t="s">
        <v>10067</v>
      </c>
    </row>
    <row r="4861" spans="1:17" x14ac:dyDescent="0.3">
      <c r="A4861" t="s">
        <v>4664</v>
      </c>
      <c r="B4861" t="str">
        <f>"301187"</f>
        <v>301187</v>
      </c>
      <c r="C4861" t="s">
        <v>10068</v>
      </c>
      <c r="G4861">
        <v>102950537</v>
      </c>
      <c r="P4861">
        <v>1</v>
      </c>
      <c r="Q4861" t="s">
        <v>10069</v>
      </c>
    </row>
    <row r="4862" spans="1:17" x14ac:dyDescent="0.3">
      <c r="A4862" t="s">
        <v>4664</v>
      </c>
      <c r="B4862" t="str">
        <f>"301188"</f>
        <v>301188</v>
      </c>
      <c r="C4862" t="s">
        <v>10070</v>
      </c>
      <c r="D4862" t="s">
        <v>2436</v>
      </c>
      <c r="F4862">
        <v>94417341</v>
      </c>
      <c r="G4862">
        <v>63755833</v>
      </c>
      <c r="P4862">
        <v>18</v>
      </c>
      <c r="Q4862" t="s">
        <v>10071</v>
      </c>
    </row>
    <row r="4863" spans="1:17" x14ac:dyDescent="0.3">
      <c r="A4863" t="s">
        <v>4664</v>
      </c>
      <c r="B4863" t="str">
        <f>"301189"</f>
        <v>301189</v>
      </c>
      <c r="C4863" t="s">
        <v>10072</v>
      </c>
      <c r="D4863" t="s">
        <v>3499</v>
      </c>
      <c r="F4863">
        <v>98406204</v>
      </c>
      <c r="G4863">
        <v>125422230</v>
      </c>
      <c r="P4863">
        <v>10</v>
      </c>
      <c r="Q4863" t="s">
        <v>10073</v>
      </c>
    </row>
    <row r="4864" spans="1:17" x14ac:dyDescent="0.3">
      <c r="A4864" t="s">
        <v>4664</v>
      </c>
      <c r="B4864" t="str">
        <f>"301190"</f>
        <v>301190</v>
      </c>
      <c r="C4864" t="s">
        <v>10074</v>
      </c>
      <c r="D4864" t="s">
        <v>779</v>
      </c>
      <c r="F4864">
        <v>94506633</v>
      </c>
      <c r="G4864">
        <v>68699106</v>
      </c>
      <c r="P4864">
        <v>11</v>
      </c>
      <c r="Q4864" t="s">
        <v>10075</v>
      </c>
    </row>
    <row r="4865" spans="1:17" x14ac:dyDescent="0.3">
      <c r="A4865" t="s">
        <v>4664</v>
      </c>
      <c r="B4865" t="str">
        <f>"301193"</f>
        <v>301193</v>
      </c>
      <c r="C4865" t="s">
        <v>10076</v>
      </c>
      <c r="D4865" t="s">
        <v>2436</v>
      </c>
      <c r="F4865">
        <v>48838784</v>
      </c>
      <c r="G4865">
        <v>80342451</v>
      </c>
      <c r="P4865">
        <v>15</v>
      </c>
      <c r="Q4865" t="s">
        <v>10077</v>
      </c>
    </row>
    <row r="4866" spans="1:17" x14ac:dyDescent="0.3">
      <c r="A4866" t="s">
        <v>4664</v>
      </c>
      <c r="B4866" t="str">
        <f>"301196"</f>
        <v>301196</v>
      </c>
      <c r="C4866" t="s">
        <v>10078</v>
      </c>
      <c r="D4866" t="s">
        <v>1192</v>
      </c>
      <c r="F4866">
        <v>159544918</v>
      </c>
      <c r="G4866">
        <v>109358869</v>
      </c>
      <c r="P4866">
        <v>7</v>
      </c>
      <c r="Q4866" t="s">
        <v>10079</v>
      </c>
    </row>
    <row r="4867" spans="1:17" x14ac:dyDescent="0.3">
      <c r="A4867" t="s">
        <v>4664</v>
      </c>
      <c r="B4867" t="str">
        <f>"301198"</f>
        <v>301198</v>
      </c>
      <c r="C4867" t="s">
        <v>10080</v>
      </c>
      <c r="D4867" t="s">
        <v>485</v>
      </c>
      <c r="F4867">
        <v>46556572</v>
      </c>
      <c r="G4867">
        <v>40232910</v>
      </c>
      <c r="P4867">
        <v>16</v>
      </c>
      <c r="Q4867" t="s">
        <v>10081</v>
      </c>
    </row>
    <row r="4868" spans="1:17" x14ac:dyDescent="0.3">
      <c r="A4868" t="s">
        <v>4664</v>
      </c>
      <c r="B4868" t="str">
        <f>"301199"</f>
        <v>301199</v>
      </c>
      <c r="C4868" t="s">
        <v>10082</v>
      </c>
      <c r="D4868" t="s">
        <v>2911</v>
      </c>
      <c r="F4868">
        <v>59855973</v>
      </c>
      <c r="G4868">
        <v>47847359</v>
      </c>
      <c r="P4868">
        <v>10</v>
      </c>
      <c r="Q4868" t="s">
        <v>10083</v>
      </c>
    </row>
    <row r="4869" spans="1:17" x14ac:dyDescent="0.3">
      <c r="A4869" t="s">
        <v>4664</v>
      </c>
      <c r="B4869" t="str">
        <f>"301200"</f>
        <v>301200</v>
      </c>
      <c r="C4869" t="s">
        <v>10084</v>
      </c>
      <c r="F4869">
        <v>451402604</v>
      </c>
      <c r="G4869">
        <v>254299997</v>
      </c>
      <c r="P4869">
        <v>13</v>
      </c>
      <c r="Q4869" t="s">
        <v>10085</v>
      </c>
    </row>
    <row r="4870" spans="1:17" x14ac:dyDescent="0.3">
      <c r="A4870" t="s">
        <v>4664</v>
      </c>
      <c r="B4870" t="str">
        <f>"301201"</f>
        <v>301201</v>
      </c>
      <c r="C4870" t="s">
        <v>10086</v>
      </c>
      <c r="D4870" t="s">
        <v>1461</v>
      </c>
      <c r="F4870">
        <v>70504796</v>
      </c>
      <c r="G4870">
        <v>66106685</v>
      </c>
      <c r="P4870">
        <v>18</v>
      </c>
      <c r="Q4870" t="s">
        <v>10087</v>
      </c>
    </row>
    <row r="4871" spans="1:17" x14ac:dyDescent="0.3">
      <c r="A4871" t="s">
        <v>4664</v>
      </c>
      <c r="B4871" t="str">
        <f>"301206"</f>
        <v>301206</v>
      </c>
      <c r="C4871" t="s">
        <v>10088</v>
      </c>
      <c r="F4871">
        <v>440682536</v>
      </c>
      <c r="G4871">
        <v>172179129</v>
      </c>
      <c r="P4871">
        <v>24</v>
      </c>
      <c r="Q4871" t="s">
        <v>10089</v>
      </c>
    </row>
    <row r="4872" spans="1:17" x14ac:dyDescent="0.3">
      <c r="A4872" t="s">
        <v>4664</v>
      </c>
      <c r="B4872" t="str">
        <f>"301207"</f>
        <v>301207</v>
      </c>
      <c r="C4872" t="s">
        <v>10090</v>
      </c>
      <c r="F4872">
        <v>528169122</v>
      </c>
      <c r="G4872">
        <v>411773612</v>
      </c>
      <c r="P4872">
        <v>19</v>
      </c>
      <c r="Q4872" t="s">
        <v>10091</v>
      </c>
    </row>
    <row r="4873" spans="1:17" x14ac:dyDescent="0.3">
      <c r="A4873" t="s">
        <v>4664</v>
      </c>
      <c r="B4873" t="str">
        <f>"301211"</f>
        <v>301211</v>
      </c>
      <c r="C4873" t="s">
        <v>10092</v>
      </c>
      <c r="D4873" t="s">
        <v>496</v>
      </c>
      <c r="F4873">
        <v>99352293</v>
      </c>
      <c r="G4873">
        <v>129526267</v>
      </c>
      <c r="P4873">
        <v>14</v>
      </c>
      <c r="Q4873" t="s">
        <v>10093</v>
      </c>
    </row>
    <row r="4874" spans="1:17" x14ac:dyDescent="0.3">
      <c r="A4874" t="s">
        <v>4664</v>
      </c>
      <c r="B4874" t="str">
        <f>"301213"</f>
        <v>301213</v>
      </c>
      <c r="C4874" t="s">
        <v>10094</v>
      </c>
      <c r="D4874" t="s">
        <v>1136</v>
      </c>
      <c r="F4874">
        <v>10254455</v>
      </c>
      <c r="G4874">
        <v>9914693</v>
      </c>
      <c r="P4874">
        <v>16</v>
      </c>
      <c r="Q4874" t="s">
        <v>10095</v>
      </c>
    </row>
    <row r="4875" spans="1:17" x14ac:dyDescent="0.3">
      <c r="A4875" t="s">
        <v>4664</v>
      </c>
      <c r="B4875" t="str">
        <f>"301215"</f>
        <v>301215</v>
      </c>
      <c r="C4875" t="s">
        <v>10096</v>
      </c>
      <c r="F4875">
        <v>77479672</v>
      </c>
      <c r="G4875">
        <v>78127831</v>
      </c>
      <c r="P4875">
        <v>7</v>
      </c>
      <c r="Q4875" t="s">
        <v>10097</v>
      </c>
    </row>
    <row r="4876" spans="1:17" x14ac:dyDescent="0.3">
      <c r="A4876" t="s">
        <v>4664</v>
      </c>
      <c r="B4876" t="str">
        <f>"301217"</f>
        <v>301217</v>
      </c>
      <c r="C4876" t="s">
        <v>10098</v>
      </c>
      <c r="F4876">
        <v>283703656</v>
      </c>
      <c r="P4876">
        <v>16</v>
      </c>
      <c r="Q4876" t="s">
        <v>10099</v>
      </c>
    </row>
    <row r="4877" spans="1:17" x14ac:dyDescent="0.3">
      <c r="A4877" t="s">
        <v>4664</v>
      </c>
      <c r="B4877" t="str">
        <f>"301219"</f>
        <v>301219</v>
      </c>
      <c r="C4877" t="s">
        <v>10100</v>
      </c>
      <c r="G4877">
        <v>415931934</v>
      </c>
      <c r="P4877">
        <v>8</v>
      </c>
      <c r="Q4877" t="s">
        <v>10101</v>
      </c>
    </row>
    <row r="4878" spans="1:17" x14ac:dyDescent="0.3">
      <c r="A4878" t="s">
        <v>4664</v>
      </c>
      <c r="B4878" t="str">
        <f>"301221"</f>
        <v>301221</v>
      </c>
      <c r="C4878" t="s">
        <v>10102</v>
      </c>
      <c r="D4878" t="s">
        <v>1415</v>
      </c>
      <c r="F4878">
        <v>42192958</v>
      </c>
      <c r="G4878">
        <v>35280756</v>
      </c>
      <c r="P4878">
        <v>16</v>
      </c>
      <c r="Q4878" t="s">
        <v>10103</v>
      </c>
    </row>
    <row r="4879" spans="1:17" x14ac:dyDescent="0.3">
      <c r="A4879" t="s">
        <v>4664</v>
      </c>
      <c r="B4879" t="str">
        <f>"301228"</f>
        <v>301228</v>
      </c>
      <c r="C4879" t="s">
        <v>10104</v>
      </c>
      <c r="F4879">
        <v>21228191</v>
      </c>
      <c r="G4879">
        <v>19958854</v>
      </c>
      <c r="P4879">
        <v>11</v>
      </c>
      <c r="Q4879" t="s">
        <v>10105</v>
      </c>
    </row>
    <row r="4880" spans="1:17" x14ac:dyDescent="0.3">
      <c r="A4880" t="s">
        <v>4664</v>
      </c>
      <c r="B4880" t="str">
        <f>"301229"</f>
        <v>301229</v>
      </c>
      <c r="C4880" t="s">
        <v>10106</v>
      </c>
      <c r="F4880">
        <v>35014854</v>
      </c>
      <c r="G4880">
        <v>30962291</v>
      </c>
      <c r="P4880">
        <v>6</v>
      </c>
      <c r="Q4880" t="s">
        <v>10107</v>
      </c>
    </row>
    <row r="4881" spans="1:17" x14ac:dyDescent="0.3">
      <c r="A4881" t="s">
        <v>4664</v>
      </c>
      <c r="B4881" t="str">
        <f>"301235"</f>
        <v>301235</v>
      </c>
      <c r="C4881" t="s">
        <v>10108</v>
      </c>
      <c r="F4881">
        <v>32137559</v>
      </c>
      <c r="G4881">
        <v>674450</v>
      </c>
      <c r="P4881">
        <v>11</v>
      </c>
      <c r="Q4881" t="s">
        <v>10109</v>
      </c>
    </row>
    <row r="4882" spans="1:17" x14ac:dyDescent="0.3">
      <c r="A4882" t="s">
        <v>4664</v>
      </c>
      <c r="B4882" t="str">
        <f>"301236"</f>
        <v>301236</v>
      </c>
      <c r="C4882" t="s">
        <v>10110</v>
      </c>
      <c r="G4882">
        <v>878589834</v>
      </c>
      <c r="P4882">
        <v>4</v>
      </c>
      <c r="Q4882" t="s">
        <v>10111</v>
      </c>
    </row>
    <row r="4883" spans="1:17" x14ac:dyDescent="0.3">
      <c r="A4883" t="s">
        <v>4664</v>
      </c>
      <c r="B4883" t="str">
        <f>"301237"</f>
        <v>301237</v>
      </c>
      <c r="C4883" t="s">
        <v>10112</v>
      </c>
      <c r="F4883">
        <v>100357786</v>
      </c>
      <c r="G4883">
        <v>40243733</v>
      </c>
      <c r="P4883">
        <v>6</v>
      </c>
      <c r="Q4883" t="s">
        <v>10113</v>
      </c>
    </row>
    <row r="4884" spans="1:17" x14ac:dyDescent="0.3">
      <c r="A4884" t="s">
        <v>4664</v>
      </c>
      <c r="B4884" t="str">
        <f>"301268"</f>
        <v>301268</v>
      </c>
      <c r="C4884" t="s">
        <v>10114</v>
      </c>
      <c r="F4884">
        <v>100777841</v>
      </c>
      <c r="P4884">
        <v>2</v>
      </c>
      <c r="Q4884" t="s">
        <v>10115</v>
      </c>
    </row>
    <row r="4886" spans="1:17" x14ac:dyDescent="0.3">
      <c r="A4886" t="s">
        <v>10116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筛选器_大陆_20220501_234726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2022-05-01T15:48:35Z</dcterms:created>
  <dcterms:modified xsi:type="dcterms:W3CDTF">2022-05-01T15:48:35Z</dcterms:modified>
</cp:coreProperties>
</file>