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cs2\Desktop\design\数据准备\"/>
    </mc:Choice>
  </mc:AlternateContent>
  <xr:revisionPtr revIDLastSave="0" documentId="13_ncr:1_{62FEB8D9-46CF-4D69-9A16-4EF2B9305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筛选器_大陆_20220501_2313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</calcChain>
</file>

<file path=xl/sharedStrings.xml><?xml version="1.0" encoding="utf-8"?>
<sst xmlns="http://schemas.openxmlformats.org/spreadsheetml/2006/main" count="19512" uniqueCount="10264">
  <si>
    <t>交易所</t>
  </si>
  <si>
    <t>代码</t>
  </si>
  <si>
    <t>公司</t>
  </si>
  <si>
    <t>行业</t>
  </si>
  <si>
    <t>研发费用 累积 2022-12-31 (元)</t>
  </si>
  <si>
    <t>研发费用 累积 2021-12-31 (元)</t>
  </si>
  <si>
    <t>研发费用 累积 2020-12-31 (元)</t>
  </si>
  <si>
    <t>研发费用 累积 2019-12-31 (元)</t>
  </si>
  <si>
    <t>研发费用 累积 2018-12-31 (元)</t>
  </si>
  <si>
    <t>研发费用 累积 2017-12-31 (元)</t>
  </si>
  <si>
    <t>研发费用 累积 2016-12-31 (元)</t>
  </si>
  <si>
    <t>研发费用 累积 2015-12-31 (元)</t>
  </si>
  <si>
    <t>研发费用 累积 2014-12-31 (元)</t>
  </si>
  <si>
    <t>研发费用 累积 2013-12-31 (元)</t>
  </si>
  <si>
    <t>研发费用 累积 2012-12-31 (元)</t>
  </si>
  <si>
    <t>关注度</t>
  </si>
  <si>
    <t>理杏仁Url</t>
  </si>
  <si>
    <t>sh</t>
  </si>
  <si>
    <t>浦发银行</t>
  </si>
  <si>
    <t>股份制银行</t>
  </si>
  <si>
    <t>www.lixinger.com/analytics/company/sh/600000/600000/detail</t>
  </si>
  <si>
    <t>白云机场</t>
  </si>
  <si>
    <t>机场</t>
  </si>
  <si>
    <t>www.lixinger.com/analytics/company/sh/600004/600004/detail</t>
  </si>
  <si>
    <t>武钢股份</t>
  </si>
  <si>
    <t>www.lixinger.com/analytics/company/sh/600005/600005/detail</t>
  </si>
  <si>
    <t>东风汽车</t>
  </si>
  <si>
    <t>商用载货车</t>
  </si>
  <si>
    <t>www.lixinger.com/analytics/company/sh/600006/600006/detail</t>
  </si>
  <si>
    <t>中国国贸</t>
  </si>
  <si>
    <t>商业地产</t>
  </si>
  <si>
    <t>www.lixinger.com/analytics/company/sh/600007/600007/detail</t>
  </si>
  <si>
    <t>首创环保</t>
  </si>
  <si>
    <t>水务及水治理</t>
  </si>
  <si>
    <t>www.lixinger.com/analytics/company/sh/600008/600008/detail</t>
  </si>
  <si>
    <t>上海机场</t>
  </si>
  <si>
    <t>www.lixinger.com/analytics/company/sh/600009/600009/detail</t>
  </si>
  <si>
    <t>包钢股份</t>
  </si>
  <si>
    <t>板材</t>
  </si>
  <si>
    <t>www.lixinger.com/analytics/company/sh/600010/600010/detail</t>
  </si>
  <si>
    <t>华能国际</t>
  </si>
  <si>
    <t>火力发电</t>
  </si>
  <si>
    <t>www.lixinger.com/analytics/company/sh/600011/600011/detail</t>
  </si>
  <si>
    <t>皖通高速</t>
  </si>
  <si>
    <t>高速公路</t>
  </si>
  <si>
    <t>www.lixinger.com/analytics/company/sh/600012/600012/detail</t>
  </si>
  <si>
    <t>华夏银行</t>
  </si>
  <si>
    <t>www.lixinger.com/analytics/company/sh/600015/600015/detail</t>
  </si>
  <si>
    <t>民生银行</t>
  </si>
  <si>
    <t>www.lixinger.com/analytics/company/sh/600016/600016/detail</t>
  </si>
  <si>
    <t>日照港</t>
  </si>
  <si>
    <t>港口</t>
  </si>
  <si>
    <t>www.lixinger.com/analytics/company/sh/600017/600017/detail</t>
  </si>
  <si>
    <t>上港集团</t>
  </si>
  <si>
    <t>www.lixinger.com/analytics/company/sh/600018/600018/detail</t>
  </si>
  <si>
    <t>宝钢股份</t>
  </si>
  <si>
    <t>www.lixinger.com/analytics/company/sh/600019/600019/detail</t>
  </si>
  <si>
    <t>中原高速</t>
  </si>
  <si>
    <t>www.lixinger.com/analytics/company/sh/600020/600020/detail</t>
  </si>
  <si>
    <t>上海电力</t>
  </si>
  <si>
    <t>www.lixinger.com/analytics/company/sh/600021/600021/detail</t>
  </si>
  <si>
    <t>山东钢铁</t>
  </si>
  <si>
    <t>www.lixinger.com/analytics/company/sh/600022/600022/detail</t>
  </si>
  <si>
    <t>浙能电力</t>
  </si>
  <si>
    <t>www.lixinger.com/analytics/company/sh/600023/600023/detail</t>
  </si>
  <si>
    <t>华能水电</t>
  </si>
  <si>
    <t>水力发电</t>
  </si>
  <si>
    <t>www.lixinger.com/analytics/company/sh/600025/600025/detail</t>
  </si>
  <si>
    <t>中远海能</t>
  </si>
  <si>
    <t>航运</t>
  </si>
  <si>
    <t>www.lixinger.com/analytics/company/sh/600026/600026/detail</t>
  </si>
  <si>
    <t>华电国际</t>
  </si>
  <si>
    <t>www.lixinger.com/analytics/company/sh/600027/600027/detail</t>
  </si>
  <si>
    <t>中国石化</t>
  </si>
  <si>
    <t>炼油化工</t>
  </si>
  <si>
    <t>www.lixinger.com/analytics/company/sh/600028/600028/detail</t>
  </si>
  <si>
    <t>南方航空</t>
  </si>
  <si>
    <t>航空运输</t>
  </si>
  <si>
    <t>www.lixinger.com/analytics/company/sh/600029/600029/detail</t>
  </si>
  <si>
    <t>中信证券</t>
  </si>
  <si>
    <t>证券</t>
  </si>
  <si>
    <t>www.lixinger.com/analytics/company/sh/600030/600030/detail</t>
  </si>
  <si>
    <t>三一重工</t>
  </si>
  <si>
    <t>工程机械整机</t>
  </si>
  <si>
    <t>www.lixinger.com/analytics/company/sh/600031/600031/detail</t>
  </si>
  <si>
    <t>浙江新能</t>
  </si>
  <si>
    <t>光伏发电</t>
  </si>
  <si>
    <t>www.lixinger.com/analytics/company/sh/600032/600032/detail</t>
  </si>
  <si>
    <t>福建高速</t>
  </si>
  <si>
    <t>www.lixinger.com/analytics/company/sh/600033/600033/detail</t>
  </si>
  <si>
    <t>楚天高速</t>
  </si>
  <si>
    <t>www.lixinger.com/analytics/company/sh/600035/600035/detail</t>
  </si>
  <si>
    <t>招商银行</t>
  </si>
  <si>
    <t>www.lixinger.com/analytics/company/sh/600036/600036/detail</t>
  </si>
  <si>
    <t>歌华有线</t>
  </si>
  <si>
    <t>电视广播</t>
  </si>
  <si>
    <t>www.lixinger.com/analytics/company/sh/600037/600037/detail</t>
  </si>
  <si>
    <t>中直股份</t>
  </si>
  <si>
    <t>航空装备</t>
  </si>
  <si>
    <t>www.lixinger.com/analytics/company/sh/600038/600038/detail</t>
  </si>
  <si>
    <t>四川路桥</t>
  </si>
  <si>
    <t>基建市政工程</t>
  </si>
  <si>
    <t>www.lixinger.com/analytics/company/sh/600039/600039/detail</t>
  </si>
  <si>
    <t>保利发展</t>
  </si>
  <si>
    <t>住宅开发</t>
  </si>
  <si>
    <t>www.lixinger.com/analytics/company/sh/600048/600048/detail</t>
  </si>
  <si>
    <t>中国联通</t>
  </si>
  <si>
    <t>电信运营商</t>
  </si>
  <si>
    <t>www.lixinger.com/analytics/company/sh/600050/600050/detail</t>
  </si>
  <si>
    <t>宁波联合</t>
  </si>
  <si>
    <t>综合</t>
  </si>
  <si>
    <t>www.lixinger.com/analytics/company/sh/600051/600051/detail</t>
  </si>
  <si>
    <t>东望时代</t>
  </si>
  <si>
    <t>影视动漫制作</t>
  </si>
  <si>
    <t>www.lixinger.com/analytics/company/sh/600052/600052/detail</t>
  </si>
  <si>
    <t>九鼎投资</t>
  </si>
  <si>
    <t>资产管理</t>
  </si>
  <si>
    <t>www.lixinger.com/analytics/company/sh/600053/600053/detail</t>
  </si>
  <si>
    <t>黄山旅游</t>
  </si>
  <si>
    <t>自然景区</t>
  </si>
  <si>
    <t>www.lixinger.com/analytics/company/sh/600054/600054/detail</t>
  </si>
  <si>
    <t>万东医疗</t>
  </si>
  <si>
    <t>医疗设备</t>
  </si>
  <si>
    <t>www.lixinger.com/analytics/company/sh/600055/600055/detail</t>
  </si>
  <si>
    <t>中国医药</t>
  </si>
  <si>
    <t>医药流通</t>
  </si>
  <si>
    <t>www.lixinger.com/analytics/company/sh/600056/600056/detail</t>
  </si>
  <si>
    <t>厦门象屿</t>
  </si>
  <si>
    <t>原材料供应链服务</t>
  </si>
  <si>
    <t>www.lixinger.com/analytics/company/sh/600057/600057/detail</t>
  </si>
  <si>
    <t>五矿发展</t>
  </si>
  <si>
    <t>贸易</t>
  </si>
  <si>
    <t>www.lixinger.com/analytics/company/sh/600058/600058/detail</t>
  </si>
  <si>
    <t>古越龙山</t>
  </si>
  <si>
    <t>其他酒类</t>
  </si>
  <si>
    <t>www.lixinger.com/analytics/company/sh/600059/600059/detail</t>
  </si>
  <si>
    <t>海信视像</t>
  </si>
  <si>
    <t>彩电</t>
  </si>
  <si>
    <t>www.lixinger.com/analytics/company/sh/600060/600060/detail</t>
  </si>
  <si>
    <t>国投资本</t>
  </si>
  <si>
    <t>金融控股</t>
  </si>
  <si>
    <t>www.lixinger.com/analytics/company/sh/600061/600061/detail</t>
  </si>
  <si>
    <t>华润双鹤</t>
  </si>
  <si>
    <t>化学制剂</t>
  </si>
  <si>
    <t>www.lixinger.com/analytics/company/sh/600062/600062/detail</t>
  </si>
  <si>
    <t>皖维高新</t>
  </si>
  <si>
    <t>其他化学纤维</t>
  </si>
  <si>
    <t>www.lixinger.com/analytics/company/sh/600063/600063/detail</t>
  </si>
  <si>
    <t>南京高科</t>
  </si>
  <si>
    <t>www.lixinger.com/analytics/company/sh/600064/600064/detail</t>
  </si>
  <si>
    <t>*ST联谊</t>
  </si>
  <si>
    <t>www.lixinger.com/analytics/company/sh/600065/600065/detail</t>
  </si>
  <si>
    <t>宇通客车</t>
  </si>
  <si>
    <t>商用载客车</t>
  </si>
  <si>
    <t>www.lixinger.com/analytics/company/sh/600066/600066/detail</t>
  </si>
  <si>
    <t>冠城大通</t>
  </si>
  <si>
    <t>www.lixinger.com/analytics/company/sh/600067/600067/detail</t>
  </si>
  <si>
    <t>葛洲坝</t>
  </si>
  <si>
    <t>www.lixinger.com/analytics/company/sh/600068/600068/detail</t>
  </si>
  <si>
    <t>退市银鸽</t>
  </si>
  <si>
    <t>www.lixinger.com/analytics/company/sh/600069/600069/detail</t>
  </si>
  <si>
    <t>浙江富润</t>
  </si>
  <si>
    <t>www.lixinger.com/analytics/company/sh/600070/600070/detail</t>
  </si>
  <si>
    <t>凤凰光学</t>
  </si>
  <si>
    <t>光学元件</t>
  </si>
  <si>
    <t>www.lixinger.com/analytics/company/sh/600071/600071/detail</t>
  </si>
  <si>
    <t>中船科技</t>
  </si>
  <si>
    <t>航海装备</t>
  </si>
  <si>
    <t>www.lixinger.com/analytics/company/sh/600072/600072/detail</t>
  </si>
  <si>
    <t>上海梅林</t>
  </si>
  <si>
    <t>肉制品</t>
  </si>
  <si>
    <t>www.lixinger.com/analytics/company/sh/600073/600073/detail</t>
  </si>
  <si>
    <t>退市保千</t>
  </si>
  <si>
    <t>www.lixinger.com/analytics/company/sh/600074/600074/detail</t>
  </si>
  <si>
    <t>新疆天业</t>
  </si>
  <si>
    <t>氯碱</t>
  </si>
  <si>
    <t>www.lixinger.com/analytics/company/sh/600075/600075/detail</t>
  </si>
  <si>
    <t>康欣新材</t>
  </si>
  <si>
    <t>瓷砖地板</t>
  </si>
  <si>
    <t>www.lixinger.com/analytics/company/sh/600076/600076/detail</t>
  </si>
  <si>
    <t>宋都股份</t>
  </si>
  <si>
    <t>www.lixinger.com/analytics/company/sh/600077/600077/detail</t>
  </si>
  <si>
    <t>*ST澄星</t>
  </si>
  <si>
    <t>磷肥及磷化工</t>
  </si>
  <si>
    <t>www.lixinger.com/analytics/company/sh/600078/600078/detail</t>
  </si>
  <si>
    <t>人福医药</t>
  </si>
  <si>
    <t>www.lixinger.com/analytics/company/sh/600079/600079/detail</t>
  </si>
  <si>
    <t>金花股份</t>
  </si>
  <si>
    <t>中药</t>
  </si>
  <si>
    <t>www.lixinger.com/analytics/company/sh/600080/600080/detail</t>
  </si>
  <si>
    <t>东风科技</t>
  </si>
  <si>
    <t>车身附件及饰件</t>
  </si>
  <si>
    <t>www.lixinger.com/analytics/company/sh/600081/600081/detail</t>
  </si>
  <si>
    <t>海泰发展</t>
  </si>
  <si>
    <t>产业地产</t>
  </si>
  <si>
    <t>www.lixinger.com/analytics/company/sh/600082/600082/detail</t>
  </si>
  <si>
    <t>*ST博信</t>
  </si>
  <si>
    <t>www.lixinger.com/analytics/company/sh/600083/600083/detail</t>
  </si>
  <si>
    <t>*ST中葡</t>
  </si>
  <si>
    <t>www.lixinger.com/analytics/company/sh/600084/600084/detail</t>
  </si>
  <si>
    <t>同仁堂</t>
  </si>
  <si>
    <t>www.lixinger.com/analytics/company/sh/600085/600085/detail</t>
  </si>
  <si>
    <t>退市金钰</t>
  </si>
  <si>
    <t>www.lixinger.com/analytics/company/sh/600086/600086/detail</t>
  </si>
  <si>
    <t>退市长油</t>
  </si>
  <si>
    <t>www.lixinger.com/analytics/company/sh/600087/600087/detail</t>
  </si>
  <si>
    <t>中视传媒</t>
  </si>
  <si>
    <t>营销代理</t>
  </si>
  <si>
    <t>www.lixinger.com/analytics/company/sh/600088/600088/detail</t>
  </si>
  <si>
    <t>特变电工</t>
  </si>
  <si>
    <t>输变电设备</t>
  </si>
  <si>
    <t>www.lixinger.com/analytics/company/sh/600089/600089/detail</t>
  </si>
  <si>
    <t>*ST济堂</t>
  </si>
  <si>
    <t>www.lixinger.com/analytics/company/sh/600090/600090/detail</t>
  </si>
  <si>
    <t>*ST明科</t>
  </si>
  <si>
    <t>www.lixinger.com/analytics/company/sh/600091/600091/detail</t>
  </si>
  <si>
    <t>S*ST精密</t>
  </si>
  <si>
    <t>www.lixinger.com/analytics/company/sh/600092/600092/detail</t>
  </si>
  <si>
    <t>*ST易见</t>
  </si>
  <si>
    <t>其他多元金融</t>
  </si>
  <si>
    <t>www.lixinger.com/analytics/company/sh/600093/600093/detail</t>
  </si>
  <si>
    <t>大名城</t>
  </si>
  <si>
    <t>www.lixinger.com/analytics/company/sh/600094/600094/detail</t>
  </si>
  <si>
    <t>湘财股份</t>
  </si>
  <si>
    <t>www.lixinger.com/analytics/company/sh/600095/600095/detail</t>
  </si>
  <si>
    <t>云天化</t>
  </si>
  <si>
    <t>www.lixinger.com/analytics/company/sh/600096/600096/detail</t>
  </si>
  <si>
    <t>开创国际</t>
  </si>
  <si>
    <t>海洋捕捞</t>
  </si>
  <si>
    <t>www.lixinger.com/analytics/company/sh/600097/600097/detail</t>
  </si>
  <si>
    <t>广州发展</t>
  </si>
  <si>
    <t>www.lixinger.com/analytics/company/sh/600098/600098/detail</t>
  </si>
  <si>
    <t>林海股份</t>
  </si>
  <si>
    <t>其他运输设备</t>
  </si>
  <si>
    <t>www.lixinger.com/analytics/company/sh/600099/600099/detail</t>
  </si>
  <si>
    <t>同方股份</t>
  </si>
  <si>
    <t>其他计算机设备</t>
  </si>
  <si>
    <t>www.lixinger.com/analytics/company/sh/600100/600100/detail</t>
  </si>
  <si>
    <t>明星电力</t>
  </si>
  <si>
    <t>电能综合服务</t>
  </si>
  <si>
    <t>www.lixinger.com/analytics/company/sh/600101/600101/detail</t>
  </si>
  <si>
    <t>莱钢股份</t>
  </si>
  <si>
    <t>www.lixinger.com/analytics/company/sh/600102/600102/detail</t>
  </si>
  <si>
    <t>青山纸业</t>
  </si>
  <si>
    <t>特种纸</t>
  </si>
  <si>
    <t>www.lixinger.com/analytics/company/sh/600103/600103/detail</t>
  </si>
  <si>
    <t>上汽集团</t>
  </si>
  <si>
    <t>综合乘用车</t>
  </si>
  <si>
    <t>www.lixinger.com/analytics/company/sh/600104/600104/detail</t>
  </si>
  <si>
    <t>永鼎股份</t>
  </si>
  <si>
    <t>通信线缆及配套</t>
  </si>
  <si>
    <t>www.lixinger.com/analytics/company/sh/600105/600105/detail</t>
  </si>
  <si>
    <t>重庆路桥</t>
  </si>
  <si>
    <t>www.lixinger.com/analytics/company/sh/600106/600106/detail</t>
  </si>
  <si>
    <t>美尔雅</t>
  </si>
  <si>
    <t>非运动服装</t>
  </si>
  <si>
    <t>www.lixinger.com/analytics/company/sh/600107/600107/detail</t>
  </si>
  <si>
    <t>亚盛集团</t>
  </si>
  <si>
    <t>其他种植业</t>
  </si>
  <si>
    <t>www.lixinger.com/analytics/company/sh/600108/600108/detail</t>
  </si>
  <si>
    <t>国金证券</t>
  </si>
  <si>
    <t>www.lixinger.com/analytics/company/sh/600109/600109/detail</t>
  </si>
  <si>
    <t>诺德股份</t>
  </si>
  <si>
    <t>铜</t>
  </si>
  <si>
    <t>www.lixinger.com/analytics/company/sh/600110/600110/detail</t>
  </si>
  <si>
    <t>北方稀土</t>
  </si>
  <si>
    <t>稀土</t>
  </si>
  <si>
    <t>www.lixinger.com/analytics/company/sh/600111/600111/detail</t>
  </si>
  <si>
    <t>*ST天成</t>
  </si>
  <si>
    <t>www.lixinger.com/analytics/company/sh/600112/600112/detail</t>
  </si>
  <si>
    <t>浙江东日</t>
  </si>
  <si>
    <t>商业物业经营</t>
  </si>
  <si>
    <t>www.lixinger.com/analytics/company/sh/600113/600113/detail</t>
  </si>
  <si>
    <t>东睦股份</t>
  </si>
  <si>
    <t>金属制品</t>
  </si>
  <si>
    <t>www.lixinger.com/analytics/company/sh/600114/600114/detail</t>
  </si>
  <si>
    <t>中国东航</t>
  </si>
  <si>
    <t>www.lixinger.com/analytics/company/sh/600115/600115/detail</t>
  </si>
  <si>
    <t>三峡水利</t>
  </si>
  <si>
    <t>www.lixinger.com/analytics/company/sh/600116/600116/detail</t>
  </si>
  <si>
    <t>西宁特钢</t>
  </si>
  <si>
    <t>特钢</t>
  </si>
  <si>
    <t>www.lixinger.com/analytics/company/sh/600117/600117/detail</t>
  </si>
  <si>
    <t>中国卫星</t>
  </si>
  <si>
    <t>航天装备</t>
  </si>
  <si>
    <t>www.lixinger.com/analytics/company/sh/600118/600118/detail</t>
  </si>
  <si>
    <t>长江投资</t>
  </si>
  <si>
    <t>跨境物流</t>
  </si>
  <si>
    <t>www.lixinger.com/analytics/company/sh/600119/600119/detail</t>
  </si>
  <si>
    <t>浙江东方</t>
  </si>
  <si>
    <t>www.lixinger.com/analytics/company/sh/600120/600120/detail</t>
  </si>
  <si>
    <t>郑州煤电</t>
  </si>
  <si>
    <t>动力煤</t>
  </si>
  <si>
    <t>www.lixinger.com/analytics/company/sh/600121/600121/detail</t>
  </si>
  <si>
    <t>ST宏图</t>
  </si>
  <si>
    <t>专业连锁</t>
  </si>
  <si>
    <t>www.lixinger.com/analytics/company/sh/600122/600122/detail</t>
  </si>
  <si>
    <t>兰花科创</t>
  </si>
  <si>
    <t>焦煤</t>
  </si>
  <si>
    <t>www.lixinger.com/analytics/company/sh/600123/600123/detail</t>
  </si>
  <si>
    <t>铁龙物流</t>
  </si>
  <si>
    <t>铁路运输</t>
  </si>
  <si>
    <t>www.lixinger.com/analytics/company/sh/600125/600125/detail</t>
  </si>
  <si>
    <t>杭钢股份</t>
  </si>
  <si>
    <t>www.lixinger.com/analytics/company/sh/600126/600126/detail</t>
  </si>
  <si>
    <t>金健米业</t>
  </si>
  <si>
    <t>粮油加工</t>
  </si>
  <si>
    <t>www.lixinger.com/analytics/company/sh/600127/600127/detail</t>
  </si>
  <si>
    <t>弘业股份</t>
  </si>
  <si>
    <t>www.lixinger.com/analytics/company/sh/600128/600128/detail</t>
  </si>
  <si>
    <t>太极集团</t>
  </si>
  <si>
    <t>www.lixinger.com/analytics/company/sh/600129/600129/detail</t>
  </si>
  <si>
    <t>波导股份</t>
  </si>
  <si>
    <t>消费电子零部件及组装</t>
  </si>
  <si>
    <t>www.lixinger.com/analytics/company/sh/600130/600130/detail</t>
  </si>
  <si>
    <t>国网信通</t>
  </si>
  <si>
    <t>IT服务</t>
  </si>
  <si>
    <t>www.lixinger.com/analytics/company/sh/600131/600131/detail</t>
  </si>
  <si>
    <t>重庆啤酒</t>
  </si>
  <si>
    <t>啤酒</t>
  </si>
  <si>
    <t>www.lixinger.com/analytics/company/sh/600132/600132/detail</t>
  </si>
  <si>
    <t>东湖高新</t>
  </si>
  <si>
    <t>www.lixinger.com/analytics/company/sh/600133/600133/detail</t>
  </si>
  <si>
    <t>乐凯胶片</t>
  </si>
  <si>
    <t>膜材料</t>
  </si>
  <si>
    <t>www.lixinger.com/analytics/company/sh/600135/600135/detail</t>
  </si>
  <si>
    <t>当代文体</t>
  </si>
  <si>
    <t>体育</t>
  </si>
  <si>
    <t>www.lixinger.com/analytics/company/sh/600136/600136/detail</t>
  </si>
  <si>
    <t>浪莎股份</t>
  </si>
  <si>
    <t>鞋帽及其他</t>
  </si>
  <si>
    <t>www.lixinger.com/analytics/company/sh/600137/600137/detail</t>
  </si>
  <si>
    <t>中青旅</t>
  </si>
  <si>
    <t>人工景区</t>
  </si>
  <si>
    <t>www.lixinger.com/analytics/company/sh/600138/600138/detail</t>
  </si>
  <si>
    <t>ST西源</t>
  </si>
  <si>
    <t>租赁</t>
  </si>
  <si>
    <t>www.lixinger.com/analytics/company/sh/600139/600139/detail</t>
  </si>
  <si>
    <t>兴发集团</t>
  </si>
  <si>
    <t>www.lixinger.com/analytics/company/sh/600141/600141/detail</t>
  </si>
  <si>
    <t>金发科技</t>
  </si>
  <si>
    <t>改性塑料</t>
  </si>
  <si>
    <t>www.lixinger.com/analytics/company/sh/600143/600143/detail</t>
  </si>
  <si>
    <t>退市新亿</t>
  </si>
  <si>
    <t>www.lixinger.com/analytics/company/sh/600145/600145/detail</t>
  </si>
  <si>
    <t>*ST环球</t>
  </si>
  <si>
    <t>www.lixinger.com/analytics/company/sh/600146/600146/detail</t>
  </si>
  <si>
    <t>长春一东</t>
  </si>
  <si>
    <t>底盘与发动机系统</t>
  </si>
  <si>
    <t>www.lixinger.com/analytics/company/sh/600148/600148/detail</t>
  </si>
  <si>
    <t>廊坊发展</t>
  </si>
  <si>
    <t>热力服务</t>
  </si>
  <si>
    <t>www.lixinger.com/analytics/company/sh/600149/600149/detail</t>
  </si>
  <si>
    <t>中国船舶</t>
  </si>
  <si>
    <t>www.lixinger.com/analytics/company/sh/600150/600150/detail</t>
  </si>
  <si>
    <t>航天机电</t>
  </si>
  <si>
    <t>光伏电池组件</t>
  </si>
  <si>
    <t>www.lixinger.com/analytics/company/sh/600151/600151/detail</t>
  </si>
  <si>
    <t>维科技术</t>
  </si>
  <si>
    <t>锂电池</t>
  </si>
  <si>
    <t>www.lixinger.com/analytics/company/sh/600152/600152/detail</t>
  </si>
  <si>
    <t>建发股份</t>
  </si>
  <si>
    <t>www.lixinger.com/analytics/company/sh/600153/600153/detail</t>
  </si>
  <si>
    <t>华创阳安</t>
  </si>
  <si>
    <t>www.lixinger.com/analytics/company/sh/600155/600155/detail</t>
  </si>
  <si>
    <t>华升股份</t>
  </si>
  <si>
    <t>其他纺织</t>
  </si>
  <si>
    <t>www.lixinger.com/analytics/company/sh/600156/600156/detail</t>
  </si>
  <si>
    <t>永泰能源</t>
  </si>
  <si>
    <t>www.lixinger.com/analytics/company/sh/600157/600157/detail</t>
  </si>
  <si>
    <t>中体产业</t>
  </si>
  <si>
    <t>www.lixinger.com/analytics/company/sh/600158/600158/detail</t>
  </si>
  <si>
    <t>大龙地产</t>
  </si>
  <si>
    <t>www.lixinger.com/analytics/company/sh/600159/600159/detail</t>
  </si>
  <si>
    <t>巨化股份</t>
  </si>
  <si>
    <t>氟化工</t>
  </si>
  <si>
    <t>www.lixinger.com/analytics/company/sh/600160/600160/detail</t>
  </si>
  <si>
    <t>天坛生物</t>
  </si>
  <si>
    <t>血液制品</t>
  </si>
  <si>
    <t>www.lixinger.com/analytics/company/sh/600161/600161/detail</t>
  </si>
  <si>
    <t>香江控股</t>
  </si>
  <si>
    <t>www.lixinger.com/analytics/company/sh/600162/600162/detail</t>
  </si>
  <si>
    <t>中闽能源</t>
  </si>
  <si>
    <t>风力发电</t>
  </si>
  <si>
    <t>www.lixinger.com/analytics/company/sh/600163/600163/detail</t>
  </si>
  <si>
    <t>新日恒力</t>
  </si>
  <si>
    <t>其他化学制品</t>
  </si>
  <si>
    <t>www.lixinger.com/analytics/company/sh/600165/600165/detail</t>
  </si>
  <si>
    <t>福田汽车</t>
  </si>
  <si>
    <t>www.lixinger.com/analytics/company/sh/600166/600166/detail</t>
  </si>
  <si>
    <t>联美控股</t>
  </si>
  <si>
    <t>www.lixinger.com/analytics/company/sh/600167/600167/detail</t>
  </si>
  <si>
    <t>武汉控股</t>
  </si>
  <si>
    <t>www.lixinger.com/analytics/company/sh/600168/600168/detail</t>
  </si>
  <si>
    <t>太原重工</t>
  </si>
  <si>
    <t>能源及重型设备</t>
  </si>
  <si>
    <t>www.lixinger.com/analytics/company/sh/600169/600169/detail</t>
  </si>
  <si>
    <t>上海建工</t>
  </si>
  <si>
    <t>房屋建设</t>
  </si>
  <si>
    <t>www.lixinger.com/analytics/company/sh/600170/600170/detail</t>
  </si>
  <si>
    <t>上海贝岭</t>
  </si>
  <si>
    <t>模拟芯片设计</t>
  </si>
  <si>
    <t>www.lixinger.com/analytics/company/sh/600171/600171/detail</t>
  </si>
  <si>
    <t>黄河旋风</t>
  </si>
  <si>
    <t>磨具磨料</t>
  </si>
  <si>
    <t>www.lixinger.com/analytics/company/sh/600172/600172/detail</t>
  </si>
  <si>
    <t>卧龙地产</t>
  </si>
  <si>
    <t>www.lixinger.com/analytics/company/sh/600173/600173/detail</t>
  </si>
  <si>
    <t>退市美都</t>
  </si>
  <si>
    <t>www.lixinger.com/analytics/company/sh/600175/600175/detail</t>
  </si>
  <si>
    <t>中国巨石</t>
  </si>
  <si>
    <t>玻纤制造</t>
  </si>
  <si>
    <t>www.lixinger.com/analytics/company/sh/600176/600176/detail</t>
  </si>
  <si>
    <t>雅戈尔</t>
  </si>
  <si>
    <t>www.lixinger.com/analytics/company/sh/600177/600177/detail</t>
  </si>
  <si>
    <t>东安动力</t>
  </si>
  <si>
    <t>www.lixinger.com/analytics/company/sh/600178/600178/detail</t>
  </si>
  <si>
    <t>安通控股</t>
  </si>
  <si>
    <t>www.lixinger.com/analytics/company/sh/600179/600179/detail</t>
  </si>
  <si>
    <t>瑞茂通</t>
  </si>
  <si>
    <t>www.lixinger.com/analytics/company/sh/600180/600180/detail</t>
  </si>
  <si>
    <t>SST佳通</t>
  </si>
  <si>
    <t>轮胎轮毂</t>
  </si>
  <si>
    <t>www.lixinger.com/analytics/company/sh/600182/600182/detail</t>
  </si>
  <si>
    <t>生益科技</t>
  </si>
  <si>
    <t>印制电路板</t>
  </si>
  <si>
    <t>www.lixinger.com/analytics/company/sh/600183/600183/detail</t>
  </si>
  <si>
    <t>光电股份</t>
  </si>
  <si>
    <t>地面兵装</t>
  </si>
  <si>
    <t>www.lixinger.com/analytics/company/sh/600184/600184/detail</t>
  </si>
  <si>
    <t>格力地产</t>
  </si>
  <si>
    <t>www.lixinger.com/analytics/company/sh/600185/600185/detail</t>
  </si>
  <si>
    <t>莲花健康</t>
  </si>
  <si>
    <t>调味发酵品</t>
  </si>
  <si>
    <t>www.lixinger.com/analytics/company/sh/600186/600186/detail</t>
  </si>
  <si>
    <t>国中水务</t>
  </si>
  <si>
    <t>www.lixinger.com/analytics/company/sh/600187/600187/detail</t>
  </si>
  <si>
    <t>兖矿能源</t>
  </si>
  <si>
    <t>www.lixinger.com/analytics/company/sh/600188/600188/detail</t>
  </si>
  <si>
    <t>泉阳泉</t>
  </si>
  <si>
    <t>软饮料</t>
  </si>
  <si>
    <t>www.lixinger.com/analytics/company/sh/600189/600189/detail</t>
  </si>
  <si>
    <t>锦州港</t>
  </si>
  <si>
    <t>www.lixinger.com/analytics/company/sh/600190/600190/detail</t>
  </si>
  <si>
    <t>*ST华资</t>
  </si>
  <si>
    <t>其他农产品加工</t>
  </si>
  <si>
    <t>www.lixinger.com/analytics/company/sh/600191/600191/detail</t>
  </si>
  <si>
    <t>长城电工</t>
  </si>
  <si>
    <t>www.lixinger.com/analytics/company/sh/600192/600192/detail</t>
  </si>
  <si>
    <t>创兴资源</t>
  </si>
  <si>
    <t>装修装饰</t>
  </si>
  <si>
    <t>www.lixinger.com/analytics/company/sh/600193/600193/detail</t>
  </si>
  <si>
    <t>中牧股份</t>
  </si>
  <si>
    <t>动物保健</t>
  </si>
  <si>
    <t>www.lixinger.com/analytics/company/sh/600195/600195/detail</t>
  </si>
  <si>
    <t>复星医药</t>
  </si>
  <si>
    <t>www.lixinger.com/analytics/company/sh/600196/600196/detail</t>
  </si>
  <si>
    <t>伊力特</t>
  </si>
  <si>
    <t>白酒</t>
  </si>
  <si>
    <t>www.lixinger.com/analytics/company/sh/600197/600197/detail</t>
  </si>
  <si>
    <t>大唐电信</t>
  </si>
  <si>
    <t>数字芯片设计</t>
  </si>
  <si>
    <t>www.lixinger.com/analytics/company/sh/600198/600198/detail</t>
  </si>
  <si>
    <t>金种子酒</t>
  </si>
  <si>
    <t>www.lixinger.com/analytics/company/sh/600199/600199/detail</t>
  </si>
  <si>
    <t>江苏吴中</t>
  </si>
  <si>
    <t>www.lixinger.com/analytics/company/sh/600200/600200/detail</t>
  </si>
  <si>
    <t>生物股份</t>
  </si>
  <si>
    <t>www.lixinger.com/analytics/company/sh/600201/600201/detail</t>
  </si>
  <si>
    <t>哈空调</t>
  </si>
  <si>
    <t>火电设备</t>
  </si>
  <si>
    <t>www.lixinger.com/analytics/company/sh/600202/600202/detail</t>
  </si>
  <si>
    <t>福日电子</t>
  </si>
  <si>
    <t>www.lixinger.com/analytics/company/sh/600203/600203/detail</t>
  </si>
  <si>
    <t>有研新材</t>
  </si>
  <si>
    <t>半导体材料</t>
  </si>
  <si>
    <t>www.lixinger.com/analytics/company/sh/600206/600206/detail</t>
  </si>
  <si>
    <t>安彩高科</t>
  </si>
  <si>
    <t>光伏辅材</t>
  </si>
  <si>
    <t>www.lixinger.com/analytics/company/sh/600207/600207/detail</t>
  </si>
  <si>
    <t>新湖中宝</t>
  </si>
  <si>
    <t>www.lixinger.com/analytics/company/sh/600208/600208/detail</t>
  </si>
  <si>
    <t>*ST罗顿</t>
  </si>
  <si>
    <t>www.lixinger.com/analytics/company/sh/600209/600209/detail</t>
  </si>
  <si>
    <t>紫江企业</t>
  </si>
  <si>
    <t>塑料包装</t>
  </si>
  <si>
    <t>www.lixinger.com/analytics/company/sh/600210/600210/detail</t>
  </si>
  <si>
    <t>西藏药业</t>
  </si>
  <si>
    <t>www.lixinger.com/analytics/company/sh/600211/600211/detail</t>
  </si>
  <si>
    <t>江泉实业</t>
  </si>
  <si>
    <t>www.lixinger.com/analytics/company/sh/600212/600212/detail</t>
  </si>
  <si>
    <t>亚星客车</t>
  </si>
  <si>
    <t>www.lixinger.com/analytics/company/sh/600213/600213/detail</t>
  </si>
  <si>
    <t>派斯林</t>
  </si>
  <si>
    <t>www.lixinger.com/analytics/company/sh/600215/600215/detail</t>
  </si>
  <si>
    <t>浙江医药</t>
  </si>
  <si>
    <t>原料药</t>
  </si>
  <si>
    <t>www.lixinger.com/analytics/company/sh/600216/600216/detail</t>
  </si>
  <si>
    <t>中再资环</t>
  </si>
  <si>
    <t>固废治理</t>
  </si>
  <si>
    <t>www.lixinger.com/analytics/company/sh/600217/600217/detail</t>
  </si>
  <si>
    <t>全柴动力</t>
  </si>
  <si>
    <t>www.lixinger.com/analytics/company/sh/600218/600218/detail</t>
  </si>
  <si>
    <t>南山铝业</t>
  </si>
  <si>
    <t>铝</t>
  </si>
  <si>
    <t>www.lixinger.com/analytics/company/sh/600219/600219/detail</t>
  </si>
  <si>
    <t>江苏阳光</t>
  </si>
  <si>
    <t>www.lixinger.com/analytics/company/sh/600220/600220/detail</t>
  </si>
  <si>
    <t>*ST海航</t>
  </si>
  <si>
    <t>www.lixinger.com/analytics/company/sh/600221/600221/detail</t>
  </si>
  <si>
    <t>太龙药业</t>
  </si>
  <si>
    <t>www.lixinger.com/analytics/company/sh/600222/600222/detail</t>
  </si>
  <si>
    <t>鲁商发展</t>
  </si>
  <si>
    <t>www.lixinger.com/analytics/company/sh/600223/600223/detail</t>
  </si>
  <si>
    <t>*ST松江</t>
  </si>
  <si>
    <t>www.lixinger.com/analytics/company/sh/600225/600225/detail</t>
  </si>
  <si>
    <t>ST瀚叶</t>
  </si>
  <si>
    <t>游戏</t>
  </si>
  <si>
    <t>www.lixinger.com/analytics/company/sh/600226/600226/detail</t>
  </si>
  <si>
    <t>圣济堂</t>
  </si>
  <si>
    <t>www.lixinger.com/analytics/company/sh/600227/600227/detail</t>
  </si>
  <si>
    <t>返利科技</t>
  </si>
  <si>
    <t>门户网站</t>
  </si>
  <si>
    <t>www.lixinger.com/analytics/company/sh/600228/600228/detail</t>
  </si>
  <si>
    <t>城市传媒</t>
  </si>
  <si>
    <t>大众出版</t>
  </si>
  <si>
    <t>www.lixinger.com/analytics/company/sh/600229/600229/detail</t>
  </si>
  <si>
    <t>沧州大化</t>
  </si>
  <si>
    <t>聚氨酯</t>
  </si>
  <si>
    <t>www.lixinger.com/analytics/company/sh/600230/600230/detail</t>
  </si>
  <si>
    <t>凌钢股份</t>
  </si>
  <si>
    <t>长材</t>
  </si>
  <si>
    <t>www.lixinger.com/analytics/company/sh/600231/600231/detail</t>
  </si>
  <si>
    <t>金鹰股份</t>
  </si>
  <si>
    <t>纺织服装设备</t>
  </si>
  <si>
    <t>www.lixinger.com/analytics/company/sh/600232/600232/detail</t>
  </si>
  <si>
    <t>圆通速递</t>
  </si>
  <si>
    <t>快递</t>
  </si>
  <si>
    <t>www.lixinger.com/analytics/company/sh/600233/600233/detail</t>
  </si>
  <si>
    <t>科新发展</t>
  </si>
  <si>
    <t>www.lixinger.com/analytics/company/sh/600234/600234/detail</t>
  </si>
  <si>
    <t>民丰特纸</t>
  </si>
  <si>
    <t>www.lixinger.com/analytics/company/sh/600235/600235/detail</t>
  </si>
  <si>
    <t>桂冠电力</t>
  </si>
  <si>
    <t>www.lixinger.com/analytics/company/sh/600236/600236/detail</t>
  </si>
  <si>
    <t>铜峰电子</t>
  </si>
  <si>
    <t>被动元件</t>
  </si>
  <si>
    <t>www.lixinger.com/analytics/company/sh/600237/600237/detail</t>
  </si>
  <si>
    <t>海南椰岛</t>
  </si>
  <si>
    <t>www.lixinger.com/analytics/company/sh/600238/600238/detail</t>
  </si>
  <si>
    <t>*ST云城</t>
  </si>
  <si>
    <t>www.lixinger.com/analytics/company/sh/600239/600239/detail</t>
  </si>
  <si>
    <t>退市华业</t>
  </si>
  <si>
    <t>www.lixinger.com/analytics/company/sh/600240/600240/detail</t>
  </si>
  <si>
    <t>ST时万</t>
  </si>
  <si>
    <t>蓄电池及其他电池</t>
  </si>
  <si>
    <t>www.lixinger.com/analytics/company/sh/600241/600241/detail</t>
  </si>
  <si>
    <t>ST中昌</t>
  </si>
  <si>
    <t>www.lixinger.com/analytics/company/sh/600242/600242/detail</t>
  </si>
  <si>
    <t>青海华鼎</t>
  </si>
  <si>
    <t>其他通用设备</t>
  </si>
  <si>
    <t>www.lixinger.com/analytics/company/sh/600243/600243/detail</t>
  </si>
  <si>
    <t>万通发展</t>
  </si>
  <si>
    <t>www.lixinger.com/analytics/company/sh/600246/600246/detail</t>
  </si>
  <si>
    <t>*ST成城</t>
  </si>
  <si>
    <t>www.lixinger.com/analytics/company/sh/600247/600247/detail</t>
  </si>
  <si>
    <t>陕西建工</t>
  </si>
  <si>
    <t>www.lixinger.com/analytics/company/sh/600248/600248/detail</t>
  </si>
  <si>
    <t>两面针</t>
  </si>
  <si>
    <t>洗护用品</t>
  </si>
  <si>
    <t>www.lixinger.com/analytics/company/sh/600249/600249/detail</t>
  </si>
  <si>
    <t>南纺股份</t>
  </si>
  <si>
    <t>www.lixinger.com/analytics/company/sh/600250/600250/detail</t>
  </si>
  <si>
    <t>冠农股份</t>
  </si>
  <si>
    <t>果蔬加工</t>
  </si>
  <si>
    <t>www.lixinger.com/analytics/company/sh/600251/600251/detail</t>
  </si>
  <si>
    <t>中恒集团</t>
  </si>
  <si>
    <t>www.lixinger.com/analytics/company/sh/600252/600252/detail</t>
  </si>
  <si>
    <t>天方药业</t>
  </si>
  <si>
    <t>www.lixinger.com/analytics/company/sh/600253/600253/detail</t>
  </si>
  <si>
    <t>鑫科材料</t>
  </si>
  <si>
    <t>其他金属新材料</t>
  </si>
  <si>
    <t>www.lixinger.com/analytics/company/sh/600255/600255/detail</t>
  </si>
  <si>
    <t>广汇能源</t>
  </si>
  <si>
    <t>油品石化贸易</t>
  </si>
  <si>
    <t>www.lixinger.com/analytics/company/sh/600256/600256/detail</t>
  </si>
  <si>
    <t>大湖股份</t>
  </si>
  <si>
    <t>水产养殖</t>
  </si>
  <si>
    <t>www.lixinger.com/analytics/company/sh/600257/600257/detail</t>
  </si>
  <si>
    <t>首旅酒店</t>
  </si>
  <si>
    <t>酒店</t>
  </si>
  <si>
    <t>www.lixinger.com/analytics/company/sh/600258/600258/detail</t>
  </si>
  <si>
    <t>广晟有色</t>
  </si>
  <si>
    <t>www.lixinger.com/analytics/company/sh/600259/600259/detail</t>
  </si>
  <si>
    <t>ST凯乐</t>
  </si>
  <si>
    <t>其他通信设备</t>
  </si>
  <si>
    <t>www.lixinger.com/analytics/company/sh/600260/600260/detail</t>
  </si>
  <si>
    <t>阳光照明</t>
  </si>
  <si>
    <t>照明设备</t>
  </si>
  <si>
    <t>www.lixinger.com/analytics/company/sh/600261/600261/detail</t>
  </si>
  <si>
    <t>北方股份</t>
  </si>
  <si>
    <t>www.lixinger.com/analytics/company/sh/600262/600262/detail</t>
  </si>
  <si>
    <t>*ST景谷</t>
  </si>
  <si>
    <t>林业</t>
  </si>
  <si>
    <t>www.lixinger.com/analytics/company/sh/600265/600265/detail</t>
  </si>
  <si>
    <t>城建发展</t>
  </si>
  <si>
    <t>www.lixinger.com/analytics/company/sh/600266/600266/detail</t>
  </si>
  <si>
    <t>海正药业</t>
  </si>
  <si>
    <t>www.lixinger.com/analytics/company/sh/600267/600267/detail</t>
  </si>
  <si>
    <t>国电南自</t>
  </si>
  <si>
    <t>电网自动化设备</t>
  </si>
  <si>
    <t>www.lixinger.com/analytics/company/sh/600268/600268/detail</t>
  </si>
  <si>
    <t>赣粤高速</t>
  </si>
  <si>
    <t>www.lixinger.com/analytics/company/sh/600269/600269/detail</t>
  </si>
  <si>
    <t>外运发展</t>
  </si>
  <si>
    <t>www.lixinger.com/analytics/company/sh/600270/600270/detail</t>
  </si>
  <si>
    <t>航天信息</t>
  </si>
  <si>
    <t>www.lixinger.com/analytics/company/sh/600271/600271/detail</t>
  </si>
  <si>
    <t>开开实业</t>
  </si>
  <si>
    <t>www.lixinger.com/analytics/company/sh/600272/600272/detail</t>
  </si>
  <si>
    <t>嘉化能源</t>
  </si>
  <si>
    <t>www.lixinger.com/analytics/company/sh/600273/600273/detail</t>
  </si>
  <si>
    <t>*ST昌鱼</t>
  </si>
  <si>
    <t>www.lixinger.com/analytics/company/sh/600275/600275/detail</t>
  </si>
  <si>
    <t>恒瑞医药</t>
  </si>
  <si>
    <t>www.lixinger.com/analytics/company/sh/600276/600276/detail</t>
  </si>
  <si>
    <t>亿利洁能</t>
  </si>
  <si>
    <t>www.lixinger.com/analytics/company/sh/600277/600277/detail</t>
  </si>
  <si>
    <t>东方创业</t>
  </si>
  <si>
    <t>www.lixinger.com/analytics/company/sh/600278/600278/detail</t>
  </si>
  <si>
    <t>重庆港</t>
  </si>
  <si>
    <t>www.lixinger.com/analytics/company/sh/600279/600279/detail</t>
  </si>
  <si>
    <t>中央商场</t>
  </si>
  <si>
    <t>百货</t>
  </si>
  <si>
    <t>www.lixinger.com/analytics/company/sh/600280/600280/detail</t>
  </si>
  <si>
    <t>华阳新材</t>
  </si>
  <si>
    <t>其他小金属</t>
  </si>
  <si>
    <t>www.lixinger.com/analytics/company/sh/600281/600281/detail</t>
  </si>
  <si>
    <t>南钢股份</t>
  </si>
  <si>
    <t>www.lixinger.com/analytics/company/sh/600282/600282/detail</t>
  </si>
  <si>
    <t>钱江水利</t>
  </si>
  <si>
    <t>www.lixinger.com/analytics/company/sh/600283/600283/detail</t>
  </si>
  <si>
    <t>浦东建设</t>
  </si>
  <si>
    <t>www.lixinger.com/analytics/company/sh/600284/600284/detail</t>
  </si>
  <si>
    <t>羚锐制药</t>
  </si>
  <si>
    <t>www.lixinger.com/analytics/company/sh/600285/600285/detail</t>
  </si>
  <si>
    <t>S*ST国瓷</t>
  </si>
  <si>
    <t>www.lixinger.com/analytics/company/sh/600286/600286/detail</t>
  </si>
  <si>
    <t>江苏舜天</t>
  </si>
  <si>
    <t>www.lixinger.com/analytics/company/sh/600287/600287/detail</t>
  </si>
  <si>
    <t>大恒科技</t>
  </si>
  <si>
    <t>其他电子</t>
  </si>
  <si>
    <t>www.lixinger.com/analytics/company/sh/600288/600288/detail</t>
  </si>
  <si>
    <t>ST信通</t>
  </si>
  <si>
    <t>通信工程及服务</t>
  </si>
  <si>
    <t>www.lixinger.com/analytics/company/sh/600289/600289/detail</t>
  </si>
  <si>
    <t>ST华仪</t>
  </si>
  <si>
    <t>配电设备</t>
  </si>
  <si>
    <t>www.lixinger.com/analytics/company/sh/600290/600290/detail</t>
  </si>
  <si>
    <t>*ST西水</t>
  </si>
  <si>
    <t>保险</t>
  </si>
  <si>
    <t>www.lixinger.com/analytics/company/sh/600291/600291/detail</t>
  </si>
  <si>
    <t>远达环保</t>
  </si>
  <si>
    <t>大气治理</t>
  </si>
  <si>
    <t>www.lixinger.com/analytics/company/sh/600292/600292/detail</t>
  </si>
  <si>
    <t>三峡新材</t>
  </si>
  <si>
    <t>玻璃制造</t>
  </si>
  <si>
    <t>www.lixinger.com/analytics/company/sh/600293/600293/detail</t>
  </si>
  <si>
    <t>鄂尔多斯</t>
  </si>
  <si>
    <t>冶钢辅料</t>
  </si>
  <si>
    <t>www.lixinger.com/analytics/company/sh/600295/600295/detail</t>
  </si>
  <si>
    <t>广汇汽车</t>
  </si>
  <si>
    <t>汽车经销商</t>
  </si>
  <si>
    <t>www.lixinger.com/analytics/company/sh/600297/600297/detail</t>
  </si>
  <si>
    <t>安琪酵母</t>
  </si>
  <si>
    <t>www.lixinger.com/analytics/company/sh/600298/600298/detail</t>
  </si>
  <si>
    <t>安迪苏</t>
  </si>
  <si>
    <t>食品及饲料添加剂</t>
  </si>
  <si>
    <t>www.lixinger.com/analytics/company/sh/600299/600299/detail</t>
  </si>
  <si>
    <t>维维股份</t>
  </si>
  <si>
    <t>www.lixinger.com/analytics/company/sh/600300/600300/detail</t>
  </si>
  <si>
    <t>*ST南化</t>
  </si>
  <si>
    <t>www.lixinger.com/analytics/company/sh/600301/600301/detail</t>
  </si>
  <si>
    <t>标准股份</t>
  </si>
  <si>
    <t>www.lixinger.com/analytics/company/sh/600302/600302/detail</t>
  </si>
  <si>
    <t>曙光股份</t>
  </si>
  <si>
    <t>www.lixinger.com/analytics/company/sh/600303/600303/detail</t>
  </si>
  <si>
    <t>恒顺醋业</t>
  </si>
  <si>
    <t>www.lixinger.com/analytics/company/sh/600305/600305/detail</t>
  </si>
  <si>
    <t>ST商城</t>
  </si>
  <si>
    <t>www.lixinger.com/analytics/company/sh/600306/600306/detail</t>
  </si>
  <si>
    <t>酒钢宏兴</t>
  </si>
  <si>
    <t>www.lixinger.com/analytics/company/sh/600307/600307/detail</t>
  </si>
  <si>
    <t>华泰股份</t>
  </si>
  <si>
    <t>大宗用纸</t>
  </si>
  <si>
    <t>www.lixinger.com/analytics/company/sh/600308/600308/detail</t>
  </si>
  <si>
    <t>万华化学</t>
  </si>
  <si>
    <t>www.lixinger.com/analytics/company/sh/600309/600309/detail</t>
  </si>
  <si>
    <t>桂东电力</t>
  </si>
  <si>
    <t>www.lixinger.com/analytics/company/sh/600310/600310/detail</t>
  </si>
  <si>
    <t>ST荣华</t>
  </si>
  <si>
    <t>黄金</t>
  </si>
  <si>
    <t>www.lixinger.com/analytics/company/sh/600311/600311/detail</t>
  </si>
  <si>
    <t>平高电气</t>
  </si>
  <si>
    <t>www.lixinger.com/analytics/company/sh/600312/600312/detail</t>
  </si>
  <si>
    <t>农发种业</t>
  </si>
  <si>
    <t>种子</t>
  </si>
  <si>
    <t>www.lixinger.com/analytics/company/sh/600313/600313/detail</t>
  </si>
  <si>
    <t>上海家化</t>
  </si>
  <si>
    <t>品牌化妆品</t>
  </si>
  <si>
    <t>www.lixinger.com/analytics/company/sh/600315/600315/detail</t>
  </si>
  <si>
    <t>洪都航空</t>
  </si>
  <si>
    <t>www.lixinger.com/analytics/company/sh/600316/600316/detail</t>
  </si>
  <si>
    <t>营口港</t>
  </si>
  <si>
    <t>www.lixinger.com/analytics/company/sh/600317/600317/detail</t>
  </si>
  <si>
    <t>新力金融</t>
  </si>
  <si>
    <t>www.lixinger.com/analytics/company/sh/600318/600318/detail</t>
  </si>
  <si>
    <t>*ST亚星</t>
  </si>
  <si>
    <t>www.lixinger.com/analytics/company/sh/600319/600319/detail</t>
  </si>
  <si>
    <t>振华重工</t>
  </si>
  <si>
    <t>www.lixinger.com/analytics/company/sh/600320/600320/detail</t>
  </si>
  <si>
    <t>正源股份</t>
  </si>
  <si>
    <t>其他建材</t>
  </si>
  <si>
    <t>www.lixinger.com/analytics/company/sh/600321/600321/detail</t>
  </si>
  <si>
    <t>天房发展</t>
  </si>
  <si>
    <t>www.lixinger.com/analytics/company/sh/600322/600322/detail</t>
  </si>
  <si>
    <t>瀚蓝环境</t>
  </si>
  <si>
    <t>www.lixinger.com/analytics/company/sh/600323/600323/detail</t>
  </si>
  <si>
    <t>华发股份</t>
  </si>
  <si>
    <t>www.lixinger.com/analytics/company/sh/600325/600325/detail</t>
  </si>
  <si>
    <t>西藏天路</t>
  </si>
  <si>
    <t>水泥制造</t>
  </si>
  <si>
    <t>www.lixinger.com/analytics/company/sh/600326/600326/detail</t>
  </si>
  <si>
    <t>大东方</t>
  </si>
  <si>
    <t>www.lixinger.com/analytics/company/sh/600327/600327/detail</t>
  </si>
  <si>
    <t>中盐化工</t>
  </si>
  <si>
    <t>无机盐</t>
  </si>
  <si>
    <t>www.lixinger.com/analytics/company/sh/600328/600328/detail</t>
  </si>
  <si>
    <t>中新药业</t>
  </si>
  <si>
    <t>www.lixinger.com/analytics/company/sh/600329/600329/detail</t>
  </si>
  <si>
    <t>天通股份</t>
  </si>
  <si>
    <t>其他专用设备</t>
  </si>
  <si>
    <t>www.lixinger.com/analytics/company/sh/600330/600330/detail</t>
  </si>
  <si>
    <t>宏达股份</t>
  </si>
  <si>
    <t>铅锌</t>
  </si>
  <si>
    <t>www.lixinger.com/analytics/company/sh/600331/600331/detail</t>
  </si>
  <si>
    <t>白云山</t>
  </si>
  <si>
    <t>www.lixinger.com/analytics/company/sh/600332/600332/detail</t>
  </si>
  <si>
    <t>长春燃气</t>
  </si>
  <si>
    <t>燃气</t>
  </si>
  <si>
    <t>www.lixinger.com/analytics/company/sh/600333/600333/detail</t>
  </si>
  <si>
    <t>国机汽车</t>
  </si>
  <si>
    <t>www.lixinger.com/analytics/company/sh/600335/600335/detail</t>
  </si>
  <si>
    <t>澳柯玛</t>
  </si>
  <si>
    <t>冰洗</t>
  </si>
  <si>
    <t>www.lixinger.com/analytics/company/sh/600336/600336/detail</t>
  </si>
  <si>
    <t>美克家居</t>
  </si>
  <si>
    <t>成品家居</t>
  </si>
  <si>
    <t>www.lixinger.com/analytics/company/sh/600337/600337/detail</t>
  </si>
  <si>
    <t>西藏珠峰</t>
  </si>
  <si>
    <t>www.lixinger.com/analytics/company/sh/600338/600338/detail</t>
  </si>
  <si>
    <t>中油工程</t>
  </si>
  <si>
    <t>油气及炼化工程</t>
  </si>
  <si>
    <t>www.lixinger.com/analytics/company/sh/600339/600339/detail</t>
  </si>
  <si>
    <t>华夏幸福</t>
  </si>
  <si>
    <t>www.lixinger.com/analytics/company/sh/600340/600340/detail</t>
  </si>
  <si>
    <t>航天动力</t>
  </si>
  <si>
    <t>www.lixinger.com/analytics/company/sh/600343/600343/detail</t>
  </si>
  <si>
    <t>长江通信</t>
  </si>
  <si>
    <t>www.lixinger.com/analytics/company/sh/600345/600345/detail</t>
  </si>
  <si>
    <t>恒力石化</t>
  </si>
  <si>
    <t>www.lixinger.com/analytics/company/sh/600346/600346/detail</t>
  </si>
  <si>
    <t>华阳股份</t>
  </si>
  <si>
    <t>www.lixinger.com/analytics/company/sh/600348/600348/detail</t>
  </si>
  <si>
    <t>山东高速</t>
  </si>
  <si>
    <t>www.lixinger.com/analytics/company/sh/600350/600350/detail</t>
  </si>
  <si>
    <t>亚宝药业</t>
  </si>
  <si>
    <t>www.lixinger.com/analytics/company/sh/600351/600351/detail</t>
  </si>
  <si>
    <t>浙江龙盛</t>
  </si>
  <si>
    <t>纺织化学制品</t>
  </si>
  <si>
    <t>www.lixinger.com/analytics/company/sh/600352/600352/detail</t>
  </si>
  <si>
    <t>旭光电子</t>
  </si>
  <si>
    <t>www.lixinger.com/analytics/company/sh/600353/600353/detail</t>
  </si>
  <si>
    <t>敦煌种业</t>
  </si>
  <si>
    <t>www.lixinger.com/analytics/company/sh/600354/600354/detail</t>
  </si>
  <si>
    <t>精伦电子</t>
  </si>
  <si>
    <t>通信终端及配件</t>
  </si>
  <si>
    <t>www.lixinger.com/analytics/company/sh/600355/600355/detail</t>
  </si>
  <si>
    <t>恒丰纸业</t>
  </si>
  <si>
    <t>www.lixinger.com/analytics/company/sh/600356/600356/detail</t>
  </si>
  <si>
    <t>国旅联合</t>
  </si>
  <si>
    <t>www.lixinger.com/analytics/company/sh/600358/600358/detail</t>
  </si>
  <si>
    <t>新农开发</t>
  </si>
  <si>
    <t>www.lixinger.com/analytics/company/sh/600359/600359/detail</t>
  </si>
  <si>
    <t>华微电子</t>
  </si>
  <si>
    <t>分立器件</t>
  </si>
  <si>
    <t>www.lixinger.com/analytics/company/sh/600360/600360/detail</t>
  </si>
  <si>
    <t>华联综超</t>
  </si>
  <si>
    <t>超市</t>
  </si>
  <si>
    <t>www.lixinger.com/analytics/company/sh/600361/600361/detail</t>
  </si>
  <si>
    <t>江西铜业</t>
  </si>
  <si>
    <t>www.lixinger.com/analytics/company/sh/600362/600362/detail</t>
  </si>
  <si>
    <t>联创光电</t>
  </si>
  <si>
    <t>LED</t>
  </si>
  <si>
    <t>www.lixinger.com/analytics/company/sh/600363/600363/detail</t>
  </si>
  <si>
    <t>ST通葡</t>
  </si>
  <si>
    <t>www.lixinger.com/analytics/company/sh/600365/600365/detail</t>
  </si>
  <si>
    <t>宁波韵升</t>
  </si>
  <si>
    <t>磁性材料</t>
  </si>
  <si>
    <t>www.lixinger.com/analytics/company/sh/600366/600366/detail</t>
  </si>
  <si>
    <t>红星发展</t>
  </si>
  <si>
    <t>www.lixinger.com/analytics/company/sh/600367/600367/detail</t>
  </si>
  <si>
    <t>五洲交通</t>
  </si>
  <si>
    <t>www.lixinger.com/analytics/company/sh/600368/600368/detail</t>
  </si>
  <si>
    <t>西南证券</t>
  </si>
  <si>
    <t>www.lixinger.com/analytics/company/sh/600369/600369/detail</t>
  </si>
  <si>
    <t>三房巷</t>
  </si>
  <si>
    <t>印染</t>
  </si>
  <si>
    <t>www.lixinger.com/analytics/company/sh/600370/600370/detail</t>
  </si>
  <si>
    <t>万向德农</t>
  </si>
  <si>
    <t>www.lixinger.com/analytics/company/sh/600371/600371/detail</t>
  </si>
  <si>
    <t>中航电子</t>
  </si>
  <si>
    <t>www.lixinger.com/analytics/company/sh/600372/600372/detail</t>
  </si>
  <si>
    <t>中文传媒</t>
  </si>
  <si>
    <t>www.lixinger.com/analytics/company/sh/600373/600373/detail</t>
  </si>
  <si>
    <t>汉马科技</t>
  </si>
  <si>
    <t>www.lixinger.com/analytics/company/sh/600375/600375/detail</t>
  </si>
  <si>
    <t>首开股份</t>
  </si>
  <si>
    <t>www.lixinger.com/analytics/company/sh/600376/600376/detail</t>
  </si>
  <si>
    <t>宁沪高速</t>
  </si>
  <si>
    <t>www.lixinger.com/analytics/company/sh/600377/600377/detail</t>
  </si>
  <si>
    <t>昊华科技</t>
  </si>
  <si>
    <t>www.lixinger.com/analytics/company/sh/600378/600378/detail</t>
  </si>
  <si>
    <t>宝光股份</t>
  </si>
  <si>
    <t>www.lixinger.com/analytics/company/sh/600379/600379/detail</t>
  </si>
  <si>
    <t>健康元</t>
  </si>
  <si>
    <t>www.lixinger.com/analytics/company/sh/600380/600380/detail</t>
  </si>
  <si>
    <t>青海春天</t>
  </si>
  <si>
    <t>保健品</t>
  </si>
  <si>
    <t>www.lixinger.com/analytics/company/sh/600381/600381/detail</t>
  </si>
  <si>
    <t>*ST广珠</t>
  </si>
  <si>
    <t>www.lixinger.com/analytics/company/sh/600382/600382/detail</t>
  </si>
  <si>
    <t>金地集团</t>
  </si>
  <si>
    <t>www.lixinger.com/analytics/company/sh/600383/600383/detail</t>
  </si>
  <si>
    <t>*ST金泰</t>
  </si>
  <si>
    <t>www.lixinger.com/analytics/company/sh/600385/600385/detail</t>
  </si>
  <si>
    <t>北巴传媒</t>
  </si>
  <si>
    <t>www.lixinger.com/analytics/company/sh/600386/600386/detail</t>
  </si>
  <si>
    <t>ST海越</t>
  </si>
  <si>
    <t>www.lixinger.com/analytics/company/sh/600387/600387/detail</t>
  </si>
  <si>
    <t>龙净环保</t>
  </si>
  <si>
    <t>www.lixinger.com/analytics/company/sh/600388/600388/detail</t>
  </si>
  <si>
    <t>江山股份</t>
  </si>
  <si>
    <t>农药</t>
  </si>
  <si>
    <t>www.lixinger.com/analytics/company/sh/600389/600389/detail</t>
  </si>
  <si>
    <t>五矿资本</t>
  </si>
  <si>
    <t>www.lixinger.com/analytics/company/sh/600390/600390/detail</t>
  </si>
  <si>
    <t>航发科技</t>
  </si>
  <si>
    <t>www.lixinger.com/analytics/company/sh/600391/600391/detail</t>
  </si>
  <si>
    <t>盛和资源</t>
  </si>
  <si>
    <t>www.lixinger.com/analytics/company/sh/600392/600392/detail</t>
  </si>
  <si>
    <t>ST粤泰</t>
  </si>
  <si>
    <t>www.lixinger.com/analytics/company/sh/600393/600393/detail</t>
  </si>
  <si>
    <t>盘江股份</t>
  </si>
  <si>
    <t>www.lixinger.com/analytics/company/sh/600395/600395/detail</t>
  </si>
  <si>
    <t>金山股份</t>
  </si>
  <si>
    <t>www.lixinger.com/analytics/company/sh/600396/600396/detail</t>
  </si>
  <si>
    <t>安源煤业</t>
  </si>
  <si>
    <t>www.lixinger.com/analytics/company/sh/600397/600397/detail</t>
  </si>
  <si>
    <t>海澜之家</t>
  </si>
  <si>
    <t>www.lixinger.com/analytics/company/sh/600398/600398/detail</t>
  </si>
  <si>
    <t>抚顺特钢</t>
  </si>
  <si>
    <t>www.lixinger.com/analytics/company/sh/600399/600399/detail</t>
  </si>
  <si>
    <t>红豆股份</t>
  </si>
  <si>
    <t>www.lixinger.com/analytics/company/sh/600400/600400/detail</t>
  </si>
  <si>
    <t>退市海润</t>
  </si>
  <si>
    <t>www.lixinger.com/analytics/company/sh/600401/600401/detail</t>
  </si>
  <si>
    <t>大有能源</t>
  </si>
  <si>
    <t>www.lixinger.com/analytics/company/sh/600403/600403/detail</t>
  </si>
  <si>
    <t>动力源</t>
  </si>
  <si>
    <t>其他电源设备</t>
  </si>
  <si>
    <t>www.lixinger.com/analytics/company/sh/600405/600405/detail</t>
  </si>
  <si>
    <t>国电南瑞</t>
  </si>
  <si>
    <t>www.lixinger.com/analytics/company/sh/600406/600406/detail</t>
  </si>
  <si>
    <t>ST安泰</t>
  </si>
  <si>
    <t>焦炭</t>
  </si>
  <si>
    <t>www.lixinger.com/analytics/company/sh/600408/600408/detail</t>
  </si>
  <si>
    <t>三友化工</t>
  </si>
  <si>
    <t>粘胶</t>
  </si>
  <si>
    <t>www.lixinger.com/analytics/company/sh/600409/600409/detail</t>
  </si>
  <si>
    <t>华胜天成</t>
  </si>
  <si>
    <t>www.lixinger.com/analytics/company/sh/600410/600410/detail</t>
  </si>
  <si>
    <t>小商品城</t>
  </si>
  <si>
    <t>www.lixinger.com/analytics/company/sh/600415/600415/detail</t>
  </si>
  <si>
    <t>湘电股份</t>
  </si>
  <si>
    <t>风电整机</t>
  </si>
  <si>
    <t>www.lixinger.com/analytics/company/sh/600416/600416/detail</t>
  </si>
  <si>
    <t>江淮汽车</t>
  </si>
  <si>
    <t>www.lixinger.com/analytics/company/sh/600418/600418/detail</t>
  </si>
  <si>
    <t>天润乳业</t>
  </si>
  <si>
    <t>乳品</t>
  </si>
  <si>
    <t>www.lixinger.com/analytics/company/sh/600419/600419/detail</t>
  </si>
  <si>
    <t>国药现代</t>
  </si>
  <si>
    <t>www.lixinger.com/analytics/company/sh/600420/600420/detail</t>
  </si>
  <si>
    <t>华嵘控股</t>
  </si>
  <si>
    <t>www.lixinger.com/analytics/company/sh/600421/600421/detail</t>
  </si>
  <si>
    <t>昆药集团</t>
  </si>
  <si>
    <t>www.lixinger.com/analytics/company/sh/600422/600422/detail</t>
  </si>
  <si>
    <t>柳化股份</t>
  </si>
  <si>
    <t>氮肥</t>
  </si>
  <si>
    <t>www.lixinger.com/analytics/company/sh/600423/600423/detail</t>
  </si>
  <si>
    <t>青松建化</t>
  </si>
  <si>
    <t>www.lixinger.com/analytics/company/sh/600425/600425/detail</t>
  </si>
  <si>
    <t>华鲁恒升</t>
  </si>
  <si>
    <t>煤化工</t>
  </si>
  <si>
    <t>www.lixinger.com/analytics/company/sh/600426/600426/detail</t>
  </si>
  <si>
    <t>中远海特</t>
  </si>
  <si>
    <t>www.lixinger.com/analytics/company/sh/600428/600428/detail</t>
  </si>
  <si>
    <t>三元股份</t>
  </si>
  <si>
    <t>www.lixinger.com/analytics/company/sh/600429/600429/detail</t>
  </si>
  <si>
    <t>退市吉恩</t>
  </si>
  <si>
    <t>www.lixinger.com/analytics/company/sh/600432/600432/detail</t>
  </si>
  <si>
    <t>冠豪高新</t>
  </si>
  <si>
    <t>www.lixinger.com/analytics/company/sh/600433/600433/detail</t>
  </si>
  <si>
    <t>北方导航</t>
  </si>
  <si>
    <t>www.lixinger.com/analytics/company/sh/600435/600435/detail</t>
  </si>
  <si>
    <t>片仔癀</t>
  </si>
  <si>
    <t>www.lixinger.com/analytics/company/sh/600436/600436/detail</t>
  </si>
  <si>
    <t>通威股份</t>
  </si>
  <si>
    <t>硅料硅片</t>
  </si>
  <si>
    <t>www.lixinger.com/analytics/company/sh/600438/600438/detail</t>
  </si>
  <si>
    <t>瑞贝卡</t>
  </si>
  <si>
    <t>其他饰品</t>
  </si>
  <si>
    <t>www.lixinger.com/analytics/company/sh/600439/600439/detail</t>
  </si>
  <si>
    <t>国机通用</t>
  </si>
  <si>
    <t>www.lixinger.com/analytics/company/sh/600444/600444/detail</t>
  </si>
  <si>
    <t>金证股份</t>
  </si>
  <si>
    <t>www.lixinger.com/analytics/company/sh/600446/600446/detail</t>
  </si>
  <si>
    <t>华纺股份</t>
  </si>
  <si>
    <t>www.lixinger.com/analytics/company/sh/600448/600448/detail</t>
  </si>
  <si>
    <t>宁夏建材</t>
  </si>
  <si>
    <t>www.lixinger.com/analytics/company/sh/600449/600449/detail</t>
  </si>
  <si>
    <t>涪陵电力</t>
  </si>
  <si>
    <t>www.lixinger.com/analytics/company/sh/600452/600452/detail</t>
  </si>
  <si>
    <t>博通股份</t>
  </si>
  <si>
    <t>垂直应用软件</t>
  </si>
  <si>
    <t>www.lixinger.com/analytics/company/sh/600455/600455/detail</t>
  </si>
  <si>
    <t>宝钛股份</t>
  </si>
  <si>
    <t>www.lixinger.com/analytics/company/sh/600456/600456/detail</t>
  </si>
  <si>
    <t>时代新材</t>
  </si>
  <si>
    <t>风电零部件</t>
  </si>
  <si>
    <t>www.lixinger.com/analytics/company/sh/600458/600458/detail</t>
  </si>
  <si>
    <t>贵研铂业</t>
  </si>
  <si>
    <t>www.lixinger.com/analytics/company/sh/600459/600459/detail</t>
  </si>
  <si>
    <t>士兰微</t>
  </si>
  <si>
    <t>www.lixinger.com/analytics/company/sh/600460/600460/detail</t>
  </si>
  <si>
    <t>洪城环境</t>
  </si>
  <si>
    <t>www.lixinger.com/analytics/company/sh/600461/600461/detail</t>
  </si>
  <si>
    <t>ST九有</t>
  </si>
  <si>
    <t>www.lixinger.com/analytics/company/sh/600462/600462/detail</t>
  </si>
  <si>
    <t>空港股份</t>
  </si>
  <si>
    <t>www.lixinger.com/analytics/company/sh/600463/600463/detail</t>
  </si>
  <si>
    <t>蓝光发展</t>
  </si>
  <si>
    <t>www.lixinger.com/analytics/company/sh/600466/600466/detail</t>
  </si>
  <si>
    <t>好当家</t>
  </si>
  <si>
    <t>www.lixinger.com/analytics/company/sh/600467/600467/detail</t>
  </si>
  <si>
    <t>百利电气</t>
  </si>
  <si>
    <t>www.lixinger.com/analytics/company/sh/600468/600468/detail</t>
  </si>
  <si>
    <t>风神股份</t>
  </si>
  <si>
    <t>www.lixinger.com/analytics/company/sh/600469/600469/detail</t>
  </si>
  <si>
    <t>六国化工</t>
  </si>
  <si>
    <t>www.lixinger.com/analytics/company/sh/600470/600470/detail</t>
  </si>
  <si>
    <t>华光环能</t>
  </si>
  <si>
    <t>综合电力设备商</t>
  </si>
  <si>
    <t>www.lixinger.com/analytics/company/sh/600475/600475/detail</t>
  </si>
  <si>
    <t>湘邮科技</t>
  </si>
  <si>
    <t>www.lixinger.com/analytics/company/sh/600476/600476/detail</t>
  </si>
  <si>
    <t>杭萧钢构</t>
  </si>
  <si>
    <t>钢结构</t>
  </si>
  <si>
    <t>www.lixinger.com/analytics/company/sh/600477/600477/detail</t>
  </si>
  <si>
    <t>科力远</t>
  </si>
  <si>
    <t>www.lixinger.com/analytics/company/sh/600478/600478/detail</t>
  </si>
  <si>
    <t>千金药业</t>
  </si>
  <si>
    <t>www.lixinger.com/analytics/company/sh/600479/600479/detail</t>
  </si>
  <si>
    <t>凌云股份</t>
  </si>
  <si>
    <t>其他汽车零部件</t>
  </si>
  <si>
    <t>www.lixinger.com/analytics/company/sh/600480/600480/detail</t>
  </si>
  <si>
    <t>双良节能</t>
  </si>
  <si>
    <t>制冷空调设备</t>
  </si>
  <si>
    <t>www.lixinger.com/analytics/company/sh/600481/600481/detail</t>
  </si>
  <si>
    <t>中国动力</t>
  </si>
  <si>
    <t>www.lixinger.com/analytics/company/sh/600482/600482/detail</t>
  </si>
  <si>
    <t>福能股份</t>
  </si>
  <si>
    <t>www.lixinger.com/analytics/company/sh/600483/600483/detail</t>
  </si>
  <si>
    <t>*ST信威</t>
  </si>
  <si>
    <t>www.lixinger.com/analytics/company/sh/600485/600485/detail</t>
  </si>
  <si>
    <t>扬农化工</t>
  </si>
  <si>
    <t>www.lixinger.com/analytics/company/sh/600486/600486/detail</t>
  </si>
  <si>
    <t>亨通光电</t>
  </si>
  <si>
    <t>www.lixinger.com/analytics/company/sh/600487/600487/detail</t>
  </si>
  <si>
    <t>天药股份</t>
  </si>
  <si>
    <t>www.lixinger.com/analytics/company/sh/600488/600488/detail</t>
  </si>
  <si>
    <t>中金黄金</t>
  </si>
  <si>
    <t>www.lixinger.com/analytics/company/sh/600489/600489/detail</t>
  </si>
  <si>
    <t>鹏欣资源</t>
  </si>
  <si>
    <t>www.lixinger.com/analytics/company/sh/600490/600490/detail</t>
  </si>
  <si>
    <t>龙元建设</t>
  </si>
  <si>
    <t>www.lixinger.com/analytics/company/sh/600491/600491/detail</t>
  </si>
  <si>
    <t>凤竹纺织</t>
  </si>
  <si>
    <t>棉纺</t>
  </si>
  <si>
    <t>www.lixinger.com/analytics/company/sh/600493/600493/detail</t>
  </si>
  <si>
    <t>晋西车轴</t>
  </si>
  <si>
    <t>轨交设备</t>
  </si>
  <si>
    <t>www.lixinger.com/analytics/company/sh/600495/600495/detail</t>
  </si>
  <si>
    <t>精工钢构</t>
  </si>
  <si>
    <t>www.lixinger.com/analytics/company/sh/600496/600496/detail</t>
  </si>
  <si>
    <t>驰宏锌锗</t>
  </si>
  <si>
    <t>www.lixinger.com/analytics/company/sh/600497/600497/detail</t>
  </si>
  <si>
    <t>烽火通信</t>
  </si>
  <si>
    <t>通信网络设备及器件</t>
  </si>
  <si>
    <t>www.lixinger.com/analytics/company/sh/600498/600498/detail</t>
  </si>
  <si>
    <t>科达制造</t>
  </si>
  <si>
    <t>www.lixinger.com/analytics/company/sh/600499/600499/detail</t>
  </si>
  <si>
    <t>中化国际</t>
  </si>
  <si>
    <t>www.lixinger.com/analytics/company/sh/600500/600500/detail</t>
  </si>
  <si>
    <t>航天晨光</t>
  </si>
  <si>
    <t>www.lixinger.com/analytics/company/sh/600501/600501/detail</t>
  </si>
  <si>
    <t>安徽建工</t>
  </si>
  <si>
    <t>www.lixinger.com/analytics/company/sh/600502/600502/detail</t>
  </si>
  <si>
    <t>华丽家族</t>
  </si>
  <si>
    <t>www.lixinger.com/analytics/company/sh/600503/600503/detail</t>
  </si>
  <si>
    <t>西昌电力</t>
  </si>
  <si>
    <t>www.lixinger.com/analytics/company/sh/600505/600505/detail</t>
  </si>
  <si>
    <t>*ST香梨</t>
  </si>
  <si>
    <t>www.lixinger.com/analytics/company/sh/600506/600506/detail</t>
  </si>
  <si>
    <t>方大特钢</t>
  </si>
  <si>
    <t>www.lixinger.com/analytics/company/sh/600507/600507/detail</t>
  </si>
  <si>
    <t>上海能源</t>
  </si>
  <si>
    <t>www.lixinger.com/analytics/company/sh/600508/600508/detail</t>
  </si>
  <si>
    <t>天富能源</t>
  </si>
  <si>
    <t>www.lixinger.com/analytics/company/sh/600509/600509/detail</t>
  </si>
  <si>
    <t>黑牡丹</t>
  </si>
  <si>
    <t>www.lixinger.com/analytics/company/sh/600510/600510/detail</t>
  </si>
  <si>
    <t>国药股份</t>
  </si>
  <si>
    <t>www.lixinger.com/analytics/company/sh/600511/600511/detail</t>
  </si>
  <si>
    <t>腾达建设</t>
  </si>
  <si>
    <t>www.lixinger.com/analytics/company/sh/600512/600512/detail</t>
  </si>
  <si>
    <t>联环药业</t>
  </si>
  <si>
    <t>www.lixinger.com/analytics/company/sh/600513/600513/detail</t>
  </si>
  <si>
    <t>*ST基础</t>
  </si>
  <si>
    <t>www.lixinger.com/analytics/company/sh/600515/600515/detail</t>
  </si>
  <si>
    <t>方大炭素</t>
  </si>
  <si>
    <t>www.lixinger.com/analytics/company/sh/600516/600516/detail</t>
  </si>
  <si>
    <t>国网英大</t>
  </si>
  <si>
    <t>www.lixinger.com/analytics/company/sh/600517/600517/detail</t>
  </si>
  <si>
    <t>*ST康美</t>
  </si>
  <si>
    <t>www.lixinger.com/analytics/company/sh/600518/600518/detail</t>
  </si>
  <si>
    <t>贵州茅台</t>
  </si>
  <si>
    <t>www.lixinger.com/analytics/company/sh/600519/600519/detail</t>
  </si>
  <si>
    <t>文一科技</t>
  </si>
  <si>
    <t>www.lixinger.com/analytics/company/sh/600520/600520/detail</t>
  </si>
  <si>
    <t>华海药业</t>
  </si>
  <si>
    <t>www.lixinger.com/analytics/company/sh/600521/600521/detail</t>
  </si>
  <si>
    <t>中天科技</t>
  </si>
  <si>
    <t>www.lixinger.com/analytics/company/sh/600522/600522/detail</t>
  </si>
  <si>
    <t>贵航股份</t>
  </si>
  <si>
    <t>www.lixinger.com/analytics/company/sh/600523/600523/detail</t>
  </si>
  <si>
    <t>长园集团</t>
  </si>
  <si>
    <t>www.lixinger.com/analytics/company/sh/600525/600525/detail</t>
  </si>
  <si>
    <t>菲达环保</t>
  </si>
  <si>
    <t>环保设备</t>
  </si>
  <si>
    <t>www.lixinger.com/analytics/company/sh/600526/600526/detail</t>
  </si>
  <si>
    <t>江南高纤</t>
  </si>
  <si>
    <t>www.lixinger.com/analytics/company/sh/600527/600527/detail</t>
  </si>
  <si>
    <t>中铁工业</t>
  </si>
  <si>
    <t>www.lixinger.com/analytics/company/sh/600528/600528/detail</t>
  </si>
  <si>
    <t>山东药玻</t>
  </si>
  <si>
    <t>医疗耗材</t>
  </si>
  <si>
    <t>www.lixinger.com/analytics/company/sh/600529/600529/detail</t>
  </si>
  <si>
    <t>交大昂立</t>
  </si>
  <si>
    <t>www.lixinger.com/analytics/company/sh/600530/600530/detail</t>
  </si>
  <si>
    <t>豫光金铅</t>
  </si>
  <si>
    <t>www.lixinger.com/analytics/company/sh/600531/600531/detail</t>
  </si>
  <si>
    <t>未来股份</t>
  </si>
  <si>
    <t>www.lixinger.com/analytics/company/sh/600532/600532/detail</t>
  </si>
  <si>
    <t>栖霞建设</t>
  </si>
  <si>
    <t>www.lixinger.com/analytics/company/sh/600533/600533/detail</t>
  </si>
  <si>
    <t>天士力</t>
  </si>
  <si>
    <t>www.lixinger.com/analytics/company/sh/600535/600535/detail</t>
  </si>
  <si>
    <t>中国软件</t>
  </si>
  <si>
    <t>www.lixinger.com/analytics/company/sh/600536/600536/detail</t>
  </si>
  <si>
    <t>亿晶光电</t>
  </si>
  <si>
    <t>www.lixinger.com/analytics/company/sh/600537/600537/detail</t>
  </si>
  <si>
    <t>国发股份</t>
  </si>
  <si>
    <t>www.lixinger.com/analytics/company/sh/600538/600538/detail</t>
  </si>
  <si>
    <t>狮头股份</t>
  </si>
  <si>
    <t>www.lixinger.com/analytics/company/sh/600539/600539/detail</t>
  </si>
  <si>
    <t>新赛股份</t>
  </si>
  <si>
    <t>www.lixinger.com/analytics/company/sh/600540/600540/detail</t>
  </si>
  <si>
    <t>莫高股份</t>
  </si>
  <si>
    <t>www.lixinger.com/analytics/company/sh/600543/600543/detail</t>
  </si>
  <si>
    <t>卓郎智能</t>
  </si>
  <si>
    <t>www.lixinger.com/analytics/company/sh/600545/600545/detail</t>
  </si>
  <si>
    <t>山煤国际</t>
  </si>
  <si>
    <t>www.lixinger.com/analytics/company/sh/600546/600546/detail</t>
  </si>
  <si>
    <t>山东黄金</t>
  </si>
  <si>
    <t>www.lixinger.com/analytics/company/sh/600547/600547/detail</t>
  </si>
  <si>
    <t>深高速</t>
  </si>
  <si>
    <t>www.lixinger.com/analytics/company/sh/600548/600548/detail</t>
  </si>
  <si>
    <t>厦门钨业</t>
  </si>
  <si>
    <t>钨</t>
  </si>
  <si>
    <t>www.lixinger.com/analytics/company/sh/600549/600549/detail</t>
  </si>
  <si>
    <t>保变电气</t>
  </si>
  <si>
    <t>www.lixinger.com/analytics/company/sh/600550/600550/detail</t>
  </si>
  <si>
    <t>时代出版</t>
  </si>
  <si>
    <t>www.lixinger.com/analytics/company/sh/600551/600551/detail</t>
  </si>
  <si>
    <t>凯盛科技</t>
  </si>
  <si>
    <t>面板</t>
  </si>
  <si>
    <t>www.lixinger.com/analytics/company/sh/600552/600552/detail</t>
  </si>
  <si>
    <t>*ST海创</t>
  </si>
  <si>
    <t>旅游综合</t>
  </si>
  <si>
    <t>www.lixinger.com/analytics/company/sh/600555/600555/detail</t>
  </si>
  <si>
    <t>天下秀</t>
  </si>
  <si>
    <t>www.lixinger.com/analytics/company/sh/600556/600556/detail</t>
  </si>
  <si>
    <t>康缘药业</t>
  </si>
  <si>
    <t>www.lixinger.com/analytics/company/sh/600557/600557/detail</t>
  </si>
  <si>
    <t>大西洋</t>
  </si>
  <si>
    <t>www.lixinger.com/analytics/company/sh/600558/600558/detail</t>
  </si>
  <si>
    <t>老白干酒</t>
  </si>
  <si>
    <t>www.lixinger.com/analytics/company/sh/600559/600559/detail</t>
  </si>
  <si>
    <t>金自天正</t>
  </si>
  <si>
    <t>www.lixinger.com/analytics/company/sh/600560/600560/detail</t>
  </si>
  <si>
    <t>江西长运</t>
  </si>
  <si>
    <t>公交</t>
  </si>
  <si>
    <t>www.lixinger.com/analytics/company/sh/600561/600561/detail</t>
  </si>
  <si>
    <t>国睿科技</t>
  </si>
  <si>
    <t>军工电子</t>
  </si>
  <si>
    <t>www.lixinger.com/analytics/company/sh/600562/600562/detail</t>
  </si>
  <si>
    <t>法拉电子</t>
  </si>
  <si>
    <t>www.lixinger.com/analytics/company/sh/600563/600563/detail</t>
  </si>
  <si>
    <t>迪马股份</t>
  </si>
  <si>
    <t>www.lixinger.com/analytics/company/sh/600565/600565/detail</t>
  </si>
  <si>
    <t>济川药业</t>
  </si>
  <si>
    <t>www.lixinger.com/analytics/company/sh/600566/600566/detail</t>
  </si>
  <si>
    <t>山鹰国际</t>
  </si>
  <si>
    <t>www.lixinger.com/analytics/company/sh/600567/600567/detail</t>
  </si>
  <si>
    <t>ST中珠</t>
  </si>
  <si>
    <t>医院</t>
  </si>
  <si>
    <t>www.lixinger.com/analytics/company/sh/600568/600568/detail</t>
  </si>
  <si>
    <t>安阳钢铁</t>
  </si>
  <si>
    <t>www.lixinger.com/analytics/company/sh/600569/600569/detail</t>
  </si>
  <si>
    <t>恒生电子</t>
  </si>
  <si>
    <t>www.lixinger.com/analytics/company/sh/600570/600570/detail</t>
  </si>
  <si>
    <t>信雅达</t>
  </si>
  <si>
    <t>www.lixinger.com/analytics/company/sh/600571/600571/detail</t>
  </si>
  <si>
    <t>康恩贝</t>
  </si>
  <si>
    <t>www.lixinger.com/analytics/company/sh/600572/600572/detail</t>
  </si>
  <si>
    <t>惠泉啤酒</t>
  </si>
  <si>
    <t>www.lixinger.com/analytics/company/sh/600573/600573/detail</t>
  </si>
  <si>
    <t>淮河能源</t>
  </si>
  <si>
    <t>www.lixinger.com/analytics/company/sh/600575/600575/detail</t>
  </si>
  <si>
    <t>祥源文化</t>
  </si>
  <si>
    <t>www.lixinger.com/analytics/company/sh/600576/600576/detail</t>
  </si>
  <si>
    <t>精达股份</t>
  </si>
  <si>
    <t>线缆部件及其他</t>
  </si>
  <si>
    <t>www.lixinger.com/analytics/company/sh/600577/600577/detail</t>
  </si>
  <si>
    <t>京能电力</t>
  </si>
  <si>
    <t>www.lixinger.com/analytics/company/sh/600578/600578/detail</t>
  </si>
  <si>
    <t>克劳斯</t>
  </si>
  <si>
    <t>www.lixinger.com/analytics/company/sh/600579/600579/detail</t>
  </si>
  <si>
    <t>卧龙电驱</t>
  </si>
  <si>
    <t>电机</t>
  </si>
  <si>
    <t>www.lixinger.com/analytics/company/sh/600580/600580/detail</t>
  </si>
  <si>
    <t>八一钢铁</t>
  </si>
  <si>
    <t>www.lixinger.com/analytics/company/sh/600581/600581/detail</t>
  </si>
  <si>
    <t>天地科技</t>
  </si>
  <si>
    <t>www.lixinger.com/analytics/company/sh/600582/600582/detail</t>
  </si>
  <si>
    <t>海油工程</t>
  </si>
  <si>
    <t>www.lixinger.com/analytics/company/sh/600583/600583/detail</t>
  </si>
  <si>
    <t>长电科技</t>
  </si>
  <si>
    <t>集成电路封测</t>
  </si>
  <si>
    <t>www.lixinger.com/analytics/company/sh/600584/600584/detail</t>
  </si>
  <si>
    <t>海螺水泥</t>
  </si>
  <si>
    <t>www.lixinger.com/analytics/company/sh/600585/600585/detail</t>
  </si>
  <si>
    <t>金晶科技</t>
  </si>
  <si>
    <t>www.lixinger.com/analytics/company/sh/600586/600586/detail</t>
  </si>
  <si>
    <t>新华医疗</t>
  </si>
  <si>
    <t>www.lixinger.com/analytics/company/sh/600587/600587/detail</t>
  </si>
  <si>
    <t>用友网络</t>
  </si>
  <si>
    <t>横向通用软件</t>
  </si>
  <si>
    <t>www.lixinger.com/analytics/company/sh/600588/600588/detail</t>
  </si>
  <si>
    <t>ST榕泰</t>
  </si>
  <si>
    <t>其他塑料制品</t>
  </si>
  <si>
    <t>www.lixinger.com/analytics/company/sh/600589/600589/detail</t>
  </si>
  <si>
    <t>泰豪科技</t>
  </si>
  <si>
    <t>www.lixinger.com/analytics/company/sh/600590/600590/detail</t>
  </si>
  <si>
    <t>龙溪股份</t>
  </si>
  <si>
    <t>www.lixinger.com/analytics/company/sh/600592/600592/detail</t>
  </si>
  <si>
    <t>*ST圣亚</t>
  </si>
  <si>
    <t>www.lixinger.com/analytics/company/sh/600593/600593/detail</t>
  </si>
  <si>
    <t>益佰制药</t>
  </si>
  <si>
    <t>www.lixinger.com/analytics/company/sh/600594/600594/detail</t>
  </si>
  <si>
    <t>ST中孚</t>
  </si>
  <si>
    <t>www.lixinger.com/analytics/company/sh/600595/600595/detail</t>
  </si>
  <si>
    <t>新安股份</t>
  </si>
  <si>
    <t>有机硅</t>
  </si>
  <si>
    <t>www.lixinger.com/analytics/company/sh/600596/600596/detail</t>
  </si>
  <si>
    <t>光明乳业</t>
  </si>
  <si>
    <t>www.lixinger.com/analytics/company/sh/600597/600597/detail</t>
  </si>
  <si>
    <t>北大荒</t>
  </si>
  <si>
    <t>粮食种植</t>
  </si>
  <si>
    <t>www.lixinger.com/analytics/company/sh/600598/600598/detail</t>
  </si>
  <si>
    <t>ST熊猫</t>
  </si>
  <si>
    <t>www.lixinger.com/analytics/company/sh/600599/600599/detail</t>
  </si>
  <si>
    <t>青岛啤酒</t>
  </si>
  <si>
    <t>www.lixinger.com/analytics/company/sh/600600/600600/detail</t>
  </si>
  <si>
    <t>ST方科</t>
  </si>
  <si>
    <t>www.lixinger.com/analytics/company/sh/600601/600601/detail</t>
  </si>
  <si>
    <t>云赛智联</t>
  </si>
  <si>
    <t>www.lixinger.com/analytics/company/sh/600602/600602/detail</t>
  </si>
  <si>
    <t>广汇物流</t>
  </si>
  <si>
    <t>www.lixinger.com/analytics/company/sh/600603/600603/detail</t>
  </si>
  <si>
    <t>市北高新</t>
  </si>
  <si>
    <t>www.lixinger.com/analytics/company/sh/600604/600604/detail</t>
  </si>
  <si>
    <t>汇通能源</t>
  </si>
  <si>
    <t>www.lixinger.com/analytics/company/sh/600605/600605/detail</t>
  </si>
  <si>
    <t>绿地控股</t>
  </si>
  <si>
    <t>www.lixinger.com/analytics/company/sh/600606/600606/detail</t>
  </si>
  <si>
    <t>ST沪科</t>
  </si>
  <si>
    <t>www.lixinger.com/analytics/company/sh/600608/600608/detail</t>
  </si>
  <si>
    <t>金杯汽车</t>
  </si>
  <si>
    <t>www.lixinger.com/analytics/company/sh/600609/600609/detail</t>
  </si>
  <si>
    <t>中毅达</t>
  </si>
  <si>
    <t>其他化学原料</t>
  </si>
  <si>
    <t>www.lixinger.com/analytics/company/sh/600610/600610/detail</t>
  </si>
  <si>
    <t>大众交通</t>
  </si>
  <si>
    <t>www.lixinger.com/analytics/company/sh/600611/600611/detail</t>
  </si>
  <si>
    <t>老凤祥</t>
  </si>
  <si>
    <t>钟表珠宝</t>
  </si>
  <si>
    <t>www.lixinger.com/analytics/company/sh/600612/600612/detail</t>
  </si>
  <si>
    <t>神奇制药</t>
  </si>
  <si>
    <t>www.lixinger.com/analytics/company/sh/600613/600613/detail</t>
  </si>
  <si>
    <t>退市鹏起</t>
  </si>
  <si>
    <t>www.lixinger.com/analytics/company/sh/600614/600614/detail</t>
  </si>
  <si>
    <t>*ST丰华</t>
  </si>
  <si>
    <t>www.lixinger.com/analytics/company/sh/600615/600615/detail</t>
  </si>
  <si>
    <t>金枫酒业</t>
  </si>
  <si>
    <t>www.lixinger.com/analytics/company/sh/600616/600616/detail</t>
  </si>
  <si>
    <t>国新能源</t>
  </si>
  <si>
    <t>www.lixinger.com/analytics/company/sh/600617/600617/detail</t>
  </si>
  <si>
    <t>氯碱化工</t>
  </si>
  <si>
    <t>www.lixinger.com/analytics/company/sh/600618/600618/detail</t>
  </si>
  <si>
    <t>海立股份</t>
  </si>
  <si>
    <t>家电零部件</t>
  </si>
  <si>
    <t>www.lixinger.com/analytics/company/sh/600619/600619/detail</t>
  </si>
  <si>
    <t>天宸股份</t>
  </si>
  <si>
    <t>www.lixinger.com/analytics/company/sh/600620/600620/detail</t>
  </si>
  <si>
    <t>华鑫股份</t>
  </si>
  <si>
    <t>www.lixinger.com/analytics/company/sh/600621/600621/detail</t>
  </si>
  <si>
    <t>光大嘉宝</t>
  </si>
  <si>
    <t>www.lixinger.com/analytics/company/sh/600622/600622/detail</t>
  </si>
  <si>
    <t>华谊集团</t>
  </si>
  <si>
    <t>www.lixinger.com/analytics/company/sh/600623/600623/detail</t>
  </si>
  <si>
    <t>复旦复华</t>
  </si>
  <si>
    <t>www.lixinger.com/analytics/company/sh/600624/600624/detail</t>
  </si>
  <si>
    <t>PT水仙</t>
  </si>
  <si>
    <t>www.lixinger.com/analytics/company/sh/600625/600625/detail</t>
  </si>
  <si>
    <t>申达股份</t>
  </si>
  <si>
    <t>www.lixinger.com/analytics/company/sh/600626/600626/detail</t>
  </si>
  <si>
    <t>新世界</t>
  </si>
  <si>
    <t>www.lixinger.com/analytics/company/sh/600628/600628/detail</t>
  </si>
  <si>
    <t>华建集团</t>
  </si>
  <si>
    <t>工程咨询服务</t>
  </si>
  <si>
    <t>www.lixinger.com/analytics/company/sh/600629/600629/detail</t>
  </si>
  <si>
    <t>龙头股份</t>
  </si>
  <si>
    <t>www.lixinger.com/analytics/company/sh/600630/600630/detail</t>
  </si>
  <si>
    <t>百联股份</t>
  </si>
  <si>
    <t>www.lixinger.com/analytics/company/sh/600631/600631/detail</t>
  </si>
  <si>
    <t>浙数文化</t>
  </si>
  <si>
    <t>www.lixinger.com/analytics/company/sh/600633/600633/detail</t>
  </si>
  <si>
    <t>退市富控</t>
  </si>
  <si>
    <t>www.lixinger.com/analytics/company/sh/600634/600634/detail</t>
  </si>
  <si>
    <t>大众公用</t>
  </si>
  <si>
    <t>www.lixinger.com/analytics/company/sh/600635/600635/detail</t>
  </si>
  <si>
    <t>国新文化</t>
  </si>
  <si>
    <t>教育运营及其他</t>
  </si>
  <si>
    <t>www.lixinger.com/analytics/company/sh/600636/600636/detail</t>
  </si>
  <si>
    <t>东方明珠</t>
  </si>
  <si>
    <t>www.lixinger.com/analytics/company/sh/600637/600637/detail</t>
  </si>
  <si>
    <t>新黄浦</t>
  </si>
  <si>
    <t>www.lixinger.com/analytics/company/sh/600638/600638/detail</t>
  </si>
  <si>
    <t>浦东金桥</t>
  </si>
  <si>
    <t>www.lixinger.com/analytics/company/sh/600639/600639/detail</t>
  </si>
  <si>
    <t>新国脉</t>
  </si>
  <si>
    <t>视频媒体</t>
  </si>
  <si>
    <t>www.lixinger.com/analytics/company/sh/600640/600640/detail</t>
  </si>
  <si>
    <t>万业企业</t>
  </si>
  <si>
    <t>www.lixinger.com/analytics/company/sh/600641/600641/detail</t>
  </si>
  <si>
    <t>申能股份</t>
  </si>
  <si>
    <t>www.lixinger.com/analytics/company/sh/600642/600642/detail</t>
  </si>
  <si>
    <t>爱建集团</t>
  </si>
  <si>
    <t>www.lixinger.com/analytics/company/sh/600643/600643/detail</t>
  </si>
  <si>
    <t>乐山电力</t>
  </si>
  <si>
    <t>www.lixinger.com/analytics/company/sh/600644/600644/detail</t>
  </si>
  <si>
    <t>中源协和</t>
  </si>
  <si>
    <t>体外诊断</t>
  </si>
  <si>
    <t>www.lixinger.com/analytics/company/sh/600645/600645/detail</t>
  </si>
  <si>
    <t>ST国嘉</t>
  </si>
  <si>
    <t>www.lixinger.com/analytics/company/sh/600646/600646/detail</t>
  </si>
  <si>
    <t>同达创业</t>
  </si>
  <si>
    <t>www.lixinger.com/analytics/company/sh/600647/600647/detail</t>
  </si>
  <si>
    <t>外高桥</t>
  </si>
  <si>
    <t>www.lixinger.com/analytics/company/sh/600648/600648/detail</t>
  </si>
  <si>
    <t>城投控股</t>
  </si>
  <si>
    <t>www.lixinger.com/analytics/company/sh/600649/600649/detail</t>
  </si>
  <si>
    <t>锦江在线</t>
  </si>
  <si>
    <t>www.lixinger.com/analytics/company/sh/600650/600650/detail</t>
  </si>
  <si>
    <t>飞乐音响</t>
  </si>
  <si>
    <t>www.lixinger.com/analytics/company/sh/600651/600651/detail</t>
  </si>
  <si>
    <t>*ST游久</t>
  </si>
  <si>
    <t>www.lixinger.com/analytics/company/sh/600652/600652/detail</t>
  </si>
  <si>
    <t>申华控股</t>
  </si>
  <si>
    <t>www.lixinger.com/analytics/company/sh/600653/600653/detail</t>
  </si>
  <si>
    <t>ST中安</t>
  </si>
  <si>
    <t>www.lixinger.com/analytics/company/sh/600654/600654/detail</t>
  </si>
  <si>
    <t>豫园股份</t>
  </si>
  <si>
    <t>www.lixinger.com/analytics/company/sh/600655/600655/detail</t>
  </si>
  <si>
    <t>退市博元</t>
  </si>
  <si>
    <t>www.lixinger.com/analytics/company/sh/600656/600656/detail</t>
  </si>
  <si>
    <t>信达地产</t>
  </si>
  <si>
    <t>www.lixinger.com/analytics/company/sh/600657/600657/detail</t>
  </si>
  <si>
    <t>电子城</t>
  </si>
  <si>
    <t>www.lixinger.com/analytics/company/sh/600658/600658/detail</t>
  </si>
  <si>
    <t>福耀玻璃</t>
  </si>
  <si>
    <t>www.lixinger.com/analytics/company/sh/600660/600660/detail</t>
  </si>
  <si>
    <t>昂立教育</t>
  </si>
  <si>
    <t>培训教育</t>
  </si>
  <si>
    <t>www.lixinger.com/analytics/company/sh/600661/600661/detail</t>
  </si>
  <si>
    <t>外服控股</t>
  </si>
  <si>
    <t>www.lixinger.com/analytics/company/sh/600662/600662/detail</t>
  </si>
  <si>
    <t>陆家嘴</t>
  </si>
  <si>
    <t>www.lixinger.com/analytics/company/sh/600663/600663/detail</t>
  </si>
  <si>
    <t>哈药股份</t>
  </si>
  <si>
    <t>www.lixinger.com/analytics/company/sh/600664/600664/detail</t>
  </si>
  <si>
    <t>天地源</t>
  </si>
  <si>
    <t>www.lixinger.com/analytics/company/sh/600665/600665/detail</t>
  </si>
  <si>
    <t>*ST瑞德</t>
  </si>
  <si>
    <t>www.lixinger.com/analytics/company/sh/600666/600666/detail</t>
  </si>
  <si>
    <t>太极实业</t>
  </si>
  <si>
    <t>www.lixinger.com/analytics/company/sh/600667/600667/detail</t>
  </si>
  <si>
    <t>尖峰集团</t>
  </si>
  <si>
    <t>www.lixinger.com/analytics/company/sh/600668/600668/detail</t>
  </si>
  <si>
    <t>*ST鞍成</t>
  </si>
  <si>
    <t>www.lixinger.com/analytics/company/sh/600669/600669/detail</t>
  </si>
  <si>
    <t>*ST斯达</t>
  </si>
  <si>
    <t>www.lixinger.com/analytics/company/sh/600670/600670/detail</t>
  </si>
  <si>
    <t>ST目药</t>
  </si>
  <si>
    <t>www.lixinger.com/analytics/company/sh/600671/600671/detail</t>
  </si>
  <si>
    <t>*ST华圣</t>
  </si>
  <si>
    <t>www.lixinger.com/analytics/company/sh/600672/600672/detail</t>
  </si>
  <si>
    <t>东阳光</t>
  </si>
  <si>
    <t>www.lixinger.com/analytics/company/sh/600673/600673/detail</t>
  </si>
  <si>
    <t>川投能源</t>
  </si>
  <si>
    <t>www.lixinger.com/analytics/company/sh/600674/600674/detail</t>
  </si>
  <si>
    <t>中华企业</t>
  </si>
  <si>
    <t>www.lixinger.com/analytics/company/sh/600675/600675/detail</t>
  </si>
  <si>
    <t>交运股份</t>
  </si>
  <si>
    <t>www.lixinger.com/analytics/company/sh/600676/600676/detail</t>
  </si>
  <si>
    <t>*ST航通</t>
  </si>
  <si>
    <t>www.lixinger.com/analytics/company/sh/600677/600677/detail</t>
  </si>
  <si>
    <t>四川金顶</t>
  </si>
  <si>
    <t>www.lixinger.com/analytics/company/sh/600678/600678/detail</t>
  </si>
  <si>
    <t>上海凤凰</t>
  </si>
  <si>
    <t>www.lixinger.com/analytics/company/sh/600679/600679/detail</t>
  </si>
  <si>
    <t>*ST上普</t>
  </si>
  <si>
    <t>www.lixinger.com/analytics/company/sh/600680/600680/detail</t>
  </si>
  <si>
    <t>百川能源</t>
  </si>
  <si>
    <t>www.lixinger.com/analytics/company/sh/600681/600681/detail</t>
  </si>
  <si>
    <t>南京新百</t>
  </si>
  <si>
    <t>其他生物制品</t>
  </si>
  <si>
    <t>www.lixinger.com/analytics/company/sh/600682/600682/detail</t>
  </si>
  <si>
    <t>京投发展</t>
  </si>
  <si>
    <t>www.lixinger.com/analytics/company/sh/600683/600683/detail</t>
  </si>
  <si>
    <t>珠江股份</t>
  </si>
  <si>
    <t>www.lixinger.com/analytics/company/sh/600684/600684/detail</t>
  </si>
  <si>
    <t>中船防务</t>
  </si>
  <si>
    <t>www.lixinger.com/analytics/company/sh/600685/600685/detail</t>
  </si>
  <si>
    <t>金龙汽车</t>
  </si>
  <si>
    <t>www.lixinger.com/analytics/company/sh/600686/600686/detail</t>
  </si>
  <si>
    <t>退市刚泰</t>
  </si>
  <si>
    <t>www.lixinger.com/analytics/company/sh/600687/600687/detail</t>
  </si>
  <si>
    <t>上海石化</t>
  </si>
  <si>
    <t>www.lixinger.com/analytics/company/sh/600688/600688/detail</t>
  </si>
  <si>
    <t>上海三毛</t>
  </si>
  <si>
    <t>www.lixinger.com/analytics/company/sh/600689/600689/detail</t>
  </si>
  <si>
    <t>海尔智家</t>
  </si>
  <si>
    <t>www.lixinger.com/analytics/company/sh/600690/600690/detail</t>
  </si>
  <si>
    <t>阳煤化工</t>
  </si>
  <si>
    <t>www.lixinger.com/analytics/company/sh/600691/600691/detail</t>
  </si>
  <si>
    <t>亚通股份</t>
  </si>
  <si>
    <t>www.lixinger.com/analytics/company/sh/600692/600692/detail</t>
  </si>
  <si>
    <t>东百集团</t>
  </si>
  <si>
    <t>www.lixinger.com/analytics/company/sh/600693/600693/detail</t>
  </si>
  <si>
    <t>大商股份</t>
  </si>
  <si>
    <t>多业态零售</t>
  </si>
  <si>
    <t>www.lixinger.com/analytics/company/sh/600694/600694/detail</t>
  </si>
  <si>
    <t>*ST绿庭</t>
  </si>
  <si>
    <t>www.lixinger.com/analytics/company/sh/600695/600695/detail</t>
  </si>
  <si>
    <t>岩石股份</t>
  </si>
  <si>
    <t>www.lixinger.com/analytics/company/sh/600696/600696/detail</t>
  </si>
  <si>
    <t>欧亚集团</t>
  </si>
  <si>
    <t>www.lixinger.com/analytics/company/sh/600697/600697/detail</t>
  </si>
  <si>
    <t>湖南天雁</t>
  </si>
  <si>
    <t>www.lixinger.com/analytics/company/sh/600698/600698/detail</t>
  </si>
  <si>
    <t>均胜电子</t>
  </si>
  <si>
    <t>汽车电子电气系统</t>
  </si>
  <si>
    <t>www.lixinger.com/analytics/company/sh/600699/600699/detail</t>
  </si>
  <si>
    <t>*ST数码</t>
  </si>
  <si>
    <t>www.lixinger.com/analytics/company/sh/600700/600700/detail</t>
  </si>
  <si>
    <t>退市工新</t>
  </si>
  <si>
    <t>www.lixinger.com/analytics/company/sh/600701/600701/detail</t>
  </si>
  <si>
    <t>舍得酒业</t>
  </si>
  <si>
    <t>www.lixinger.com/analytics/company/sh/600702/600702/detail</t>
  </si>
  <si>
    <t>三安光电</t>
  </si>
  <si>
    <t>www.lixinger.com/analytics/company/sh/600703/600703/detail</t>
  </si>
  <si>
    <t>物产中大</t>
  </si>
  <si>
    <t>www.lixinger.com/analytics/company/sh/600704/600704/detail</t>
  </si>
  <si>
    <t>中航产融</t>
  </si>
  <si>
    <t>www.lixinger.com/analytics/company/sh/600705/600705/detail</t>
  </si>
  <si>
    <t>曲江文旅</t>
  </si>
  <si>
    <t>www.lixinger.com/analytics/company/sh/600706/600706/detail</t>
  </si>
  <si>
    <t>彩虹股份</t>
  </si>
  <si>
    <t>www.lixinger.com/analytics/company/sh/600707/600707/detail</t>
  </si>
  <si>
    <t>光明地产</t>
  </si>
  <si>
    <t>www.lixinger.com/analytics/company/sh/600708/600708/detail</t>
  </si>
  <si>
    <t>ST生态</t>
  </si>
  <si>
    <t>www.lixinger.com/analytics/company/sh/600709/600709/detail</t>
  </si>
  <si>
    <t>苏美达</t>
  </si>
  <si>
    <t>www.lixinger.com/analytics/company/sh/600710/600710/detail</t>
  </si>
  <si>
    <t>盛屯矿业</t>
  </si>
  <si>
    <t>钴</t>
  </si>
  <si>
    <t>www.lixinger.com/analytics/company/sh/600711/600711/detail</t>
  </si>
  <si>
    <t>南宁百货</t>
  </si>
  <si>
    <t>www.lixinger.com/analytics/company/sh/600712/600712/detail</t>
  </si>
  <si>
    <t>南京医药</t>
  </si>
  <si>
    <t>www.lixinger.com/analytics/company/sh/600713/600713/detail</t>
  </si>
  <si>
    <t>金瑞矿业</t>
  </si>
  <si>
    <t>www.lixinger.com/analytics/company/sh/600714/600714/detail</t>
  </si>
  <si>
    <t>文投控股</t>
  </si>
  <si>
    <t>www.lixinger.com/analytics/company/sh/600715/600715/detail</t>
  </si>
  <si>
    <t>凤凰股份</t>
  </si>
  <si>
    <t>www.lixinger.com/analytics/company/sh/600716/600716/detail</t>
  </si>
  <si>
    <t>天津港</t>
  </si>
  <si>
    <t>www.lixinger.com/analytics/company/sh/600717/600717/detail</t>
  </si>
  <si>
    <t>东软集团</t>
  </si>
  <si>
    <t>www.lixinger.com/analytics/company/sh/600718/600718/detail</t>
  </si>
  <si>
    <t>大连热电</t>
  </si>
  <si>
    <t>www.lixinger.com/analytics/company/sh/600719/600719/detail</t>
  </si>
  <si>
    <t>祁连山</t>
  </si>
  <si>
    <t>www.lixinger.com/analytics/company/sh/600720/600720/detail</t>
  </si>
  <si>
    <t>*ST百花</t>
  </si>
  <si>
    <t>医疗研发外包</t>
  </si>
  <si>
    <t>www.lixinger.com/analytics/company/sh/600721/600721/detail</t>
  </si>
  <si>
    <t>金牛化工</t>
  </si>
  <si>
    <t>www.lixinger.com/analytics/company/sh/600722/600722/detail</t>
  </si>
  <si>
    <t>首商股份</t>
  </si>
  <si>
    <t>www.lixinger.com/analytics/company/sh/600723/600723/detail</t>
  </si>
  <si>
    <t>宁波富达</t>
  </si>
  <si>
    <t>www.lixinger.com/analytics/company/sh/600724/600724/detail</t>
  </si>
  <si>
    <t>云维股份</t>
  </si>
  <si>
    <t>www.lixinger.com/analytics/company/sh/600725/600725/detail</t>
  </si>
  <si>
    <t>*ST华源</t>
  </si>
  <si>
    <t>www.lixinger.com/analytics/company/sh/600726/600726/detail</t>
  </si>
  <si>
    <t>鲁北化工</t>
  </si>
  <si>
    <t>钛白粉</t>
  </si>
  <si>
    <t>www.lixinger.com/analytics/company/sh/600727/600727/detail</t>
  </si>
  <si>
    <t>佳都科技</t>
  </si>
  <si>
    <t>www.lixinger.com/analytics/company/sh/600728/600728/detail</t>
  </si>
  <si>
    <t>重庆百货</t>
  </si>
  <si>
    <t>www.lixinger.com/analytics/company/sh/600729/600729/detail</t>
  </si>
  <si>
    <t>中国高科</t>
  </si>
  <si>
    <t>www.lixinger.com/analytics/company/sh/600730/600730/detail</t>
  </si>
  <si>
    <t>湖南海利</t>
  </si>
  <si>
    <t>www.lixinger.com/analytics/company/sh/600731/600731/detail</t>
  </si>
  <si>
    <t>爱旭股份</t>
  </si>
  <si>
    <t>www.lixinger.com/analytics/company/sh/600732/600732/detail</t>
  </si>
  <si>
    <t>北汽蓝谷</t>
  </si>
  <si>
    <t>www.lixinger.com/analytics/company/sh/600733/600733/detail</t>
  </si>
  <si>
    <t>*ST实达</t>
  </si>
  <si>
    <t>www.lixinger.com/analytics/company/sh/600734/600734/detail</t>
  </si>
  <si>
    <t>新华锦</t>
  </si>
  <si>
    <t>www.lixinger.com/analytics/company/sh/600735/600735/detail</t>
  </si>
  <si>
    <t>苏州高新</t>
  </si>
  <si>
    <t>www.lixinger.com/analytics/company/sh/600736/600736/detail</t>
  </si>
  <si>
    <t>中粮糖业</t>
  </si>
  <si>
    <t>www.lixinger.com/analytics/company/sh/600737/600737/detail</t>
  </si>
  <si>
    <t>丽尚国潮</t>
  </si>
  <si>
    <t>www.lixinger.com/analytics/company/sh/600738/600738/detail</t>
  </si>
  <si>
    <t>辽宁成大</t>
  </si>
  <si>
    <t>疫苗</t>
  </si>
  <si>
    <t>www.lixinger.com/analytics/company/sh/600739/600739/detail</t>
  </si>
  <si>
    <t>山西焦化</t>
  </si>
  <si>
    <t>www.lixinger.com/analytics/company/sh/600740/600740/detail</t>
  </si>
  <si>
    <t>华域汽车</t>
  </si>
  <si>
    <t>www.lixinger.com/analytics/company/sh/600741/600741/detail</t>
  </si>
  <si>
    <t>一汽富维</t>
  </si>
  <si>
    <t>www.lixinger.com/analytics/company/sh/600742/600742/detail</t>
  </si>
  <si>
    <t>华远地产</t>
  </si>
  <si>
    <t>www.lixinger.com/analytics/company/sh/600743/600743/detail</t>
  </si>
  <si>
    <t>华银电力</t>
  </si>
  <si>
    <t>www.lixinger.com/analytics/company/sh/600744/600744/detail</t>
  </si>
  <si>
    <t>闻泰科技</t>
  </si>
  <si>
    <t>www.lixinger.com/analytics/company/sh/600745/600745/detail</t>
  </si>
  <si>
    <t>江苏索普</t>
  </si>
  <si>
    <t>www.lixinger.com/analytics/company/sh/600746/600746/detail</t>
  </si>
  <si>
    <t>退市大控</t>
  </si>
  <si>
    <t>www.lixinger.com/analytics/company/sh/600747/600747/detail</t>
  </si>
  <si>
    <t>上实发展</t>
  </si>
  <si>
    <t>www.lixinger.com/analytics/company/sh/600748/600748/detail</t>
  </si>
  <si>
    <t>西藏旅游</t>
  </si>
  <si>
    <t>www.lixinger.com/analytics/company/sh/600749/600749/detail</t>
  </si>
  <si>
    <t>江中药业</t>
  </si>
  <si>
    <t>www.lixinger.com/analytics/company/sh/600750/600750/detail</t>
  </si>
  <si>
    <t>海航科技</t>
  </si>
  <si>
    <t>www.lixinger.com/analytics/company/sh/600751/600751/detail</t>
  </si>
  <si>
    <t>*ST哈慈</t>
  </si>
  <si>
    <t>www.lixinger.com/analytics/company/sh/600752/600752/detail</t>
  </si>
  <si>
    <t>东方银星</t>
  </si>
  <si>
    <t>www.lixinger.com/analytics/company/sh/600753/600753/detail</t>
  </si>
  <si>
    <t>锦江酒店</t>
  </si>
  <si>
    <t>www.lixinger.com/analytics/company/sh/600754/600754/detail</t>
  </si>
  <si>
    <t>厦门国贸</t>
  </si>
  <si>
    <t>www.lixinger.com/analytics/company/sh/600755/600755/detail</t>
  </si>
  <si>
    <t>浪潮软件</t>
  </si>
  <si>
    <t>www.lixinger.com/analytics/company/sh/600756/600756/detail</t>
  </si>
  <si>
    <t>长江传媒</t>
  </si>
  <si>
    <t>教育出版</t>
  </si>
  <si>
    <t>www.lixinger.com/analytics/company/sh/600757/600757/detail</t>
  </si>
  <si>
    <t>辽宁能源</t>
  </si>
  <si>
    <t>www.lixinger.com/analytics/company/sh/600758/600758/detail</t>
  </si>
  <si>
    <t>ST洲际</t>
  </si>
  <si>
    <t>油气开采</t>
  </si>
  <si>
    <t>www.lixinger.com/analytics/company/sh/600759/600759/detail</t>
  </si>
  <si>
    <t>中航沈飞</t>
  </si>
  <si>
    <t>www.lixinger.com/analytics/company/sh/600760/600760/detail</t>
  </si>
  <si>
    <t>安徽合力</t>
  </si>
  <si>
    <t>www.lixinger.com/analytics/company/sh/600761/600761/detail</t>
  </si>
  <si>
    <t>通策医疗</t>
  </si>
  <si>
    <t>www.lixinger.com/analytics/company/sh/600763/600763/detail</t>
  </si>
  <si>
    <t>中国海防</t>
  </si>
  <si>
    <t>www.lixinger.com/analytics/company/sh/600764/600764/detail</t>
  </si>
  <si>
    <t>中航重机</t>
  </si>
  <si>
    <t>www.lixinger.com/analytics/company/sh/600765/600765/detail</t>
  </si>
  <si>
    <t>*ST园城</t>
  </si>
  <si>
    <t>www.lixinger.com/analytics/company/sh/600766/600766/detail</t>
  </si>
  <si>
    <t>*ST运盛</t>
  </si>
  <si>
    <t>www.lixinger.com/analytics/company/sh/600767/600767/detail</t>
  </si>
  <si>
    <t>宁波富邦</t>
  </si>
  <si>
    <t>www.lixinger.com/analytics/company/sh/600768/600768/detail</t>
  </si>
  <si>
    <t>祥龙电业</t>
  </si>
  <si>
    <t>www.lixinger.com/analytics/company/sh/600769/600769/detail</t>
  </si>
  <si>
    <t>综艺股份</t>
  </si>
  <si>
    <t>www.lixinger.com/analytics/company/sh/600770/600770/detail</t>
  </si>
  <si>
    <t>广誉远</t>
  </si>
  <si>
    <t>www.lixinger.com/analytics/company/sh/600771/600771/detail</t>
  </si>
  <si>
    <t>西藏城投</t>
  </si>
  <si>
    <t>www.lixinger.com/analytics/company/sh/600773/600773/detail</t>
  </si>
  <si>
    <t>汉商集团</t>
  </si>
  <si>
    <t>www.lixinger.com/analytics/company/sh/600774/600774/detail</t>
  </si>
  <si>
    <t>南京熊猫</t>
  </si>
  <si>
    <t>www.lixinger.com/analytics/company/sh/600775/600775/detail</t>
  </si>
  <si>
    <t>东方通信</t>
  </si>
  <si>
    <t>www.lixinger.com/analytics/company/sh/600776/600776/detail</t>
  </si>
  <si>
    <t>新潮能源</t>
  </si>
  <si>
    <t>www.lixinger.com/analytics/company/sh/600777/600777/detail</t>
  </si>
  <si>
    <t>友好集团</t>
  </si>
  <si>
    <t>www.lixinger.com/analytics/company/sh/600778/600778/detail</t>
  </si>
  <si>
    <t>水井坊</t>
  </si>
  <si>
    <t>www.lixinger.com/analytics/company/sh/600779/600779/detail</t>
  </si>
  <si>
    <t>通宝能源</t>
  </si>
  <si>
    <t>www.lixinger.com/analytics/company/sh/600780/600780/detail</t>
  </si>
  <si>
    <t>ST辅仁</t>
  </si>
  <si>
    <t>www.lixinger.com/analytics/company/sh/600781/600781/detail</t>
  </si>
  <si>
    <t>新钢股份</t>
  </si>
  <si>
    <t>www.lixinger.com/analytics/company/sh/600782/600782/detail</t>
  </si>
  <si>
    <t>鲁信创投</t>
  </si>
  <si>
    <t>www.lixinger.com/analytics/company/sh/600783/600783/detail</t>
  </si>
  <si>
    <t>鲁银投资</t>
  </si>
  <si>
    <t>www.lixinger.com/analytics/company/sh/600784/600784/detail</t>
  </si>
  <si>
    <t>新华百货</t>
  </si>
  <si>
    <t>www.lixinger.com/analytics/company/sh/600785/600785/detail</t>
  </si>
  <si>
    <t>中储股份</t>
  </si>
  <si>
    <t>仓储物流</t>
  </si>
  <si>
    <t>www.lixinger.com/analytics/company/sh/600787/600787/detail</t>
  </si>
  <si>
    <t>*ST达曼</t>
  </si>
  <si>
    <t>www.lixinger.com/analytics/company/sh/600788/600788/detail</t>
  </si>
  <si>
    <t>鲁抗医药</t>
  </si>
  <si>
    <t>www.lixinger.com/analytics/company/sh/600789/600789/detail</t>
  </si>
  <si>
    <t>轻纺城</t>
  </si>
  <si>
    <t>www.lixinger.com/analytics/company/sh/600790/600790/detail</t>
  </si>
  <si>
    <t>京能置业</t>
  </si>
  <si>
    <t>www.lixinger.com/analytics/company/sh/600791/600791/detail</t>
  </si>
  <si>
    <t>云煤能源</t>
  </si>
  <si>
    <t>www.lixinger.com/analytics/company/sh/600792/600792/detail</t>
  </si>
  <si>
    <t>宜宾纸业</t>
  </si>
  <si>
    <t>www.lixinger.com/analytics/company/sh/600793/600793/detail</t>
  </si>
  <si>
    <t>保税科技</t>
  </si>
  <si>
    <t>www.lixinger.com/analytics/company/sh/600794/600794/detail</t>
  </si>
  <si>
    <t>国电电力</t>
  </si>
  <si>
    <t>www.lixinger.com/analytics/company/sh/600795/600795/detail</t>
  </si>
  <si>
    <t>钱江生化</t>
  </si>
  <si>
    <t>www.lixinger.com/analytics/company/sh/600796/600796/detail</t>
  </si>
  <si>
    <t>浙大网新</t>
  </si>
  <si>
    <t>www.lixinger.com/analytics/company/sh/600797/600797/detail</t>
  </si>
  <si>
    <t>宁波海运</t>
  </si>
  <si>
    <t>www.lixinger.com/analytics/company/sh/600798/600798/detail</t>
  </si>
  <si>
    <t>渤海化学</t>
  </si>
  <si>
    <t>其他石化</t>
  </si>
  <si>
    <t>www.lixinger.com/analytics/company/sh/600800/600800/detail</t>
  </si>
  <si>
    <t>华新水泥</t>
  </si>
  <si>
    <t>www.lixinger.com/analytics/company/sh/600801/600801/detail</t>
  </si>
  <si>
    <t>福建水泥</t>
  </si>
  <si>
    <t>www.lixinger.com/analytics/company/sh/600802/600802/detail</t>
  </si>
  <si>
    <t>新奥股份</t>
  </si>
  <si>
    <t>www.lixinger.com/analytics/company/sh/600803/600803/detail</t>
  </si>
  <si>
    <t>ST鹏博士</t>
  </si>
  <si>
    <t>www.lixinger.com/analytics/company/sh/600804/600804/detail</t>
  </si>
  <si>
    <t>悦达投资</t>
  </si>
  <si>
    <t>www.lixinger.com/analytics/company/sh/600805/600805/detail</t>
  </si>
  <si>
    <t>退市昆机</t>
  </si>
  <si>
    <t>www.lixinger.com/analytics/company/sh/600806/600806/detail</t>
  </si>
  <si>
    <t>济南高新</t>
  </si>
  <si>
    <t>www.lixinger.com/analytics/company/sh/600807/600807/detail</t>
  </si>
  <si>
    <t>马钢股份</t>
  </si>
  <si>
    <t>www.lixinger.com/analytics/company/sh/600808/600808/detail</t>
  </si>
  <si>
    <t>山西汾酒</t>
  </si>
  <si>
    <t>www.lixinger.com/analytics/company/sh/600809/600809/detail</t>
  </si>
  <si>
    <t>神马股份</t>
  </si>
  <si>
    <t>锦纶</t>
  </si>
  <si>
    <t>www.lixinger.com/analytics/company/sh/600810/600810/detail</t>
  </si>
  <si>
    <t>东方集团</t>
  </si>
  <si>
    <t>www.lixinger.com/analytics/company/sh/600811/600811/detail</t>
  </si>
  <si>
    <t>华北制药</t>
  </si>
  <si>
    <t>www.lixinger.com/analytics/company/sh/600812/600812/detail</t>
  </si>
  <si>
    <t>ST鞍一工</t>
  </si>
  <si>
    <t>www.lixinger.com/analytics/company/sh/600813/600813/detail</t>
  </si>
  <si>
    <t>杭州解百</t>
  </si>
  <si>
    <t>www.lixinger.com/analytics/company/sh/600814/600814/detail</t>
  </si>
  <si>
    <t>厦工股份</t>
  </si>
  <si>
    <t>www.lixinger.com/analytics/company/sh/600815/600815/detail</t>
  </si>
  <si>
    <t>ST安信</t>
  </si>
  <si>
    <t>信托</t>
  </si>
  <si>
    <t>www.lixinger.com/analytics/company/sh/600816/600816/detail</t>
  </si>
  <si>
    <t>宇通重工</t>
  </si>
  <si>
    <t>www.lixinger.com/analytics/company/sh/600817/600817/detail</t>
  </si>
  <si>
    <t>中路股份</t>
  </si>
  <si>
    <t>摩托车</t>
  </si>
  <si>
    <t>www.lixinger.com/analytics/company/sh/600818/600818/detail</t>
  </si>
  <si>
    <t>耀皮玻璃</t>
  </si>
  <si>
    <t>www.lixinger.com/analytics/company/sh/600819/600819/detail</t>
  </si>
  <si>
    <t>隧道股份</t>
  </si>
  <si>
    <t>www.lixinger.com/analytics/company/sh/600820/600820/detail</t>
  </si>
  <si>
    <t>金开新能</t>
  </si>
  <si>
    <t>www.lixinger.com/analytics/company/sh/600821/600821/detail</t>
  </si>
  <si>
    <t>上海物贸</t>
  </si>
  <si>
    <t>www.lixinger.com/analytics/company/sh/600822/600822/detail</t>
  </si>
  <si>
    <t>世茂股份</t>
  </si>
  <si>
    <t>www.lixinger.com/analytics/company/sh/600823/600823/detail</t>
  </si>
  <si>
    <t>益民集团</t>
  </si>
  <si>
    <t>www.lixinger.com/analytics/company/sh/600824/600824/detail</t>
  </si>
  <si>
    <t>新华传媒</t>
  </si>
  <si>
    <t>www.lixinger.com/analytics/company/sh/600825/600825/detail</t>
  </si>
  <si>
    <t>兰生股份</t>
  </si>
  <si>
    <t>会展服务</t>
  </si>
  <si>
    <t>www.lixinger.com/analytics/company/sh/600826/600826/detail</t>
  </si>
  <si>
    <t>www.lixinger.com/analytics/company/sh/600827/600827/detail</t>
  </si>
  <si>
    <t>茂业商业</t>
  </si>
  <si>
    <t>www.lixinger.com/analytics/company/sh/600828/600828/detail</t>
  </si>
  <si>
    <t>人民同泰</t>
  </si>
  <si>
    <t>www.lixinger.com/analytics/company/sh/600829/600829/detail</t>
  </si>
  <si>
    <t>香溢融通</t>
  </si>
  <si>
    <t>www.lixinger.com/analytics/company/sh/600830/600830/detail</t>
  </si>
  <si>
    <t>广电网络</t>
  </si>
  <si>
    <t>www.lixinger.com/analytics/company/sh/600831/600831/detail</t>
  </si>
  <si>
    <t>www.lixinger.com/analytics/company/sh/600832/600832/detail</t>
  </si>
  <si>
    <t>第一医药</t>
  </si>
  <si>
    <t>线下药店</t>
  </si>
  <si>
    <t>www.lixinger.com/analytics/company/sh/600833/600833/detail</t>
  </si>
  <si>
    <t>申通地铁</t>
  </si>
  <si>
    <t>www.lixinger.com/analytics/company/sh/600834/600834/detail</t>
  </si>
  <si>
    <t>上海机电</t>
  </si>
  <si>
    <t>楼宇设备</t>
  </si>
  <si>
    <t>www.lixinger.com/analytics/company/sh/600835/600835/detail</t>
  </si>
  <si>
    <t>上海易连</t>
  </si>
  <si>
    <t>印刷</t>
  </si>
  <si>
    <t>www.lixinger.com/analytics/company/sh/600836/600836/detail</t>
  </si>
  <si>
    <t>海通证券</t>
  </si>
  <si>
    <t>www.lixinger.com/analytics/company/sh/600837/600837/detail</t>
  </si>
  <si>
    <t>上海九百</t>
  </si>
  <si>
    <t>www.lixinger.com/analytics/company/sh/600838/600838/detail</t>
  </si>
  <si>
    <t>四川长虹</t>
  </si>
  <si>
    <t>www.lixinger.com/analytics/company/sh/600839/600839/detail</t>
  </si>
  <si>
    <t>动力新科</t>
  </si>
  <si>
    <t>www.lixinger.com/analytics/company/sh/600841/600841/detail</t>
  </si>
  <si>
    <t>上工申贝</t>
  </si>
  <si>
    <t>www.lixinger.com/analytics/company/sh/600843/600843/detail</t>
  </si>
  <si>
    <t>丹化科技</t>
  </si>
  <si>
    <t>www.lixinger.com/analytics/company/sh/600844/600844/detail</t>
  </si>
  <si>
    <t>宝信软件</t>
  </si>
  <si>
    <t>www.lixinger.com/analytics/company/sh/600845/600845/detail</t>
  </si>
  <si>
    <t>同济科技</t>
  </si>
  <si>
    <t>www.lixinger.com/analytics/company/sh/600846/600846/detail</t>
  </si>
  <si>
    <t>万里股份</t>
  </si>
  <si>
    <t>www.lixinger.com/analytics/company/sh/600847/600847/detail</t>
  </si>
  <si>
    <t>上海临港</t>
  </si>
  <si>
    <t>www.lixinger.com/analytics/company/sh/600848/600848/detail</t>
  </si>
  <si>
    <t>上海医药</t>
  </si>
  <si>
    <t>www.lixinger.com/analytics/company/sh/600849/600849/detail</t>
  </si>
  <si>
    <t>电科数字</t>
  </si>
  <si>
    <t>www.lixinger.com/analytics/company/sh/600850/600850/detail</t>
  </si>
  <si>
    <t>海欣股份</t>
  </si>
  <si>
    <t>www.lixinger.com/analytics/company/sh/600851/600851/detail</t>
  </si>
  <si>
    <t>*ST中川</t>
  </si>
  <si>
    <t>www.lixinger.com/analytics/company/sh/600852/600852/detail</t>
  </si>
  <si>
    <t>龙建股份</t>
  </si>
  <si>
    <t>www.lixinger.com/analytics/company/sh/600853/600853/detail</t>
  </si>
  <si>
    <t>春兰股份</t>
  </si>
  <si>
    <t>空调</t>
  </si>
  <si>
    <t>www.lixinger.com/analytics/company/sh/600854/600854/detail</t>
  </si>
  <si>
    <t>航天长峰</t>
  </si>
  <si>
    <t>www.lixinger.com/analytics/company/sh/600855/600855/detail</t>
  </si>
  <si>
    <t>*ST中天</t>
  </si>
  <si>
    <t>www.lixinger.com/analytics/company/sh/600856/600856/detail</t>
  </si>
  <si>
    <t>宁波中百</t>
  </si>
  <si>
    <t>www.lixinger.com/analytics/company/sh/600857/600857/detail</t>
  </si>
  <si>
    <t>银座股份</t>
  </si>
  <si>
    <t>www.lixinger.com/analytics/company/sh/600858/600858/detail</t>
  </si>
  <si>
    <t>王府井</t>
  </si>
  <si>
    <t>www.lixinger.com/analytics/company/sh/600859/600859/detail</t>
  </si>
  <si>
    <t>京城股份</t>
  </si>
  <si>
    <t>www.lixinger.com/analytics/company/sh/600860/600860/detail</t>
  </si>
  <si>
    <t>北京城乡</t>
  </si>
  <si>
    <t>www.lixinger.com/analytics/company/sh/600861/600861/detail</t>
  </si>
  <si>
    <t>中航高科</t>
  </si>
  <si>
    <t>www.lixinger.com/analytics/company/sh/600862/600862/detail</t>
  </si>
  <si>
    <t>内蒙华电</t>
  </si>
  <si>
    <t>www.lixinger.com/analytics/company/sh/600863/600863/detail</t>
  </si>
  <si>
    <t>哈投股份</t>
  </si>
  <si>
    <t>www.lixinger.com/analytics/company/sh/600864/600864/detail</t>
  </si>
  <si>
    <t>百大集团</t>
  </si>
  <si>
    <t>www.lixinger.com/analytics/company/sh/600865/600865/detail</t>
  </si>
  <si>
    <t>星湖科技</t>
  </si>
  <si>
    <t>www.lixinger.com/analytics/company/sh/600866/600866/detail</t>
  </si>
  <si>
    <t>通化东宝</t>
  </si>
  <si>
    <t>www.lixinger.com/analytics/company/sh/600867/600867/detail</t>
  </si>
  <si>
    <t>梅雁吉祥</t>
  </si>
  <si>
    <t>www.lixinger.com/analytics/company/sh/600868/600868/detail</t>
  </si>
  <si>
    <t>远东股份</t>
  </si>
  <si>
    <t>www.lixinger.com/analytics/company/sh/600869/600869/detail</t>
  </si>
  <si>
    <t>*ST厦华</t>
  </si>
  <si>
    <t>www.lixinger.com/analytics/company/sh/600870/600870/detail</t>
  </si>
  <si>
    <t>石化油服</t>
  </si>
  <si>
    <t>油田服务</t>
  </si>
  <si>
    <t>www.lixinger.com/analytics/company/sh/600871/600871/detail</t>
  </si>
  <si>
    <t>中炬高新</t>
  </si>
  <si>
    <t>www.lixinger.com/analytics/company/sh/600872/600872/detail</t>
  </si>
  <si>
    <t>梅花生物</t>
  </si>
  <si>
    <t>www.lixinger.com/analytics/company/sh/600873/600873/detail</t>
  </si>
  <si>
    <t>创业环保</t>
  </si>
  <si>
    <t>www.lixinger.com/analytics/company/sh/600874/600874/detail</t>
  </si>
  <si>
    <t>东方电气</t>
  </si>
  <si>
    <t>www.lixinger.com/analytics/company/sh/600875/600875/detail</t>
  </si>
  <si>
    <t>洛阳玻璃</t>
  </si>
  <si>
    <t>www.lixinger.com/analytics/company/sh/600876/600876/detail</t>
  </si>
  <si>
    <t>声光电科</t>
  </si>
  <si>
    <t>www.lixinger.com/analytics/company/sh/600877/600877/detail</t>
  </si>
  <si>
    <t>*ST北科</t>
  </si>
  <si>
    <t>www.lixinger.com/analytics/company/sh/600878/600878/detail</t>
  </si>
  <si>
    <t>航天电子</t>
  </si>
  <si>
    <t>www.lixinger.com/analytics/company/sh/600879/600879/detail</t>
  </si>
  <si>
    <t>博瑞传播</t>
  </si>
  <si>
    <t>学历教育</t>
  </si>
  <si>
    <t>www.lixinger.com/analytics/company/sh/600880/600880/detail</t>
  </si>
  <si>
    <t>亚泰集团</t>
  </si>
  <si>
    <t>www.lixinger.com/analytics/company/sh/600881/600881/detail</t>
  </si>
  <si>
    <t>妙可蓝多</t>
  </si>
  <si>
    <t>www.lixinger.com/analytics/company/sh/600882/600882/detail</t>
  </si>
  <si>
    <t>博闻科技</t>
  </si>
  <si>
    <t>www.lixinger.com/analytics/company/sh/600883/600883/detail</t>
  </si>
  <si>
    <t>杉杉股份</t>
  </si>
  <si>
    <t>电池化学品</t>
  </si>
  <si>
    <t>www.lixinger.com/analytics/company/sh/600884/600884/detail</t>
  </si>
  <si>
    <t>宏发股份</t>
  </si>
  <si>
    <t>www.lixinger.com/analytics/company/sh/600885/600885/detail</t>
  </si>
  <si>
    <t>国投电力</t>
  </si>
  <si>
    <t>www.lixinger.com/analytics/company/sh/600886/600886/detail</t>
  </si>
  <si>
    <t>伊利股份</t>
  </si>
  <si>
    <t>www.lixinger.com/analytics/company/sh/600887/600887/detail</t>
  </si>
  <si>
    <t>新疆众和</t>
  </si>
  <si>
    <t>www.lixinger.com/analytics/company/sh/600888/600888/detail</t>
  </si>
  <si>
    <t>南京化纤</t>
  </si>
  <si>
    <t>www.lixinger.com/analytics/company/sh/600889/600889/detail</t>
  </si>
  <si>
    <t>*ST中房</t>
  </si>
  <si>
    <t>www.lixinger.com/analytics/company/sh/600890/600890/detail</t>
  </si>
  <si>
    <t>退市秋林</t>
  </si>
  <si>
    <t>www.lixinger.com/analytics/company/sh/600891/600891/detail</t>
  </si>
  <si>
    <t>大晟文化</t>
  </si>
  <si>
    <t>www.lixinger.com/analytics/company/sh/600892/600892/detail</t>
  </si>
  <si>
    <t>航发动力</t>
  </si>
  <si>
    <t>www.lixinger.com/analytics/company/sh/600893/600893/detail</t>
  </si>
  <si>
    <t>广日股份</t>
  </si>
  <si>
    <t>www.lixinger.com/analytics/company/sh/600894/600894/detail</t>
  </si>
  <si>
    <t>张江高科</t>
  </si>
  <si>
    <t>www.lixinger.com/analytics/company/sh/600895/600895/detail</t>
  </si>
  <si>
    <t>*ST海医</t>
  </si>
  <si>
    <t>www.lixinger.com/analytics/company/sh/600896/600896/detail</t>
  </si>
  <si>
    <t>厦门空港</t>
  </si>
  <si>
    <t>www.lixinger.com/analytics/company/sh/600897/600897/detail</t>
  </si>
  <si>
    <t>国美通讯</t>
  </si>
  <si>
    <t>www.lixinger.com/analytics/company/sh/600898/600898/detail</t>
  </si>
  <si>
    <t>长江电力</t>
  </si>
  <si>
    <t>www.lixinger.com/analytics/company/sh/600900/600900/detail</t>
  </si>
  <si>
    <t>江苏租赁</t>
  </si>
  <si>
    <t>www.lixinger.com/analytics/company/sh/600901/600901/detail</t>
  </si>
  <si>
    <t>贵州燃气</t>
  </si>
  <si>
    <t>www.lixinger.com/analytics/company/sh/600903/600903/detail</t>
  </si>
  <si>
    <t>三峡能源</t>
  </si>
  <si>
    <t>www.lixinger.com/analytics/company/sh/600905/600905/detail</t>
  </si>
  <si>
    <t>财达证券</t>
  </si>
  <si>
    <t>www.lixinger.com/analytics/company/sh/600906/600906/detail</t>
  </si>
  <si>
    <t>无锡银行</t>
  </si>
  <si>
    <t>农商行</t>
  </si>
  <si>
    <t>www.lixinger.com/analytics/company/sh/600908/600908/detail</t>
  </si>
  <si>
    <t>华安证券</t>
  </si>
  <si>
    <t>www.lixinger.com/analytics/company/sh/600909/600909/detail</t>
  </si>
  <si>
    <t>中国黄金</t>
  </si>
  <si>
    <t>www.lixinger.com/analytics/company/sh/600916/600916/detail</t>
  </si>
  <si>
    <t>重庆燃气</t>
  </si>
  <si>
    <t>www.lixinger.com/analytics/company/sh/600917/600917/detail</t>
  </si>
  <si>
    <t>中泰证券</t>
  </si>
  <si>
    <t>www.lixinger.com/analytics/company/sh/600918/600918/detail</t>
  </si>
  <si>
    <t>江苏银行</t>
  </si>
  <si>
    <t>城商行</t>
  </si>
  <si>
    <t>www.lixinger.com/analytics/company/sh/600919/600919/detail</t>
  </si>
  <si>
    <t>杭州银行</t>
  </si>
  <si>
    <t>www.lixinger.com/analytics/company/sh/600926/600926/detail</t>
  </si>
  <si>
    <t>永安期货</t>
  </si>
  <si>
    <t>期货</t>
  </si>
  <si>
    <t>www.lixinger.com/analytics/company/sh/600927/600927/detail</t>
  </si>
  <si>
    <t>西安银行</t>
  </si>
  <si>
    <t>www.lixinger.com/analytics/company/sh/600928/600928/detail</t>
  </si>
  <si>
    <t>雪天盐业</t>
  </si>
  <si>
    <t>www.lixinger.com/analytics/company/sh/600929/600929/detail</t>
  </si>
  <si>
    <t>爱柯迪</t>
  </si>
  <si>
    <t>www.lixinger.com/analytics/company/sh/600933/600933/detail</t>
  </si>
  <si>
    <t>华塑股份</t>
  </si>
  <si>
    <t>www.lixinger.com/analytics/company/sh/600935/600935/detail</t>
  </si>
  <si>
    <t>广西广电</t>
  </si>
  <si>
    <t>www.lixinger.com/analytics/company/sh/600936/600936/detail</t>
  </si>
  <si>
    <t>中国海油</t>
  </si>
  <si>
    <t>www.lixinger.com/analytics/company/sh/600938/600938/detail</t>
  </si>
  <si>
    <t>重庆建工</t>
  </si>
  <si>
    <t>www.lixinger.com/analytics/company/sh/600939/600939/detail</t>
  </si>
  <si>
    <t>中国移动</t>
  </si>
  <si>
    <t>www.lixinger.com/analytics/company/sh/600941/600941/detail</t>
  </si>
  <si>
    <t>维远股份</t>
  </si>
  <si>
    <t>www.lixinger.com/analytics/company/sh/600955/600955/detail</t>
  </si>
  <si>
    <t>新天绿能</t>
  </si>
  <si>
    <t>www.lixinger.com/analytics/company/sh/600956/600956/detail</t>
  </si>
  <si>
    <t>东方证券</t>
  </si>
  <si>
    <t>www.lixinger.com/analytics/company/sh/600958/600958/detail</t>
  </si>
  <si>
    <t>江苏有线</t>
  </si>
  <si>
    <t>www.lixinger.com/analytics/company/sh/600959/600959/detail</t>
  </si>
  <si>
    <t>渤海汽车</t>
  </si>
  <si>
    <t>www.lixinger.com/analytics/company/sh/600960/600960/detail</t>
  </si>
  <si>
    <t>株冶集团</t>
  </si>
  <si>
    <t>www.lixinger.com/analytics/company/sh/600961/600961/detail</t>
  </si>
  <si>
    <t>国投中鲁</t>
  </si>
  <si>
    <t>www.lixinger.com/analytics/company/sh/600962/600962/detail</t>
  </si>
  <si>
    <t>岳阳林纸</t>
  </si>
  <si>
    <t>www.lixinger.com/analytics/company/sh/600963/600963/detail</t>
  </si>
  <si>
    <t>福成股份</t>
  </si>
  <si>
    <t>其他养殖</t>
  </si>
  <si>
    <t>www.lixinger.com/analytics/company/sh/600965/600965/detail</t>
  </si>
  <si>
    <t>博汇纸业</t>
  </si>
  <si>
    <t>www.lixinger.com/analytics/company/sh/600966/600966/detail</t>
  </si>
  <si>
    <t>内蒙一机</t>
  </si>
  <si>
    <t>www.lixinger.com/analytics/company/sh/600967/600967/detail</t>
  </si>
  <si>
    <t>海油发展</t>
  </si>
  <si>
    <t>www.lixinger.com/analytics/company/sh/600968/600968/detail</t>
  </si>
  <si>
    <t>郴电国际</t>
  </si>
  <si>
    <t>www.lixinger.com/analytics/company/sh/600969/600969/detail</t>
  </si>
  <si>
    <t>中材国际</t>
  </si>
  <si>
    <t>国际工程</t>
  </si>
  <si>
    <t>www.lixinger.com/analytics/company/sh/600970/600970/detail</t>
  </si>
  <si>
    <t>恒源煤电</t>
  </si>
  <si>
    <t>www.lixinger.com/analytics/company/sh/600971/600971/detail</t>
  </si>
  <si>
    <t>宝胜股份</t>
  </si>
  <si>
    <t>www.lixinger.com/analytics/company/sh/600973/600973/detail</t>
  </si>
  <si>
    <t>新五丰</t>
  </si>
  <si>
    <t>生猪养殖</t>
  </si>
  <si>
    <t>www.lixinger.com/analytics/company/sh/600975/600975/detail</t>
  </si>
  <si>
    <t>健民集团</t>
  </si>
  <si>
    <t>www.lixinger.com/analytics/company/sh/600976/600976/detail</t>
  </si>
  <si>
    <t>中国电影</t>
  </si>
  <si>
    <t>www.lixinger.com/analytics/company/sh/600977/600977/detail</t>
  </si>
  <si>
    <t>*ST宜生</t>
  </si>
  <si>
    <t>www.lixinger.com/analytics/company/sh/600978/600978/detail</t>
  </si>
  <si>
    <t>广安爱众</t>
  </si>
  <si>
    <t>www.lixinger.com/analytics/company/sh/600979/600979/detail</t>
  </si>
  <si>
    <t>北矿科技</t>
  </si>
  <si>
    <t>www.lixinger.com/analytics/company/sh/600980/600980/detail</t>
  </si>
  <si>
    <t>汇鸿集团</t>
  </si>
  <si>
    <t>www.lixinger.com/analytics/company/sh/600981/600981/detail</t>
  </si>
  <si>
    <t>宁波能源</t>
  </si>
  <si>
    <t>www.lixinger.com/analytics/company/sh/600982/600982/detail</t>
  </si>
  <si>
    <t>惠而浦</t>
  </si>
  <si>
    <t>www.lixinger.com/analytics/company/sh/600983/600983/detail</t>
  </si>
  <si>
    <t>建设机械</t>
  </si>
  <si>
    <t>www.lixinger.com/analytics/company/sh/600984/600984/detail</t>
  </si>
  <si>
    <t>淮北矿业</t>
  </si>
  <si>
    <t>www.lixinger.com/analytics/company/sh/600985/600985/detail</t>
  </si>
  <si>
    <t>浙文互联</t>
  </si>
  <si>
    <t>www.lixinger.com/analytics/company/sh/600986/600986/detail</t>
  </si>
  <si>
    <t>航民股份</t>
  </si>
  <si>
    <t>www.lixinger.com/analytics/company/sh/600987/600987/detail</t>
  </si>
  <si>
    <t>赤峰黄金</t>
  </si>
  <si>
    <t>www.lixinger.com/analytics/company/sh/600988/600988/detail</t>
  </si>
  <si>
    <t>宝丰能源</t>
  </si>
  <si>
    <t>www.lixinger.com/analytics/company/sh/600989/600989/detail</t>
  </si>
  <si>
    <t>四创电子</t>
  </si>
  <si>
    <t>www.lixinger.com/analytics/company/sh/600990/600990/detail</t>
  </si>
  <si>
    <t>贵绳股份</t>
  </si>
  <si>
    <t>www.lixinger.com/analytics/company/sh/600992/600992/detail</t>
  </si>
  <si>
    <t>马应龙</t>
  </si>
  <si>
    <t>www.lixinger.com/analytics/company/sh/600993/600993/detail</t>
  </si>
  <si>
    <t>文山电力</t>
  </si>
  <si>
    <t>www.lixinger.com/analytics/company/sh/600995/600995/detail</t>
  </si>
  <si>
    <t>贵广网络</t>
  </si>
  <si>
    <t>www.lixinger.com/analytics/company/sh/600996/600996/detail</t>
  </si>
  <si>
    <t>开滦股份</t>
  </si>
  <si>
    <t>www.lixinger.com/analytics/company/sh/600997/600997/detail</t>
  </si>
  <si>
    <t>九州通</t>
  </si>
  <si>
    <t>www.lixinger.com/analytics/company/sh/600998/600998/detail</t>
  </si>
  <si>
    <t>招商证券</t>
  </si>
  <si>
    <t>www.lixinger.com/analytics/company/sh/600999/600999/detail</t>
  </si>
  <si>
    <t>唐山港</t>
  </si>
  <si>
    <t>www.lixinger.com/analytics/company/sh/601000/601000/detail</t>
  </si>
  <si>
    <t>晋控煤业</t>
  </si>
  <si>
    <t>www.lixinger.com/analytics/company/sh/601001/601001/detail</t>
  </si>
  <si>
    <t>晋亿实业</t>
  </si>
  <si>
    <t>www.lixinger.com/analytics/company/sh/601002/601002/detail</t>
  </si>
  <si>
    <t>柳钢股份</t>
  </si>
  <si>
    <t>www.lixinger.com/analytics/company/sh/601003/601003/detail</t>
  </si>
  <si>
    <t>重庆钢铁</t>
  </si>
  <si>
    <t>www.lixinger.com/analytics/company/sh/601005/601005/detail</t>
  </si>
  <si>
    <t>大秦铁路</t>
  </si>
  <si>
    <t>www.lixinger.com/analytics/company/sh/601006/601006/detail</t>
  </si>
  <si>
    <t>金陵饭店</t>
  </si>
  <si>
    <t>www.lixinger.com/analytics/company/sh/601007/601007/detail</t>
  </si>
  <si>
    <t>连云港</t>
  </si>
  <si>
    <t>www.lixinger.com/analytics/company/sh/601008/601008/detail</t>
  </si>
  <si>
    <t>南京银行</t>
  </si>
  <si>
    <t>www.lixinger.com/analytics/company/sh/601009/601009/detail</t>
  </si>
  <si>
    <t>文峰股份</t>
  </si>
  <si>
    <t>www.lixinger.com/analytics/company/sh/601010/601010/detail</t>
  </si>
  <si>
    <t>宝泰隆</t>
  </si>
  <si>
    <t>www.lixinger.com/analytics/company/sh/601011/601011/detail</t>
  </si>
  <si>
    <t>隆基股份</t>
  </si>
  <si>
    <t>www.lixinger.com/analytics/company/sh/601012/601012/detail</t>
  </si>
  <si>
    <t>陕西黑猫</t>
  </si>
  <si>
    <t>www.lixinger.com/analytics/company/sh/601015/601015/detail</t>
  </si>
  <si>
    <t>节能风电</t>
  </si>
  <si>
    <t>www.lixinger.com/analytics/company/sh/601016/601016/detail</t>
  </si>
  <si>
    <t>宁波港</t>
  </si>
  <si>
    <t>www.lixinger.com/analytics/company/sh/601018/601018/detail</t>
  </si>
  <si>
    <t>山东出版</t>
  </si>
  <si>
    <t>www.lixinger.com/analytics/company/sh/601019/601019/detail</t>
  </si>
  <si>
    <t>ST华钰</t>
  </si>
  <si>
    <t>www.lixinger.com/analytics/company/sh/601020/601020/detail</t>
  </si>
  <si>
    <t>春秋航空</t>
  </si>
  <si>
    <t>www.lixinger.com/analytics/company/sh/601021/601021/detail</t>
  </si>
  <si>
    <t>玉龙股份</t>
  </si>
  <si>
    <t>www.lixinger.com/analytics/company/sh/601028/601028/detail</t>
  </si>
  <si>
    <t>一拖股份</t>
  </si>
  <si>
    <t>农用机械</t>
  </si>
  <si>
    <t>www.lixinger.com/analytics/company/sh/601038/601038/detail</t>
  </si>
  <si>
    <t>赛轮轮胎</t>
  </si>
  <si>
    <t>www.lixinger.com/analytics/company/sh/601058/601058/detail</t>
  </si>
  <si>
    <t>中信建投</t>
  </si>
  <si>
    <t>www.lixinger.com/analytics/company/sh/601066/601066/detail</t>
  </si>
  <si>
    <t>中铝国际</t>
  </si>
  <si>
    <t>其他专业工程</t>
  </si>
  <si>
    <t>www.lixinger.com/analytics/company/sh/601068/601068/detail</t>
  </si>
  <si>
    <t>西部黄金</t>
  </si>
  <si>
    <t>www.lixinger.com/analytics/company/sh/601069/601069/detail</t>
  </si>
  <si>
    <t>渝农商行</t>
  </si>
  <si>
    <t>www.lixinger.com/analytics/company/sh/601077/601077/detail</t>
  </si>
  <si>
    <t>国芳集团</t>
  </si>
  <si>
    <t>www.lixinger.com/analytics/company/sh/601086/601086/detail</t>
  </si>
  <si>
    <t>中国神华</t>
  </si>
  <si>
    <t>www.lixinger.com/analytics/company/sh/601088/601088/detail</t>
  </si>
  <si>
    <t>中南传媒</t>
  </si>
  <si>
    <t>www.lixinger.com/analytics/company/sh/601098/601098/detail</t>
  </si>
  <si>
    <t>太平洋</t>
  </si>
  <si>
    <t>www.lixinger.com/analytics/company/sh/601099/601099/detail</t>
  </si>
  <si>
    <t>恒立液压</t>
  </si>
  <si>
    <t>工程机械器件</t>
  </si>
  <si>
    <t>www.lixinger.com/analytics/company/sh/601100/601100/detail</t>
  </si>
  <si>
    <t>昊华能源</t>
  </si>
  <si>
    <t>www.lixinger.com/analytics/company/sh/601101/601101/detail</t>
  </si>
  <si>
    <t>中国一重</t>
  </si>
  <si>
    <t>www.lixinger.com/analytics/company/sh/601106/601106/detail</t>
  </si>
  <si>
    <t>四川成渝</t>
  </si>
  <si>
    <t>www.lixinger.com/analytics/company/sh/601107/601107/detail</t>
  </si>
  <si>
    <t>财通证券</t>
  </si>
  <si>
    <t>www.lixinger.com/analytics/company/sh/601108/601108/detail</t>
  </si>
  <si>
    <t>中国国航</t>
  </si>
  <si>
    <t>www.lixinger.com/analytics/company/sh/601111/601111/detail</t>
  </si>
  <si>
    <t>ST华鼎</t>
  </si>
  <si>
    <t>跨境电商</t>
  </si>
  <si>
    <t>www.lixinger.com/analytics/company/sh/601113/601113/detail</t>
  </si>
  <si>
    <t>三江购物</t>
  </si>
  <si>
    <t>www.lixinger.com/analytics/company/sh/601116/601116/detail</t>
  </si>
  <si>
    <t>中国化学</t>
  </si>
  <si>
    <t>化学工程</t>
  </si>
  <si>
    <t>www.lixinger.com/analytics/company/sh/601117/601117/detail</t>
  </si>
  <si>
    <t>海南橡胶</t>
  </si>
  <si>
    <t>www.lixinger.com/analytics/company/sh/601118/601118/detail</t>
  </si>
  <si>
    <t>四方股份</t>
  </si>
  <si>
    <t>www.lixinger.com/analytics/company/sh/601126/601126/detail</t>
  </si>
  <si>
    <t>小康股份</t>
  </si>
  <si>
    <t>www.lixinger.com/analytics/company/sh/601127/601127/detail</t>
  </si>
  <si>
    <t>常熟银行</t>
  </si>
  <si>
    <t>www.lixinger.com/analytics/company/sh/601128/601128/detail</t>
  </si>
  <si>
    <t>博威合金</t>
  </si>
  <si>
    <t>www.lixinger.com/analytics/company/sh/601137/601137/detail</t>
  </si>
  <si>
    <t>工业富联</t>
  </si>
  <si>
    <t>www.lixinger.com/analytics/company/sh/601138/601138/detail</t>
  </si>
  <si>
    <t>深圳燃气</t>
  </si>
  <si>
    <t>www.lixinger.com/analytics/company/sh/601139/601139/detail</t>
  </si>
  <si>
    <t>新城控股</t>
  </si>
  <si>
    <t>www.lixinger.com/analytics/company/sh/601155/601155/detail</t>
  </si>
  <si>
    <t>东航物流</t>
  </si>
  <si>
    <t>www.lixinger.com/analytics/company/sh/601156/601156/detail</t>
  </si>
  <si>
    <t>重庆水务</t>
  </si>
  <si>
    <t>www.lixinger.com/analytics/company/sh/601158/601158/detail</t>
  </si>
  <si>
    <t>天风证券</t>
  </si>
  <si>
    <t>www.lixinger.com/analytics/company/sh/601162/601162/detail</t>
  </si>
  <si>
    <t>三角轮胎</t>
  </si>
  <si>
    <t>www.lixinger.com/analytics/company/sh/601163/601163/detail</t>
  </si>
  <si>
    <t>兴业银行</t>
  </si>
  <si>
    <t>www.lixinger.com/analytics/company/sh/601166/601166/detail</t>
  </si>
  <si>
    <t>西部矿业</t>
  </si>
  <si>
    <t>www.lixinger.com/analytics/company/sh/601168/601168/detail</t>
  </si>
  <si>
    <t>北京银行</t>
  </si>
  <si>
    <t>www.lixinger.com/analytics/company/sh/601169/601169/detail</t>
  </si>
  <si>
    <t>杭齿前进</t>
  </si>
  <si>
    <t>www.lixinger.com/analytics/company/sh/601177/601177/detail</t>
  </si>
  <si>
    <t>中国西电</t>
  </si>
  <si>
    <t>www.lixinger.com/analytics/company/sh/601179/601179/detail</t>
  </si>
  <si>
    <t>中国铁建</t>
  </si>
  <si>
    <t>www.lixinger.com/analytics/company/sh/601186/601186/detail</t>
  </si>
  <si>
    <t>厦门银行</t>
  </si>
  <si>
    <t>www.lixinger.com/analytics/company/sh/601187/601187/detail</t>
  </si>
  <si>
    <t>龙江交通</t>
  </si>
  <si>
    <t>www.lixinger.com/analytics/company/sh/601188/601188/detail</t>
  </si>
  <si>
    <t>东兴证券</t>
  </si>
  <si>
    <t>www.lixinger.com/analytics/company/sh/601198/601198/detail</t>
  </si>
  <si>
    <t>江南水务</t>
  </si>
  <si>
    <t>www.lixinger.com/analytics/company/sh/601199/601199/detail</t>
  </si>
  <si>
    <t>上海环境</t>
  </si>
  <si>
    <t>www.lixinger.com/analytics/company/sh/601200/601200/detail</t>
  </si>
  <si>
    <t>海尔施</t>
  </si>
  <si>
    <t>医疗器械</t>
  </si>
  <si>
    <t>www.lixinger.com/analytics/company/sh/601206/601206/detail</t>
  </si>
  <si>
    <t>东材科技</t>
  </si>
  <si>
    <t>www.lixinger.com/analytics/company/sh/601208/601208/detail</t>
  </si>
  <si>
    <t>国泰君安</t>
  </si>
  <si>
    <t>www.lixinger.com/analytics/company/sh/601211/601211/detail</t>
  </si>
  <si>
    <t>白银有色</t>
  </si>
  <si>
    <t>白银</t>
  </si>
  <si>
    <t>www.lixinger.com/analytics/company/sh/601212/601212/detail</t>
  </si>
  <si>
    <t>君正集团</t>
  </si>
  <si>
    <t>www.lixinger.com/analytics/company/sh/601216/601216/detail</t>
  </si>
  <si>
    <t>吉鑫科技</t>
  </si>
  <si>
    <t>www.lixinger.com/analytics/company/sh/601218/601218/detail</t>
  </si>
  <si>
    <t>林洋能源</t>
  </si>
  <si>
    <t>www.lixinger.com/analytics/company/sh/601222/601222/detail</t>
  </si>
  <si>
    <t>陕西煤业</t>
  </si>
  <si>
    <t>www.lixinger.com/analytics/company/sh/601225/601225/detail</t>
  </si>
  <si>
    <t>华电重工</t>
  </si>
  <si>
    <t>www.lixinger.com/analytics/company/sh/601226/601226/detail</t>
  </si>
  <si>
    <t>广州港</t>
  </si>
  <si>
    <t>www.lixinger.com/analytics/company/sh/601228/601228/detail</t>
  </si>
  <si>
    <t>上海银行</t>
  </si>
  <si>
    <t>www.lixinger.com/analytics/company/sh/601229/601229/detail</t>
  </si>
  <si>
    <t>环旭电子</t>
  </si>
  <si>
    <t>www.lixinger.com/analytics/company/sh/601231/601231/detail</t>
  </si>
  <si>
    <t>桐昆股份</t>
  </si>
  <si>
    <t>www.lixinger.com/analytics/company/sh/601233/601233/detail</t>
  </si>
  <si>
    <t>红塔证券</t>
  </si>
  <si>
    <t>www.lixinger.com/analytics/company/sh/601236/601236/detail</t>
  </si>
  <si>
    <t>广汽集团</t>
  </si>
  <si>
    <t>www.lixinger.com/analytics/company/sh/601238/601238/detail</t>
  </si>
  <si>
    <t>庞大集团</t>
  </si>
  <si>
    <t>www.lixinger.com/analytics/company/sh/601258/601258/detail</t>
  </si>
  <si>
    <t>*ST二重</t>
  </si>
  <si>
    <t>www.lixinger.com/analytics/company/sh/601268/601268/detail</t>
  </si>
  <si>
    <t>英利汽车</t>
  </si>
  <si>
    <t>www.lixinger.com/analytics/company/sh/601279/601279/detail</t>
  </si>
  <si>
    <t>农业银行</t>
  </si>
  <si>
    <t>国有大型银行</t>
  </si>
  <si>
    <t>www.lixinger.com/analytics/company/sh/601288/601288/detail</t>
  </si>
  <si>
    <t>青岛港</t>
  </si>
  <si>
    <t>www.lixinger.com/analytics/company/sh/601298/601298/detail</t>
  </si>
  <si>
    <t>中国北车</t>
  </si>
  <si>
    <t>www.lixinger.com/analytics/company/sh/601299/601299/detail</t>
  </si>
  <si>
    <t>骆驼股份</t>
  </si>
  <si>
    <t>www.lixinger.com/analytics/company/sh/601311/601311/detail</t>
  </si>
  <si>
    <t>江南嘉捷</t>
  </si>
  <si>
    <t>www.lixinger.com/analytics/company/sh/601313/601313/detail</t>
  </si>
  <si>
    <t>中国平安</t>
  </si>
  <si>
    <t>www.lixinger.com/analytics/company/sh/601318/601318/detail</t>
  </si>
  <si>
    <t>中国人保</t>
  </si>
  <si>
    <t>www.lixinger.com/analytics/company/sh/601319/601319/detail</t>
  </si>
  <si>
    <t>秦港股份</t>
  </si>
  <si>
    <t>www.lixinger.com/analytics/company/sh/601326/601326/detail</t>
  </si>
  <si>
    <t>交通银行</t>
  </si>
  <si>
    <t>www.lixinger.com/analytics/company/sh/601328/601328/detail</t>
  </si>
  <si>
    <t>绿色动力</t>
  </si>
  <si>
    <t>www.lixinger.com/analytics/company/sh/601330/601330/detail</t>
  </si>
  <si>
    <t>广深铁路</t>
  </si>
  <si>
    <t>www.lixinger.com/analytics/company/sh/601333/601333/detail</t>
  </si>
  <si>
    <t>新华保险</t>
  </si>
  <si>
    <t>www.lixinger.com/analytics/company/sh/601336/601336/detail</t>
  </si>
  <si>
    <t>百隆东方</t>
  </si>
  <si>
    <t>www.lixinger.com/analytics/company/sh/601339/601339/detail</t>
  </si>
  <si>
    <t>三六零</t>
  </si>
  <si>
    <t>www.lixinger.com/analytics/company/sh/601360/601360/detail</t>
  </si>
  <si>
    <t>利群股份</t>
  </si>
  <si>
    <t>www.lixinger.com/analytics/company/sh/601366/601366/detail</t>
  </si>
  <si>
    <t>绿城水务</t>
  </si>
  <si>
    <t>www.lixinger.com/analytics/company/sh/601368/601368/detail</t>
  </si>
  <si>
    <t>陕鼓动力</t>
  </si>
  <si>
    <t>www.lixinger.com/analytics/company/sh/601369/601369/detail</t>
  </si>
  <si>
    <t>中原证券</t>
  </si>
  <si>
    <t>www.lixinger.com/analytics/company/sh/601375/601375/detail</t>
  </si>
  <si>
    <t>兴业证券</t>
  </si>
  <si>
    <t>www.lixinger.com/analytics/company/sh/601377/601377/detail</t>
  </si>
  <si>
    <t>怡球资源</t>
  </si>
  <si>
    <t>www.lixinger.com/analytics/company/sh/601388/601388/detail</t>
  </si>
  <si>
    <t>中国中铁</t>
  </si>
  <si>
    <t>www.lixinger.com/analytics/company/sh/601390/601390/detail</t>
  </si>
  <si>
    <t>工商银行</t>
  </si>
  <si>
    <t>www.lixinger.com/analytics/company/sh/601398/601398/detail</t>
  </si>
  <si>
    <t>国机重装</t>
  </si>
  <si>
    <t>www.lixinger.com/analytics/company/sh/601399/601399/detail</t>
  </si>
  <si>
    <t>国联证券</t>
  </si>
  <si>
    <t>www.lixinger.com/analytics/company/sh/601456/601456/detail</t>
  </si>
  <si>
    <t>通用股份</t>
  </si>
  <si>
    <t>www.lixinger.com/analytics/company/sh/601500/601500/detail</t>
  </si>
  <si>
    <t>中新集团</t>
  </si>
  <si>
    <t>www.lixinger.com/analytics/company/sh/601512/601512/detail</t>
  </si>
  <si>
    <t>东风股份</t>
  </si>
  <si>
    <t>纸包装</t>
  </si>
  <si>
    <t>www.lixinger.com/analytics/company/sh/601515/601515/detail</t>
  </si>
  <si>
    <t>吉林高速</t>
  </si>
  <si>
    <t>www.lixinger.com/analytics/company/sh/601518/601518/detail</t>
  </si>
  <si>
    <t>大智慧</t>
  </si>
  <si>
    <t>www.lixinger.com/analytics/company/sh/601519/601519/detail</t>
  </si>
  <si>
    <t>瑞丰银行</t>
  </si>
  <si>
    <t>www.lixinger.com/analytics/company/sh/601528/601528/detail</t>
  </si>
  <si>
    <t>东吴证券</t>
  </si>
  <si>
    <t>www.lixinger.com/analytics/company/sh/601555/601555/detail</t>
  </si>
  <si>
    <t>退市锐电</t>
  </si>
  <si>
    <t>www.lixinger.com/analytics/company/sh/601558/601558/detail</t>
  </si>
  <si>
    <t>九牧王</t>
  </si>
  <si>
    <t>www.lixinger.com/analytics/company/sh/601566/601566/detail</t>
  </si>
  <si>
    <t>三星医疗</t>
  </si>
  <si>
    <t>电工仪器仪表</t>
  </si>
  <si>
    <t>www.lixinger.com/analytics/company/sh/601567/601567/detail</t>
  </si>
  <si>
    <t>北元集团</t>
  </si>
  <si>
    <t>www.lixinger.com/analytics/company/sh/601568/601568/detail</t>
  </si>
  <si>
    <t>长沙银行</t>
  </si>
  <si>
    <t>www.lixinger.com/analytics/company/sh/601577/601577/detail</t>
  </si>
  <si>
    <t>会稽山</t>
  </si>
  <si>
    <t>www.lixinger.com/analytics/company/sh/601579/601579/detail</t>
  </si>
  <si>
    <t>北辰实业</t>
  </si>
  <si>
    <t>www.lixinger.com/analytics/company/sh/601588/601588/detail</t>
  </si>
  <si>
    <t>上海电影</t>
  </si>
  <si>
    <t>www.lixinger.com/analytics/company/sh/601595/601595/detail</t>
  </si>
  <si>
    <t>中国外运</t>
  </si>
  <si>
    <t>www.lixinger.com/analytics/company/sh/601598/601598/detail</t>
  </si>
  <si>
    <t>浙文影业</t>
  </si>
  <si>
    <t>www.lixinger.com/analytics/company/sh/601599/601599/detail</t>
  </si>
  <si>
    <t>中国铝业</t>
  </si>
  <si>
    <t>www.lixinger.com/analytics/company/sh/601600/601600/detail</t>
  </si>
  <si>
    <t>中国太保</t>
  </si>
  <si>
    <t>www.lixinger.com/analytics/company/sh/601601/601601/detail</t>
  </si>
  <si>
    <t>长城军工</t>
  </si>
  <si>
    <t>www.lixinger.com/analytics/company/sh/601606/601606/detail</t>
  </si>
  <si>
    <t>www.lixinger.com/analytics/company/sh/601607/601607/detail</t>
  </si>
  <si>
    <t>中信重工</t>
  </si>
  <si>
    <t>www.lixinger.com/analytics/company/sh/601608/601608/detail</t>
  </si>
  <si>
    <t>金田铜业</t>
  </si>
  <si>
    <t>www.lixinger.com/analytics/company/sh/601609/601609/detail</t>
  </si>
  <si>
    <t>中国核建</t>
  </si>
  <si>
    <t>www.lixinger.com/analytics/company/sh/601611/601611/detail</t>
  </si>
  <si>
    <t>明阳智能</t>
  </si>
  <si>
    <t>www.lixinger.com/analytics/company/sh/601615/601615/detail</t>
  </si>
  <si>
    <t>广电电气</t>
  </si>
  <si>
    <t>www.lixinger.com/analytics/company/sh/601616/601616/detail</t>
  </si>
  <si>
    <t>中国中冶</t>
  </si>
  <si>
    <t>www.lixinger.com/analytics/company/sh/601618/601618/detail</t>
  </si>
  <si>
    <t>嘉泽新能</t>
  </si>
  <si>
    <t>www.lixinger.com/analytics/company/sh/601619/601619/detail</t>
  </si>
  <si>
    <t>中国人寿</t>
  </si>
  <si>
    <t>www.lixinger.com/analytics/company/sh/601628/601628/detail</t>
  </si>
  <si>
    <t>长城汽车</t>
  </si>
  <si>
    <t>www.lixinger.com/analytics/company/sh/601633/601633/detail</t>
  </si>
  <si>
    <t>旗滨集团</t>
  </si>
  <si>
    <t>www.lixinger.com/analytics/company/sh/601636/601636/detail</t>
  </si>
  <si>
    <t>邮储银行</t>
  </si>
  <si>
    <t>www.lixinger.com/analytics/company/sh/601658/601658/detail</t>
  </si>
  <si>
    <t>齐鲁银行</t>
  </si>
  <si>
    <t>www.lixinger.com/analytics/company/sh/601665/601665/detail</t>
  </si>
  <si>
    <t>平煤股份</t>
  </si>
  <si>
    <t>www.lixinger.com/analytics/company/sh/601666/601666/detail</t>
  </si>
  <si>
    <t>中国建筑</t>
  </si>
  <si>
    <t>www.lixinger.com/analytics/company/sh/601668/601668/detail</t>
  </si>
  <si>
    <t>中国电建</t>
  </si>
  <si>
    <t>www.lixinger.com/analytics/company/sh/601669/601669/detail</t>
  </si>
  <si>
    <t>明泰铝业</t>
  </si>
  <si>
    <t>www.lixinger.com/analytics/company/sh/601677/601677/detail</t>
  </si>
  <si>
    <t>滨化股份</t>
  </si>
  <si>
    <t>www.lixinger.com/analytics/company/sh/601678/601678/detail</t>
  </si>
  <si>
    <t>友发集团</t>
  </si>
  <si>
    <t>钢铁管材</t>
  </si>
  <si>
    <t>www.lixinger.com/analytics/company/sh/601686/601686/detail</t>
  </si>
  <si>
    <t>华泰证券</t>
  </si>
  <si>
    <t>www.lixinger.com/analytics/company/sh/601688/601688/detail</t>
  </si>
  <si>
    <t>拓普集团</t>
  </si>
  <si>
    <t>www.lixinger.com/analytics/company/sh/601689/601689/detail</t>
  </si>
  <si>
    <t>中银证券</t>
  </si>
  <si>
    <t>www.lixinger.com/analytics/company/sh/601696/601696/detail</t>
  </si>
  <si>
    <t>中国卫通</t>
  </si>
  <si>
    <t>www.lixinger.com/analytics/company/sh/601698/601698/detail</t>
  </si>
  <si>
    <t>潞安环能</t>
  </si>
  <si>
    <t>www.lixinger.com/analytics/company/sh/601699/601699/detail</t>
  </si>
  <si>
    <t>风范股份</t>
  </si>
  <si>
    <t>www.lixinger.com/analytics/company/sh/601700/601700/detail</t>
  </si>
  <si>
    <t>华峰铝业</t>
  </si>
  <si>
    <t>www.lixinger.com/analytics/company/sh/601702/601702/detail</t>
  </si>
  <si>
    <t>郑煤机</t>
  </si>
  <si>
    <t>www.lixinger.com/analytics/company/sh/601717/601717/detail</t>
  </si>
  <si>
    <t>际华集团</t>
  </si>
  <si>
    <t>www.lixinger.com/analytics/company/sh/601718/601718/detail</t>
  </si>
  <si>
    <t>上海电气</t>
  </si>
  <si>
    <t>www.lixinger.com/analytics/company/sh/601727/601727/detail</t>
  </si>
  <si>
    <t>中国电信</t>
  </si>
  <si>
    <t>www.lixinger.com/analytics/company/sh/601728/601728/detail</t>
  </si>
  <si>
    <t>中国中车</t>
  </si>
  <si>
    <t>www.lixinger.com/analytics/company/sh/601766/601766/detail</t>
  </si>
  <si>
    <t>力帆科技</t>
  </si>
  <si>
    <t>www.lixinger.com/analytics/company/sh/601777/601777/detail</t>
  </si>
  <si>
    <t>晶科科技</t>
  </si>
  <si>
    <t>www.lixinger.com/analytics/company/sh/601778/601778/detail</t>
  </si>
  <si>
    <t>光大证券</t>
  </si>
  <si>
    <t>www.lixinger.com/analytics/company/sh/601788/601788/detail</t>
  </si>
  <si>
    <t>宁波建工</t>
  </si>
  <si>
    <t>www.lixinger.com/analytics/company/sh/601789/601789/detail</t>
  </si>
  <si>
    <t>蓝科高新</t>
  </si>
  <si>
    <t>www.lixinger.com/analytics/company/sh/601798/601798/detail</t>
  </si>
  <si>
    <t>星宇股份</t>
  </si>
  <si>
    <t>www.lixinger.com/analytics/company/sh/601799/601799/detail</t>
  </si>
  <si>
    <t>中国交建</t>
  </si>
  <si>
    <t>www.lixinger.com/analytics/company/sh/601800/601800/detail</t>
  </si>
  <si>
    <t>皖新传媒</t>
  </si>
  <si>
    <t>www.lixinger.com/analytics/company/sh/601801/601801/detail</t>
  </si>
  <si>
    <t>中海油服</t>
  </si>
  <si>
    <t>www.lixinger.com/analytics/company/sh/601808/601808/detail</t>
  </si>
  <si>
    <t>新华文轩</t>
  </si>
  <si>
    <t>www.lixinger.com/analytics/company/sh/601811/601811/detail</t>
  </si>
  <si>
    <t>京沪高铁</t>
  </si>
  <si>
    <t>www.lixinger.com/analytics/company/sh/601816/601816/detail</t>
  </si>
  <si>
    <t>光大银行</t>
  </si>
  <si>
    <t>www.lixinger.com/analytics/company/sh/601818/601818/detail</t>
  </si>
  <si>
    <t>沪农商行</t>
  </si>
  <si>
    <t>www.lixinger.com/analytics/company/sh/601825/601825/detail</t>
  </si>
  <si>
    <t>三峰环境</t>
  </si>
  <si>
    <t>www.lixinger.com/analytics/company/sh/601827/601827/detail</t>
  </si>
  <si>
    <t>美凯龙</t>
  </si>
  <si>
    <t>www.lixinger.com/analytics/company/sh/601828/601828/detail</t>
  </si>
  <si>
    <t>成都银行</t>
  </si>
  <si>
    <t>www.lixinger.com/analytics/company/sh/601838/601838/detail</t>
  </si>
  <si>
    <t>中国石油</t>
  </si>
  <si>
    <t>www.lixinger.com/analytics/company/sh/601857/601857/detail</t>
  </si>
  <si>
    <t>中国科传</t>
  </si>
  <si>
    <t>www.lixinger.com/analytics/company/sh/601858/601858/detail</t>
  </si>
  <si>
    <t>紫金银行</t>
  </si>
  <si>
    <t>www.lixinger.com/analytics/company/sh/601860/601860/detail</t>
  </si>
  <si>
    <t>福莱特</t>
  </si>
  <si>
    <t>www.lixinger.com/analytics/company/sh/601865/601865/detail</t>
  </si>
  <si>
    <t>中远海发</t>
  </si>
  <si>
    <t>www.lixinger.com/analytics/company/sh/601866/601866/detail</t>
  </si>
  <si>
    <t>中国能建</t>
  </si>
  <si>
    <t>www.lixinger.com/analytics/company/sh/601868/601868/detail</t>
  </si>
  <si>
    <t>长飞光纤</t>
  </si>
  <si>
    <t>www.lixinger.com/analytics/company/sh/601869/601869/detail</t>
  </si>
  <si>
    <t>招商轮船</t>
  </si>
  <si>
    <t>www.lixinger.com/analytics/company/sh/601872/601872/detail</t>
  </si>
  <si>
    <t>正泰电器</t>
  </si>
  <si>
    <t>www.lixinger.com/analytics/company/sh/601877/601877/detail</t>
  </si>
  <si>
    <t>浙商证券</t>
  </si>
  <si>
    <t>www.lixinger.com/analytics/company/sh/601878/601878/detail</t>
  </si>
  <si>
    <t>辽港股份</t>
  </si>
  <si>
    <t>www.lixinger.com/analytics/company/sh/601880/601880/detail</t>
  </si>
  <si>
    <t>中国银河</t>
  </si>
  <si>
    <t>www.lixinger.com/analytics/company/sh/601881/601881/detail</t>
  </si>
  <si>
    <t>海天精工</t>
  </si>
  <si>
    <t>机床工具</t>
  </si>
  <si>
    <t>www.lixinger.com/analytics/company/sh/601882/601882/detail</t>
  </si>
  <si>
    <t>江河集团</t>
  </si>
  <si>
    <t>www.lixinger.com/analytics/company/sh/601886/601886/detail</t>
  </si>
  <si>
    <t>中国中免</t>
  </si>
  <si>
    <t>旅游零售</t>
  </si>
  <si>
    <t>www.lixinger.com/analytics/company/sh/601888/601888/detail</t>
  </si>
  <si>
    <t>亚星锚链</t>
  </si>
  <si>
    <t>www.lixinger.com/analytics/company/sh/601890/601890/detail</t>
  </si>
  <si>
    <t>中煤能源</t>
  </si>
  <si>
    <t>www.lixinger.com/analytics/company/sh/601898/601898/detail</t>
  </si>
  <si>
    <t>紫金矿业</t>
  </si>
  <si>
    <t>www.lixinger.com/analytics/company/sh/601899/601899/detail</t>
  </si>
  <si>
    <t>南方传媒</t>
  </si>
  <si>
    <t>www.lixinger.com/analytics/company/sh/601900/601900/detail</t>
  </si>
  <si>
    <t>方正证券</t>
  </si>
  <si>
    <t>www.lixinger.com/analytics/company/sh/601901/601901/detail</t>
  </si>
  <si>
    <t>京运通</t>
  </si>
  <si>
    <t>www.lixinger.com/analytics/company/sh/601908/601908/detail</t>
  </si>
  <si>
    <t>浙商银行</t>
  </si>
  <si>
    <t>www.lixinger.com/analytics/company/sh/601916/601916/detail</t>
  </si>
  <si>
    <t>新集能源</t>
  </si>
  <si>
    <t>www.lixinger.com/analytics/company/sh/601918/601918/detail</t>
  </si>
  <si>
    <t>中远海控</t>
  </si>
  <si>
    <t>www.lixinger.com/analytics/company/sh/601919/601919/detail</t>
  </si>
  <si>
    <t>浙版传媒</t>
  </si>
  <si>
    <t>www.lixinger.com/analytics/company/sh/601921/601921/detail</t>
  </si>
  <si>
    <t>凤凰传媒</t>
  </si>
  <si>
    <t>www.lixinger.com/analytics/company/sh/601928/601928/detail</t>
  </si>
  <si>
    <t>吉视传媒</t>
  </si>
  <si>
    <t>www.lixinger.com/analytics/company/sh/601929/601929/detail</t>
  </si>
  <si>
    <t>永辉超市</t>
  </si>
  <si>
    <t>www.lixinger.com/analytics/company/sh/601933/601933/detail</t>
  </si>
  <si>
    <t>建设银行</t>
  </si>
  <si>
    <t>www.lixinger.com/analytics/company/sh/601939/601939/detail</t>
  </si>
  <si>
    <t>中国出版</t>
  </si>
  <si>
    <t>www.lixinger.com/analytics/company/sh/601949/601949/detail</t>
  </si>
  <si>
    <t>苏垦农发</t>
  </si>
  <si>
    <t>www.lixinger.com/analytics/company/sh/601952/601952/detail</t>
  </si>
  <si>
    <t>东贝集团</t>
  </si>
  <si>
    <t>www.lixinger.com/analytics/company/sh/601956/601956/detail</t>
  </si>
  <si>
    <t>金钼股份</t>
  </si>
  <si>
    <t>钼</t>
  </si>
  <si>
    <t>www.lixinger.com/analytics/company/sh/601958/601958/detail</t>
  </si>
  <si>
    <t>重庆银行</t>
  </si>
  <si>
    <t>www.lixinger.com/analytics/company/sh/601963/601963/detail</t>
  </si>
  <si>
    <t>中国汽研</t>
  </si>
  <si>
    <t>汽车综合服务</t>
  </si>
  <si>
    <t>www.lixinger.com/analytics/company/sh/601965/601965/detail</t>
  </si>
  <si>
    <t>玲珑轮胎</t>
  </si>
  <si>
    <t>www.lixinger.com/analytics/company/sh/601966/601966/detail</t>
  </si>
  <si>
    <t>宝钢包装</t>
  </si>
  <si>
    <t>金属包装</t>
  </si>
  <si>
    <t>www.lixinger.com/analytics/company/sh/601968/601968/detail</t>
  </si>
  <si>
    <t>海南矿业</t>
  </si>
  <si>
    <t>铁矿石</t>
  </si>
  <si>
    <t>www.lixinger.com/analytics/company/sh/601969/601969/detail</t>
  </si>
  <si>
    <t>招商南油</t>
  </si>
  <si>
    <t>www.lixinger.com/analytics/company/sh/601975/601975/detail</t>
  </si>
  <si>
    <t>中国核电</t>
  </si>
  <si>
    <t>核力发电</t>
  </si>
  <si>
    <t>www.lixinger.com/analytics/company/sh/601985/601985/detail</t>
  </si>
  <si>
    <t>中国银行</t>
  </si>
  <si>
    <t>www.lixinger.com/analytics/company/sh/601988/601988/detail</t>
  </si>
  <si>
    <t>中国重工</t>
  </si>
  <si>
    <t>www.lixinger.com/analytics/company/sh/601989/601989/detail</t>
  </si>
  <si>
    <t>南京证券</t>
  </si>
  <si>
    <t>www.lixinger.com/analytics/company/sh/601990/601990/detail</t>
  </si>
  <si>
    <t>大唐发电</t>
  </si>
  <si>
    <t>www.lixinger.com/analytics/company/sh/601991/601991/detail</t>
  </si>
  <si>
    <t>金隅集团</t>
  </si>
  <si>
    <t>www.lixinger.com/analytics/company/sh/601992/601992/detail</t>
  </si>
  <si>
    <t>中金公司</t>
  </si>
  <si>
    <t>www.lixinger.com/analytics/company/sh/601995/601995/detail</t>
  </si>
  <si>
    <t>丰林集团</t>
  </si>
  <si>
    <t>www.lixinger.com/analytics/company/sh/601996/601996/detail</t>
  </si>
  <si>
    <t>贵阳银行</t>
  </si>
  <si>
    <t>www.lixinger.com/analytics/company/sh/601997/601997/detail</t>
  </si>
  <si>
    <t>中信银行</t>
  </si>
  <si>
    <t>www.lixinger.com/analytics/company/sh/601998/601998/detail</t>
  </si>
  <si>
    <t>出版传媒</t>
  </si>
  <si>
    <t>www.lixinger.com/analytics/company/sh/601999/601999/detail</t>
  </si>
  <si>
    <t>人民网</t>
  </si>
  <si>
    <t>www.lixinger.com/analytics/company/sh/603000/603000/detail</t>
  </si>
  <si>
    <t>奥康国际</t>
  </si>
  <si>
    <t>www.lixinger.com/analytics/company/sh/603001/603001/detail</t>
  </si>
  <si>
    <t>宏昌电子</t>
  </si>
  <si>
    <t>电子化学品</t>
  </si>
  <si>
    <t>www.lixinger.com/analytics/company/sh/603002/603002/detail</t>
  </si>
  <si>
    <t>龙宇燃油</t>
  </si>
  <si>
    <t>www.lixinger.com/analytics/company/sh/603003/603003/detail</t>
  </si>
  <si>
    <t>晶方科技</t>
  </si>
  <si>
    <t>www.lixinger.com/analytics/company/sh/603005/603005/detail</t>
  </si>
  <si>
    <t>联明股份</t>
  </si>
  <si>
    <t>www.lixinger.com/analytics/company/sh/603006/603006/detail</t>
  </si>
  <si>
    <t>ST花王</t>
  </si>
  <si>
    <t>园林工程</t>
  </si>
  <si>
    <t>www.lixinger.com/analytics/company/sh/603007/603007/detail</t>
  </si>
  <si>
    <t>喜临门</t>
  </si>
  <si>
    <t>www.lixinger.com/analytics/company/sh/603008/603008/detail</t>
  </si>
  <si>
    <t>北特科技</t>
  </si>
  <si>
    <t>www.lixinger.com/analytics/company/sh/603009/603009/detail</t>
  </si>
  <si>
    <t>万盛股份</t>
  </si>
  <si>
    <t>www.lixinger.com/analytics/company/sh/603010/603010/detail</t>
  </si>
  <si>
    <t>合锻智能</t>
  </si>
  <si>
    <t>www.lixinger.com/analytics/company/sh/603011/603011/detail</t>
  </si>
  <si>
    <t>创力集团</t>
  </si>
  <si>
    <t>www.lixinger.com/analytics/company/sh/603012/603012/detail</t>
  </si>
  <si>
    <t>亚普股份</t>
  </si>
  <si>
    <t>www.lixinger.com/analytics/company/sh/603013/603013/detail</t>
  </si>
  <si>
    <t>弘讯科技</t>
  </si>
  <si>
    <t>工控设备</t>
  </si>
  <si>
    <t>www.lixinger.com/analytics/company/sh/603015/603015/detail</t>
  </si>
  <si>
    <t>新宏泰</t>
  </si>
  <si>
    <t>www.lixinger.com/analytics/company/sh/603016/603016/detail</t>
  </si>
  <si>
    <t>中衡设计</t>
  </si>
  <si>
    <t>www.lixinger.com/analytics/company/sh/603017/603017/detail</t>
  </si>
  <si>
    <t>华设集团</t>
  </si>
  <si>
    <t>www.lixinger.com/analytics/company/sh/603018/603018/detail</t>
  </si>
  <si>
    <t>中科曙光</t>
  </si>
  <si>
    <t>www.lixinger.com/analytics/company/sh/603019/603019/detail</t>
  </si>
  <si>
    <t>爱普股份</t>
  </si>
  <si>
    <t>www.lixinger.com/analytics/company/sh/603020/603020/detail</t>
  </si>
  <si>
    <t>山东华鹏</t>
  </si>
  <si>
    <t>其他家居用品</t>
  </si>
  <si>
    <t>www.lixinger.com/analytics/company/sh/603021/603021/detail</t>
  </si>
  <si>
    <t>新通联</t>
  </si>
  <si>
    <t>综合包装</t>
  </si>
  <si>
    <t>www.lixinger.com/analytics/company/sh/603022/603022/detail</t>
  </si>
  <si>
    <t>威帝股份</t>
  </si>
  <si>
    <t>www.lixinger.com/analytics/company/sh/603023/603023/detail</t>
  </si>
  <si>
    <t>大豪科技</t>
  </si>
  <si>
    <t>www.lixinger.com/analytics/company/sh/603025/603025/detail</t>
  </si>
  <si>
    <t>石大胜华</t>
  </si>
  <si>
    <t>www.lixinger.com/analytics/company/sh/603026/603026/detail</t>
  </si>
  <si>
    <t>千禾味业</t>
  </si>
  <si>
    <t>www.lixinger.com/analytics/company/sh/603027/603027/detail</t>
  </si>
  <si>
    <t>赛福天</t>
  </si>
  <si>
    <t>www.lixinger.com/analytics/company/sh/603028/603028/detail</t>
  </si>
  <si>
    <t>天鹅股份</t>
  </si>
  <si>
    <t>www.lixinger.com/analytics/company/sh/603029/603029/detail</t>
  </si>
  <si>
    <t>全筑股份</t>
  </si>
  <si>
    <t>www.lixinger.com/analytics/company/sh/603030/603030/detail</t>
  </si>
  <si>
    <t>安德利</t>
  </si>
  <si>
    <t>www.lixinger.com/analytics/company/sh/603031/603031/detail</t>
  </si>
  <si>
    <t>*ST德新</t>
  </si>
  <si>
    <t>www.lixinger.com/analytics/company/sh/603032/603032/detail</t>
  </si>
  <si>
    <t>三维股份</t>
  </si>
  <si>
    <t>其他橡胶制品</t>
  </si>
  <si>
    <t>www.lixinger.com/analytics/company/sh/603033/603033/detail</t>
  </si>
  <si>
    <t>常熟汽饰</t>
  </si>
  <si>
    <t>www.lixinger.com/analytics/company/sh/603035/603035/detail</t>
  </si>
  <si>
    <t>如通股份</t>
  </si>
  <si>
    <t>www.lixinger.com/analytics/company/sh/603036/603036/detail</t>
  </si>
  <si>
    <t>凯众股份</t>
  </si>
  <si>
    <t>www.lixinger.com/analytics/company/sh/603037/603037/detail</t>
  </si>
  <si>
    <t>华立股份</t>
  </si>
  <si>
    <t>www.lixinger.com/analytics/company/sh/603038/603038/detail</t>
  </si>
  <si>
    <t>泛微网络</t>
  </si>
  <si>
    <t>www.lixinger.com/analytics/company/sh/603039/603039/detail</t>
  </si>
  <si>
    <t>新坐标</t>
  </si>
  <si>
    <t>www.lixinger.com/analytics/company/sh/603040/603040/detail</t>
  </si>
  <si>
    <t>美思德</t>
  </si>
  <si>
    <t>www.lixinger.com/analytics/company/sh/603041/603041/detail</t>
  </si>
  <si>
    <t>华脉科技</t>
  </si>
  <si>
    <t>www.lixinger.com/analytics/company/sh/603042/603042/detail</t>
  </si>
  <si>
    <t>广州酒家</t>
  </si>
  <si>
    <t>烘焙食品</t>
  </si>
  <si>
    <t>www.lixinger.com/analytics/company/sh/603043/603043/detail</t>
  </si>
  <si>
    <t>福达合金</t>
  </si>
  <si>
    <t>www.lixinger.com/analytics/company/sh/603045/603045/detail</t>
  </si>
  <si>
    <t>浙江黎明</t>
  </si>
  <si>
    <t>www.lixinger.com/analytics/company/sh/603048/603048/detail</t>
  </si>
  <si>
    <t>科林电气</t>
  </si>
  <si>
    <t>www.lixinger.com/analytics/company/sh/603050/603050/detail</t>
  </si>
  <si>
    <t>鹿山新材</t>
  </si>
  <si>
    <t>www.lixinger.com/analytics/company/sh/603051/603051/detail</t>
  </si>
  <si>
    <t>成都燃气</t>
  </si>
  <si>
    <t>www.lixinger.com/analytics/company/sh/603053/603053/detail</t>
  </si>
  <si>
    <t>台华新材</t>
  </si>
  <si>
    <t>www.lixinger.com/analytics/company/sh/603055/603055/detail</t>
  </si>
  <si>
    <t>德邦股份</t>
  </si>
  <si>
    <t>公路货运</t>
  </si>
  <si>
    <t>www.lixinger.com/analytics/company/sh/603056/603056/detail</t>
  </si>
  <si>
    <t>永吉股份</t>
  </si>
  <si>
    <t>www.lixinger.com/analytics/company/sh/603058/603058/detail</t>
  </si>
  <si>
    <t>倍加洁</t>
  </si>
  <si>
    <t>www.lixinger.com/analytics/company/sh/603059/603059/detail</t>
  </si>
  <si>
    <t>国检集团</t>
  </si>
  <si>
    <t>检测服务</t>
  </si>
  <si>
    <t>www.lixinger.com/analytics/company/sh/603060/603060/detail</t>
  </si>
  <si>
    <t>禾望电气</t>
  </si>
  <si>
    <t>www.lixinger.com/analytics/company/sh/603063/603063/detail</t>
  </si>
  <si>
    <t>音飞储存</t>
  </si>
  <si>
    <t>www.lixinger.com/analytics/company/sh/603066/603066/detail</t>
  </si>
  <si>
    <t>振华股份</t>
  </si>
  <si>
    <t>www.lixinger.com/analytics/company/sh/603067/603067/detail</t>
  </si>
  <si>
    <t>博通集成</t>
  </si>
  <si>
    <t>www.lixinger.com/analytics/company/sh/603068/603068/detail</t>
  </si>
  <si>
    <t>海汽集团</t>
  </si>
  <si>
    <t>www.lixinger.com/analytics/company/sh/603069/603069/detail</t>
  </si>
  <si>
    <t>万控智造</t>
  </si>
  <si>
    <t>www.lixinger.com/analytics/company/sh/603070/603070/detail</t>
  </si>
  <si>
    <t>物产环能</t>
  </si>
  <si>
    <t>www.lixinger.com/analytics/company/sh/603071/603071/detail</t>
  </si>
  <si>
    <t>乐惠国际</t>
  </si>
  <si>
    <t>www.lixinger.com/analytics/company/sh/603076/603076/detail</t>
  </si>
  <si>
    <t>和邦生物</t>
  </si>
  <si>
    <t>纯碱</t>
  </si>
  <si>
    <t>www.lixinger.com/analytics/company/sh/603077/603077/detail</t>
  </si>
  <si>
    <t>江化微</t>
  </si>
  <si>
    <t>www.lixinger.com/analytics/company/sh/603078/603078/detail</t>
  </si>
  <si>
    <t>圣达生物</t>
  </si>
  <si>
    <t>www.lixinger.com/analytics/company/sh/603079/603079/detail</t>
  </si>
  <si>
    <t>新疆火炬</t>
  </si>
  <si>
    <t>www.lixinger.com/analytics/company/sh/603080/603080/detail</t>
  </si>
  <si>
    <t>大丰实业</t>
  </si>
  <si>
    <t>www.lixinger.com/analytics/company/sh/603081/603081/detail</t>
  </si>
  <si>
    <t>剑桥科技</t>
  </si>
  <si>
    <t>www.lixinger.com/analytics/company/sh/603083/603083/detail</t>
  </si>
  <si>
    <t>天成自控</t>
  </si>
  <si>
    <t>www.lixinger.com/analytics/company/sh/603085/603085/detail</t>
  </si>
  <si>
    <t>先达股份</t>
  </si>
  <si>
    <t>www.lixinger.com/analytics/company/sh/603086/603086/detail</t>
  </si>
  <si>
    <t>甘李药业</t>
  </si>
  <si>
    <t>www.lixinger.com/analytics/company/sh/603087/603087/detail</t>
  </si>
  <si>
    <t>宁波精达</t>
  </si>
  <si>
    <t>www.lixinger.com/analytics/company/sh/603088/603088/detail</t>
  </si>
  <si>
    <t>正裕工业</t>
  </si>
  <si>
    <t>www.lixinger.com/analytics/company/sh/603089/603089/detail</t>
  </si>
  <si>
    <t>宏盛股份</t>
  </si>
  <si>
    <t>www.lixinger.com/analytics/company/sh/603090/603090/detail</t>
  </si>
  <si>
    <t>南华期货</t>
  </si>
  <si>
    <t>www.lixinger.com/analytics/company/sh/603093/603093/detail</t>
  </si>
  <si>
    <t>越剑智能</t>
  </si>
  <si>
    <t>www.lixinger.com/analytics/company/sh/603095/603095/detail</t>
  </si>
  <si>
    <t>新经典</t>
  </si>
  <si>
    <t>www.lixinger.com/analytics/company/sh/603096/603096/detail</t>
  </si>
  <si>
    <t>江苏华辰</t>
  </si>
  <si>
    <t>www.lixinger.com/analytics/company/sh/603097/603097/detail</t>
  </si>
  <si>
    <t>森特股份</t>
  </si>
  <si>
    <t>www.lixinger.com/analytics/company/sh/603098/603098/detail</t>
  </si>
  <si>
    <t>长白山</t>
  </si>
  <si>
    <t>www.lixinger.com/analytics/company/sh/603099/603099/detail</t>
  </si>
  <si>
    <t>川仪股份</t>
  </si>
  <si>
    <t>仪器仪表</t>
  </si>
  <si>
    <t>www.lixinger.com/analytics/company/sh/603100/603100/detail</t>
  </si>
  <si>
    <t>汇嘉时代</t>
  </si>
  <si>
    <t>www.lixinger.com/analytics/company/sh/603101/603101/detail</t>
  </si>
  <si>
    <t>百合股份</t>
  </si>
  <si>
    <t>www.lixinger.com/analytics/company/sh/603102/603102/detail</t>
  </si>
  <si>
    <t>横店影视</t>
  </si>
  <si>
    <t>院线</t>
  </si>
  <si>
    <t>www.lixinger.com/analytics/company/sh/603103/603103/detail</t>
  </si>
  <si>
    <t>芯能科技</t>
  </si>
  <si>
    <t>www.lixinger.com/analytics/company/sh/603105/603105/detail</t>
  </si>
  <si>
    <t>恒银科技</t>
  </si>
  <si>
    <t>www.lixinger.com/analytics/company/sh/603106/603106/detail</t>
  </si>
  <si>
    <t>润达医疗</t>
  </si>
  <si>
    <t>诊断服务</t>
  </si>
  <si>
    <t>www.lixinger.com/analytics/company/sh/603108/603108/detail</t>
  </si>
  <si>
    <t>神驰机电</t>
  </si>
  <si>
    <t>www.lixinger.com/analytics/company/sh/603109/603109/detail</t>
  </si>
  <si>
    <t>东方材料</t>
  </si>
  <si>
    <t>涂料油墨</t>
  </si>
  <si>
    <t>www.lixinger.com/analytics/company/sh/603110/603110/detail</t>
  </si>
  <si>
    <t>康尼机电</t>
  </si>
  <si>
    <t>www.lixinger.com/analytics/company/sh/603111/603111/detail</t>
  </si>
  <si>
    <t>华翔股份</t>
  </si>
  <si>
    <t>www.lixinger.com/analytics/company/sh/603112/603112/detail</t>
  </si>
  <si>
    <t>金能科技</t>
  </si>
  <si>
    <t>www.lixinger.com/analytics/company/sh/603113/603113/detail</t>
  </si>
  <si>
    <t>海星股份</t>
  </si>
  <si>
    <t>www.lixinger.com/analytics/company/sh/603115/603115/detail</t>
  </si>
  <si>
    <t>红蜻蜓</t>
  </si>
  <si>
    <t>www.lixinger.com/analytics/company/sh/603116/603116/detail</t>
  </si>
  <si>
    <t>万林物流</t>
  </si>
  <si>
    <t>www.lixinger.com/analytics/company/sh/603117/603117/detail</t>
  </si>
  <si>
    <t>共进股份</t>
  </si>
  <si>
    <t>www.lixinger.com/analytics/company/sh/603118/603118/detail</t>
  </si>
  <si>
    <t>华培动力</t>
  </si>
  <si>
    <t>www.lixinger.com/analytics/company/sh/603121/603121/detail</t>
  </si>
  <si>
    <t>合富中国</t>
  </si>
  <si>
    <t>www.lixinger.com/analytics/company/sh/603122/603122/detail</t>
  </si>
  <si>
    <t>翠微股份</t>
  </si>
  <si>
    <t>www.lixinger.com/analytics/company/sh/603123/603123/detail</t>
  </si>
  <si>
    <t>中材节能</t>
  </si>
  <si>
    <t>www.lixinger.com/analytics/company/sh/603126/603126/detail</t>
  </si>
  <si>
    <t>昭衍新药</t>
  </si>
  <si>
    <t>www.lixinger.com/analytics/company/sh/603127/603127/detail</t>
  </si>
  <si>
    <t>华贸物流</t>
  </si>
  <si>
    <t>www.lixinger.com/analytics/company/sh/603128/603128/detail</t>
  </si>
  <si>
    <t>春风动力</t>
  </si>
  <si>
    <t>www.lixinger.com/analytics/company/sh/603129/603129/detail</t>
  </si>
  <si>
    <t>上海沪工</t>
  </si>
  <si>
    <t>www.lixinger.com/analytics/company/sh/603131/603131/detail</t>
  </si>
  <si>
    <t>金徽股份</t>
  </si>
  <si>
    <t>www.lixinger.com/analytics/company/sh/603132/603132/detail</t>
  </si>
  <si>
    <t>碳元科技</t>
  </si>
  <si>
    <t>www.lixinger.com/analytics/company/sh/603133/603133/detail</t>
  </si>
  <si>
    <t>天目湖</t>
  </si>
  <si>
    <t>www.lixinger.com/analytics/company/sh/603136/603136/detail</t>
  </si>
  <si>
    <t>海量数据</t>
  </si>
  <si>
    <t>www.lixinger.com/analytics/company/sh/603138/603138/detail</t>
  </si>
  <si>
    <t>康惠制药</t>
  </si>
  <si>
    <t>www.lixinger.com/analytics/company/sh/603139/603139/detail</t>
  </si>
  <si>
    <t>万朗磁塑</t>
  </si>
  <si>
    <t>www.lixinger.com/analytics/company/sh/603150/603150/detail</t>
  </si>
  <si>
    <t>新亚强</t>
  </si>
  <si>
    <t>www.lixinger.com/analytics/company/sh/603155/603155/detail</t>
  </si>
  <si>
    <t>养元饮品</t>
  </si>
  <si>
    <t>www.lixinger.com/analytics/company/sh/603156/603156/detail</t>
  </si>
  <si>
    <t>退市拉夏</t>
  </si>
  <si>
    <t>www.lixinger.com/analytics/company/sh/603157/603157/detail</t>
  </si>
  <si>
    <t>腾龙股份</t>
  </si>
  <si>
    <t>www.lixinger.com/analytics/company/sh/603158/603158/detail</t>
  </si>
  <si>
    <t>上海亚虹</t>
  </si>
  <si>
    <t>www.lixinger.com/analytics/company/sh/603159/603159/detail</t>
  </si>
  <si>
    <t>汇顶科技</t>
  </si>
  <si>
    <t>www.lixinger.com/analytics/company/sh/603160/603160/detail</t>
  </si>
  <si>
    <t>科华控股</t>
  </si>
  <si>
    <t>www.lixinger.com/analytics/company/sh/603161/603161/detail</t>
  </si>
  <si>
    <t>荣晟环保</t>
  </si>
  <si>
    <t>www.lixinger.com/analytics/company/sh/603165/603165/detail</t>
  </si>
  <si>
    <t>福达股份</t>
  </si>
  <si>
    <t>www.lixinger.com/analytics/company/sh/603166/603166/detail</t>
  </si>
  <si>
    <t>渤海轮渡</t>
  </si>
  <si>
    <t>www.lixinger.com/analytics/company/sh/603167/603167/detail</t>
  </si>
  <si>
    <t>莎普爱思</t>
  </si>
  <si>
    <t>www.lixinger.com/analytics/company/sh/603168/603168/detail</t>
  </si>
  <si>
    <t>兰石重装</t>
  </si>
  <si>
    <t>www.lixinger.com/analytics/company/sh/603169/603169/detail</t>
  </si>
  <si>
    <t>税友股份</t>
  </si>
  <si>
    <t>www.lixinger.com/analytics/company/sh/603171/603171/detail</t>
  </si>
  <si>
    <t>汇通集团</t>
  </si>
  <si>
    <t>www.lixinger.com/analytics/company/sh/603176/603176/detail</t>
  </si>
  <si>
    <t>德创环保</t>
  </si>
  <si>
    <t>www.lixinger.com/analytics/company/sh/603177/603177/detail</t>
  </si>
  <si>
    <t>圣龙股份</t>
  </si>
  <si>
    <t>www.lixinger.com/analytics/company/sh/603178/603178/detail</t>
  </si>
  <si>
    <t>新泉股份</t>
  </si>
  <si>
    <t>www.lixinger.com/analytics/company/sh/603179/603179/detail</t>
  </si>
  <si>
    <t>金牌厨柜</t>
  </si>
  <si>
    <t>定制家居</t>
  </si>
  <si>
    <t>www.lixinger.com/analytics/company/sh/603180/603180/detail</t>
  </si>
  <si>
    <t>皇马科技</t>
  </si>
  <si>
    <t>www.lixinger.com/analytics/company/sh/603181/603181/detail</t>
  </si>
  <si>
    <t>建研院</t>
  </si>
  <si>
    <t>www.lixinger.com/analytics/company/sh/603183/603183/detail</t>
  </si>
  <si>
    <t>上机数控</t>
  </si>
  <si>
    <t>光伏加工设备</t>
  </si>
  <si>
    <t>www.lixinger.com/analytics/company/sh/603185/603185/detail</t>
  </si>
  <si>
    <t>华正新材</t>
  </si>
  <si>
    <t>www.lixinger.com/analytics/company/sh/603186/603186/detail</t>
  </si>
  <si>
    <t>海容冷链</t>
  </si>
  <si>
    <t>www.lixinger.com/analytics/company/sh/603187/603187/detail</t>
  </si>
  <si>
    <t>亚邦股份</t>
  </si>
  <si>
    <t>www.lixinger.com/analytics/company/sh/603188/603188/detail</t>
  </si>
  <si>
    <t>网达软件</t>
  </si>
  <si>
    <t>www.lixinger.com/analytics/company/sh/603189/603189/detail</t>
  </si>
  <si>
    <t>望变电气</t>
  </si>
  <si>
    <t>www.lixinger.com/analytics/company/sh/603191/603191/detail</t>
  </si>
  <si>
    <t>汇得科技</t>
  </si>
  <si>
    <t>www.lixinger.com/analytics/company/sh/603192/603192/detail</t>
  </si>
  <si>
    <t>公牛集团</t>
  </si>
  <si>
    <t>www.lixinger.com/analytics/company/sh/603195/603195/detail</t>
  </si>
  <si>
    <t>日播时尚</t>
  </si>
  <si>
    <t>www.lixinger.com/analytics/company/sh/603196/603196/detail</t>
  </si>
  <si>
    <t>保隆科技</t>
  </si>
  <si>
    <t>www.lixinger.com/analytics/company/sh/603197/603197/detail</t>
  </si>
  <si>
    <t>迎驾贡酒</t>
  </si>
  <si>
    <t>www.lixinger.com/analytics/company/sh/603198/603198/detail</t>
  </si>
  <si>
    <t>九华旅游</t>
  </si>
  <si>
    <t>www.lixinger.com/analytics/company/sh/603199/603199/detail</t>
  </si>
  <si>
    <t>上海洗霸</t>
  </si>
  <si>
    <t>www.lixinger.com/analytics/company/sh/603200/603200/detail</t>
  </si>
  <si>
    <t>快克股份</t>
  </si>
  <si>
    <t>www.lixinger.com/analytics/company/sh/603203/603203/detail</t>
  </si>
  <si>
    <t>嘉环科技</t>
  </si>
  <si>
    <t>www.lixinger.com/analytics/company/sh/603206/603206/detail</t>
  </si>
  <si>
    <t>江山欧派</t>
  </si>
  <si>
    <t>www.lixinger.com/analytics/company/sh/603208/603208/detail</t>
  </si>
  <si>
    <t>兴通股份</t>
  </si>
  <si>
    <t>www.lixinger.com/analytics/company/sh/603209/603209/detail</t>
  </si>
  <si>
    <t>赛伍技术</t>
  </si>
  <si>
    <t>www.lixinger.com/analytics/company/sh/603212/603212/detail</t>
  </si>
  <si>
    <t>镇洋发展</t>
  </si>
  <si>
    <t>www.lixinger.com/analytics/company/sh/603213/603213/detail</t>
  </si>
  <si>
    <t>爱婴室</t>
  </si>
  <si>
    <t>www.lixinger.com/analytics/company/sh/603214/603214/detail</t>
  </si>
  <si>
    <t>比依股份</t>
  </si>
  <si>
    <t>www.lixinger.com/analytics/company/sh/603215/603215/detail</t>
  </si>
  <si>
    <t>梦天家居</t>
  </si>
  <si>
    <t>www.lixinger.com/analytics/company/sh/603216/603216/detail</t>
  </si>
  <si>
    <t>元利科技</t>
  </si>
  <si>
    <t>www.lixinger.com/analytics/company/sh/603217/603217/detail</t>
  </si>
  <si>
    <t>日月股份</t>
  </si>
  <si>
    <t>www.lixinger.com/analytics/company/sh/603218/603218/detail</t>
  </si>
  <si>
    <t>富佳股份</t>
  </si>
  <si>
    <t>清洁小家电</t>
  </si>
  <si>
    <t>www.lixinger.com/analytics/company/sh/603219/603219/detail</t>
  </si>
  <si>
    <t>中贝通信</t>
  </si>
  <si>
    <t>www.lixinger.com/analytics/company/sh/603220/603220/detail</t>
  </si>
  <si>
    <t>爱丽家居</t>
  </si>
  <si>
    <t>www.lixinger.com/analytics/company/sh/603221/603221/detail</t>
  </si>
  <si>
    <t>济民医疗</t>
  </si>
  <si>
    <t>www.lixinger.com/analytics/company/sh/603222/603222/detail</t>
  </si>
  <si>
    <t>恒通股份</t>
  </si>
  <si>
    <t>www.lixinger.com/analytics/company/sh/603223/603223/detail</t>
  </si>
  <si>
    <t>新凤鸣</t>
  </si>
  <si>
    <t>涤纶</t>
  </si>
  <si>
    <t>www.lixinger.com/analytics/company/sh/603225/603225/detail</t>
  </si>
  <si>
    <t>菲林格尔</t>
  </si>
  <si>
    <t>www.lixinger.com/analytics/company/sh/603226/603226/detail</t>
  </si>
  <si>
    <t>雪峰科技</t>
  </si>
  <si>
    <t>民爆制品</t>
  </si>
  <si>
    <t>www.lixinger.com/analytics/company/sh/603227/603227/detail</t>
  </si>
  <si>
    <t>景旺电子</t>
  </si>
  <si>
    <t>www.lixinger.com/analytics/company/sh/603228/603228/detail</t>
  </si>
  <si>
    <t>奥翔药业</t>
  </si>
  <si>
    <t>www.lixinger.com/analytics/company/sh/603229/603229/detail</t>
  </si>
  <si>
    <t>内蒙新华</t>
  </si>
  <si>
    <t>www.lixinger.com/analytics/company/sh/603230/603230/detail</t>
  </si>
  <si>
    <t>格尔软件</t>
  </si>
  <si>
    <t>www.lixinger.com/analytics/company/sh/603232/603232/detail</t>
  </si>
  <si>
    <t>大参林</t>
  </si>
  <si>
    <t>www.lixinger.com/analytics/company/sh/603233/603233/detail</t>
  </si>
  <si>
    <t>移远通信</t>
  </si>
  <si>
    <t>www.lixinger.com/analytics/company/sh/603236/603236/detail</t>
  </si>
  <si>
    <t>诺邦股份</t>
  </si>
  <si>
    <t>生活用纸</t>
  </si>
  <si>
    <t>www.lixinger.com/analytics/company/sh/603238/603238/detail</t>
  </si>
  <si>
    <t>浙江仙通</t>
  </si>
  <si>
    <t>www.lixinger.com/analytics/company/sh/603239/603239/detail</t>
  </si>
  <si>
    <t>宏和科技</t>
  </si>
  <si>
    <t>www.lixinger.com/analytics/company/sh/603256/603256/detail</t>
  </si>
  <si>
    <t>电魂网络</t>
  </si>
  <si>
    <t>www.lixinger.com/analytics/company/sh/603258/603258/detail</t>
  </si>
  <si>
    <t>药明康德</t>
  </si>
  <si>
    <t>www.lixinger.com/analytics/company/sh/603259/603259/detail</t>
  </si>
  <si>
    <t>合盛硅业</t>
  </si>
  <si>
    <t>非金属材料</t>
  </si>
  <si>
    <t>www.lixinger.com/analytics/company/sh/603260/603260/detail</t>
  </si>
  <si>
    <t>立航科技</t>
  </si>
  <si>
    <t>www.lixinger.com/analytics/company/sh/603261/603261/detail</t>
  </si>
  <si>
    <t>天龙股份</t>
  </si>
  <si>
    <t>www.lixinger.com/analytics/company/sh/603266/603266/detail</t>
  </si>
  <si>
    <t>鸿远电子</t>
  </si>
  <si>
    <t>www.lixinger.com/analytics/company/sh/603267/603267/detail</t>
  </si>
  <si>
    <t>松发股份</t>
  </si>
  <si>
    <t>www.lixinger.com/analytics/company/sh/603268/603268/detail</t>
  </si>
  <si>
    <t>海鸥股份</t>
  </si>
  <si>
    <t>www.lixinger.com/analytics/company/sh/603269/603269/detail</t>
  </si>
  <si>
    <t>联翔股份</t>
  </si>
  <si>
    <t>www.lixinger.com/analytics/company/sh/603272/603272/detail</t>
  </si>
  <si>
    <t>银都股份</t>
  </si>
  <si>
    <t>www.lixinger.com/analytics/company/sh/603277/603277/detail</t>
  </si>
  <si>
    <t>大业股份</t>
  </si>
  <si>
    <t>www.lixinger.com/analytics/company/sh/603278/603278/detail</t>
  </si>
  <si>
    <t>景津装备</t>
  </si>
  <si>
    <t>www.lixinger.com/analytics/company/sh/603279/603279/detail</t>
  </si>
  <si>
    <t>赛腾股份</t>
  </si>
  <si>
    <t>www.lixinger.com/analytics/company/sh/603283/603283/detail</t>
  </si>
  <si>
    <t>日盈电子</t>
  </si>
  <si>
    <t>www.lixinger.com/analytics/company/sh/603286/603286/detail</t>
  </si>
  <si>
    <t>海天味业</t>
  </si>
  <si>
    <t>www.lixinger.com/analytics/company/sh/603288/603288/detail</t>
  </si>
  <si>
    <t>泰瑞机器</t>
  </si>
  <si>
    <t>www.lixinger.com/analytics/company/sh/603289/603289/detail</t>
  </si>
  <si>
    <t>斯达半导</t>
  </si>
  <si>
    <t>www.lixinger.com/analytics/company/sh/603290/603290/detail</t>
  </si>
  <si>
    <t>永新光学</t>
  </si>
  <si>
    <t>www.lixinger.com/analytics/company/sh/603297/603297/detail</t>
  </si>
  <si>
    <t>杭叉集团</t>
  </si>
  <si>
    <t>www.lixinger.com/analytics/company/sh/603298/603298/detail</t>
  </si>
  <si>
    <t>苏盐井神</t>
  </si>
  <si>
    <t>www.lixinger.com/analytics/company/sh/603299/603299/detail</t>
  </si>
  <si>
    <t>华铁应急</t>
  </si>
  <si>
    <t>www.lixinger.com/analytics/company/sh/603300/603300/detail</t>
  </si>
  <si>
    <t>振德医疗</t>
  </si>
  <si>
    <t>www.lixinger.com/analytics/company/sh/603301/603301/detail</t>
  </si>
  <si>
    <t>鑫广绿环</t>
  </si>
  <si>
    <t>www.lixinger.com/analytics/company/sh/603302/603302/detail</t>
  </si>
  <si>
    <t>得邦照明</t>
  </si>
  <si>
    <t>www.lixinger.com/analytics/company/sh/603303/603303/detail</t>
  </si>
  <si>
    <t>旭升股份</t>
  </si>
  <si>
    <t>www.lixinger.com/analytics/company/sh/603305/603305/detail</t>
  </si>
  <si>
    <t>华懋科技</t>
  </si>
  <si>
    <t>www.lixinger.com/analytics/company/sh/603306/603306/detail</t>
  </si>
  <si>
    <t>应流股份</t>
  </si>
  <si>
    <t>www.lixinger.com/analytics/company/sh/603308/603308/detail</t>
  </si>
  <si>
    <t>维力医疗</t>
  </si>
  <si>
    <t>www.lixinger.com/analytics/company/sh/603309/603309/detail</t>
  </si>
  <si>
    <t>金海高科</t>
  </si>
  <si>
    <t>www.lixinger.com/analytics/company/sh/603311/603311/detail</t>
  </si>
  <si>
    <t>梦百合</t>
  </si>
  <si>
    <t>www.lixinger.com/analytics/company/sh/603313/603313/detail</t>
  </si>
  <si>
    <t>福鞍股份</t>
  </si>
  <si>
    <t>www.lixinger.com/analytics/company/sh/603315/603315/detail</t>
  </si>
  <si>
    <t>诚邦股份</t>
  </si>
  <si>
    <t>www.lixinger.com/analytics/company/sh/603316/603316/detail</t>
  </si>
  <si>
    <t>天味食品</t>
  </si>
  <si>
    <t>www.lixinger.com/analytics/company/sh/603317/603317/detail</t>
  </si>
  <si>
    <t>水发燃气</t>
  </si>
  <si>
    <t>www.lixinger.com/analytics/company/sh/603318/603318/detail</t>
  </si>
  <si>
    <t>湘油泵</t>
  </si>
  <si>
    <t>www.lixinger.com/analytics/company/sh/603319/603319/detail</t>
  </si>
  <si>
    <t>迪贝电气</t>
  </si>
  <si>
    <t>www.lixinger.com/analytics/company/sh/603320/603320/detail</t>
  </si>
  <si>
    <t>梅轮电梯</t>
  </si>
  <si>
    <t>www.lixinger.com/analytics/company/sh/603321/603321/detail</t>
  </si>
  <si>
    <t>超讯通信</t>
  </si>
  <si>
    <t>www.lixinger.com/analytics/company/sh/603322/603322/detail</t>
  </si>
  <si>
    <t>苏农银行</t>
  </si>
  <si>
    <t>www.lixinger.com/analytics/company/sh/603323/603323/detail</t>
  </si>
  <si>
    <t>盛剑环境</t>
  </si>
  <si>
    <t>www.lixinger.com/analytics/company/sh/603324/603324/detail</t>
  </si>
  <si>
    <t>我乐家居</t>
  </si>
  <si>
    <t>www.lixinger.com/analytics/company/sh/603326/603326/detail</t>
  </si>
  <si>
    <t>福蓉科技</t>
  </si>
  <si>
    <t>www.lixinger.com/analytics/company/sh/603327/603327/detail</t>
  </si>
  <si>
    <t>依顿电子</t>
  </si>
  <si>
    <t>www.lixinger.com/analytics/company/sh/603328/603328/detail</t>
  </si>
  <si>
    <t>上海雅仕</t>
  </si>
  <si>
    <t>www.lixinger.com/analytics/company/sh/603329/603329/detail</t>
  </si>
  <si>
    <t>上海天洋</t>
  </si>
  <si>
    <t>www.lixinger.com/analytics/company/sh/603330/603330/detail</t>
  </si>
  <si>
    <t>百达精工</t>
  </si>
  <si>
    <t>www.lixinger.com/analytics/company/sh/603331/603331/detail</t>
  </si>
  <si>
    <t>苏州龙杰</t>
  </si>
  <si>
    <t>www.lixinger.com/analytics/company/sh/603332/603332/detail</t>
  </si>
  <si>
    <t>尚纬股份</t>
  </si>
  <si>
    <t>www.lixinger.com/analytics/company/sh/603333/603333/detail</t>
  </si>
  <si>
    <t>迪生力</t>
  </si>
  <si>
    <t>www.lixinger.com/analytics/company/sh/603335/603335/detail</t>
  </si>
  <si>
    <t>宏辉果蔬</t>
  </si>
  <si>
    <t>www.lixinger.com/analytics/company/sh/603336/603336/detail</t>
  </si>
  <si>
    <t>杰克股份</t>
  </si>
  <si>
    <t>www.lixinger.com/analytics/company/sh/603337/603337/detail</t>
  </si>
  <si>
    <t>浙江鼎力</t>
  </si>
  <si>
    <t>www.lixinger.com/analytics/company/sh/603338/603338/detail</t>
  </si>
  <si>
    <t>四方科技</t>
  </si>
  <si>
    <t>www.lixinger.com/analytics/company/sh/603339/603339/detail</t>
  </si>
  <si>
    <t>安井食品</t>
  </si>
  <si>
    <t>预加工食品</t>
  </si>
  <si>
    <t>www.lixinger.com/analytics/company/sh/603345/603345/detail</t>
  </si>
  <si>
    <t>文灿股份</t>
  </si>
  <si>
    <t>www.lixinger.com/analytics/company/sh/603348/603348/detail</t>
  </si>
  <si>
    <t>威尔药业</t>
  </si>
  <si>
    <t>www.lixinger.com/analytics/company/sh/603351/603351/detail</t>
  </si>
  <si>
    <t>和顺石油</t>
  </si>
  <si>
    <t>www.lixinger.com/analytics/company/sh/603353/603353/detail</t>
  </si>
  <si>
    <t>莱克电气</t>
  </si>
  <si>
    <t>www.lixinger.com/analytics/company/sh/603355/603355/detail</t>
  </si>
  <si>
    <t>华菱精工</t>
  </si>
  <si>
    <t>www.lixinger.com/analytics/company/sh/603356/603356/detail</t>
  </si>
  <si>
    <t>设计总院</t>
  </si>
  <si>
    <t>www.lixinger.com/analytics/company/sh/603357/603357/detail</t>
  </si>
  <si>
    <t>华达科技</t>
  </si>
  <si>
    <t>www.lixinger.com/analytics/company/sh/603358/603358/detail</t>
  </si>
  <si>
    <t>东珠生态</t>
  </si>
  <si>
    <t>www.lixinger.com/analytics/company/sh/603359/603359/detail</t>
  </si>
  <si>
    <t>百傲化学</t>
  </si>
  <si>
    <t>www.lixinger.com/analytics/company/sh/603360/603360/detail</t>
  </si>
  <si>
    <t>傲农生物</t>
  </si>
  <si>
    <t>畜禽饲料</t>
  </si>
  <si>
    <t>www.lixinger.com/analytics/company/sh/603363/603363/detail</t>
  </si>
  <si>
    <t>水星家纺</t>
  </si>
  <si>
    <t>家纺</t>
  </si>
  <si>
    <t>www.lixinger.com/analytics/company/sh/603365/603365/detail</t>
  </si>
  <si>
    <t>日出东方</t>
  </si>
  <si>
    <t>卫浴电器</t>
  </si>
  <si>
    <t>www.lixinger.com/analytics/company/sh/603366/603366/detail</t>
  </si>
  <si>
    <t>辰欣药业</t>
  </si>
  <si>
    <t>www.lixinger.com/analytics/company/sh/603367/603367/detail</t>
  </si>
  <si>
    <t>柳药股份</t>
  </si>
  <si>
    <t>www.lixinger.com/analytics/company/sh/603368/603368/detail</t>
  </si>
  <si>
    <t>今世缘</t>
  </si>
  <si>
    <t>www.lixinger.com/analytics/company/sh/603369/603369/detail</t>
  </si>
  <si>
    <t>东方时尚</t>
  </si>
  <si>
    <t>www.lixinger.com/analytics/company/sh/603377/603377/detail</t>
  </si>
  <si>
    <t>亚士创能</t>
  </si>
  <si>
    <t>涂料</t>
  </si>
  <si>
    <t>www.lixinger.com/analytics/company/sh/603378/603378/detail</t>
  </si>
  <si>
    <t>三美股份</t>
  </si>
  <si>
    <t>www.lixinger.com/analytics/company/sh/603379/603379/detail</t>
  </si>
  <si>
    <t>易德龙</t>
  </si>
  <si>
    <t>www.lixinger.com/analytics/company/sh/603380/603380/detail</t>
  </si>
  <si>
    <t>顶点软件</t>
  </si>
  <si>
    <t>www.lixinger.com/analytics/company/sh/603383/603383/detail</t>
  </si>
  <si>
    <t>惠达卫浴</t>
  </si>
  <si>
    <t>卫浴制品</t>
  </si>
  <si>
    <t>www.lixinger.com/analytics/company/sh/603385/603385/detail</t>
  </si>
  <si>
    <t>广东骏亚</t>
  </si>
  <si>
    <t>www.lixinger.com/analytics/company/sh/603386/603386/detail</t>
  </si>
  <si>
    <t>基蛋生物</t>
  </si>
  <si>
    <t>www.lixinger.com/analytics/company/sh/603387/603387/detail</t>
  </si>
  <si>
    <t>元成股份</t>
  </si>
  <si>
    <t>www.lixinger.com/analytics/company/sh/603388/603388/detail</t>
  </si>
  <si>
    <t>亚振家居</t>
  </si>
  <si>
    <t>www.lixinger.com/analytics/company/sh/603389/603389/detail</t>
  </si>
  <si>
    <t>通达电气</t>
  </si>
  <si>
    <t>www.lixinger.com/analytics/company/sh/603390/603390/detail</t>
  </si>
  <si>
    <t>万泰生物</t>
  </si>
  <si>
    <t>www.lixinger.com/analytics/company/sh/603392/603392/detail</t>
  </si>
  <si>
    <t>新天然气</t>
  </si>
  <si>
    <t>www.lixinger.com/analytics/company/sh/603393/603393/detail</t>
  </si>
  <si>
    <t>金辰股份</t>
  </si>
  <si>
    <t>www.lixinger.com/analytics/company/sh/603396/603396/detail</t>
  </si>
  <si>
    <t>沐邦高科</t>
  </si>
  <si>
    <t>娱乐用品</t>
  </si>
  <si>
    <t>www.lixinger.com/analytics/company/sh/603398/603398/detail</t>
  </si>
  <si>
    <t>吉翔股份</t>
  </si>
  <si>
    <t>www.lixinger.com/analytics/company/sh/603399/603399/detail</t>
  </si>
  <si>
    <t>建霖家居</t>
  </si>
  <si>
    <t>www.lixinger.com/analytics/company/sh/603408/603408/detail</t>
  </si>
  <si>
    <t>信捷电气</t>
  </si>
  <si>
    <t>机器人</t>
  </si>
  <si>
    <t>www.lixinger.com/analytics/company/sh/603416/603416/detail</t>
  </si>
  <si>
    <t>鼎信通讯</t>
  </si>
  <si>
    <t>www.lixinger.com/analytics/company/sh/603421/603421/detail</t>
  </si>
  <si>
    <t>集友股份</t>
  </si>
  <si>
    <t>www.lixinger.com/analytics/company/sh/603429/603429/detail</t>
  </si>
  <si>
    <t>贵州三力</t>
  </si>
  <si>
    <t>www.lixinger.com/analytics/company/sh/603439/603439/detail</t>
  </si>
  <si>
    <t>吉比特</t>
  </si>
  <si>
    <t>www.lixinger.com/analytics/company/sh/603444/603444/detail</t>
  </si>
  <si>
    <t>九洲药业</t>
  </si>
  <si>
    <t>www.lixinger.com/analytics/company/sh/603456/603456/detail</t>
  </si>
  <si>
    <t>勘设股份</t>
  </si>
  <si>
    <t>www.lixinger.com/analytics/company/sh/603458/603458/detail</t>
  </si>
  <si>
    <t>风语筑</t>
  </si>
  <si>
    <t>其他数字媒体</t>
  </si>
  <si>
    <t>www.lixinger.com/analytics/company/sh/603466/603466/detail</t>
  </si>
  <si>
    <t>巨星农牧</t>
  </si>
  <si>
    <t>辅料</t>
  </si>
  <si>
    <t>www.lixinger.com/analytics/company/sh/603477/603477/detail</t>
  </si>
  <si>
    <t>科沃斯</t>
  </si>
  <si>
    <t>www.lixinger.com/analytics/company/sh/603486/603486/detail</t>
  </si>
  <si>
    <t>展鹏科技</t>
  </si>
  <si>
    <t>www.lixinger.com/analytics/company/sh/603488/603488/detail</t>
  </si>
  <si>
    <t>八方股份</t>
  </si>
  <si>
    <t>www.lixinger.com/analytics/company/sh/603489/603489/detail</t>
  </si>
  <si>
    <t>恒为科技</t>
  </si>
  <si>
    <t>www.lixinger.com/analytics/company/sh/603496/603496/detail</t>
  </si>
  <si>
    <t>翔港科技</t>
  </si>
  <si>
    <t>www.lixinger.com/analytics/company/sh/603499/603499/detail</t>
  </si>
  <si>
    <t>祥和实业</t>
  </si>
  <si>
    <t>www.lixinger.com/analytics/company/sh/603500/603500/detail</t>
  </si>
  <si>
    <t>韦尔股份</t>
  </si>
  <si>
    <t>www.lixinger.com/analytics/company/sh/603501/603501/detail</t>
  </si>
  <si>
    <t>金石资源</t>
  </si>
  <si>
    <t>www.lixinger.com/analytics/company/sh/603505/603505/detail</t>
  </si>
  <si>
    <t>南都物业</t>
  </si>
  <si>
    <t>物业管理</t>
  </si>
  <si>
    <t>www.lixinger.com/analytics/company/sh/603506/603506/detail</t>
  </si>
  <si>
    <t>振江股份</t>
  </si>
  <si>
    <t>www.lixinger.com/analytics/company/sh/603507/603507/detail</t>
  </si>
  <si>
    <t>思维列控</t>
  </si>
  <si>
    <t>安防设备</t>
  </si>
  <si>
    <t>www.lixinger.com/analytics/company/sh/603508/603508/detail</t>
  </si>
  <si>
    <t>爱慕股份</t>
  </si>
  <si>
    <t>www.lixinger.com/analytics/company/sh/603511/603511/detail</t>
  </si>
  <si>
    <t>欧普照明</t>
  </si>
  <si>
    <t>www.lixinger.com/analytics/company/sh/603515/603515/detail</t>
  </si>
  <si>
    <t>淳中科技</t>
  </si>
  <si>
    <t>www.lixinger.com/analytics/company/sh/603516/603516/detail</t>
  </si>
  <si>
    <t>绝味食品</t>
  </si>
  <si>
    <t>熟食</t>
  </si>
  <si>
    <t>www.lixinger.com/analytics/company/sh/603517/603517/detail</t>
  </si>
  <si>
    <t>锦泓集团</t>
  </si>
  <si>
    <t>www.lixinger.com/analytics/company/sh/603518/603518/detail</t>
  </si>
  <si>
    <t>立霸股份</t>
  </si>
  <si>
    <t>www.lixinger.com/analytics/company/sh/603519/603519/detail</t>
  </si>
  <si>
    <t>司太立</t>
  </si>
  <si>
    <t>www.lixinger.com/analytics/company/sh/603520/603520/detail</t>
  </si>
  <si>
    <t>众源新材</t>
  </si>
  <si>
    <t>www.lixinger.com/analytics/company/sh/603527/603527/detail</t>
  </si>
  <si>
    <t>多伦科技</t>
  </si>
  <si>
    <t>www.lixinger.com/analytics/company/sh/603528/603528/detail</t>
  </si>
  <si>
    <t>爱玛科技</t>
  </si>
  <si>
    <t>www.lixinger.com/analytics/company/sh/603529/603529/detail</t>
  </si>
  <si>
    <t>神马电力</t>
  </si>
  <si>
    <t>www.lixinger.com/analytics/company/sh/603530/603530/detail</t>
  </si>
  <si>
    <t>掌阅科技</t>
  </si>
  <si>
    <t>文字媒体</t>
  </si>
  <si>
    <t>www.lixinger.com/analytics/company/sh/603533/603533/detail</t>
  </si>
  <si>
    <t>嘉诚国际</t>
  </si>
  <si>
    <t>www.lixinger.com/analytics/company/sh/603535/603535/detail</t>
  </si>
  <si>
    <t>惠发食品</t>
  </si>
  <si>
    <t>www.lixinger.com/analytics/company/sh/603536/603536/detail</t>
  </si>
  <si>
    <t>美诺华</t>
  </si>
  <si>
    <t>www.lixinger.com/analytics/company/sh/603538/603538/detail</t>
  </si>
  <si>
    <t>奥普家居</t>
  </si>
  <si>
    <t>www.lixinger.com/analytics/company/sh/603551/603551/detail</t>
  </si>
  <si>
    <t>ST贵人</t>
  </si>
  <si>
    <t>运动服装</t>
  </si>
  <si>
    <t>www.lixinger.com/analytics/company/sh/603555/603555/detail</t>
  </si>
  <si>
    <t>海兴电力</t>
  </si>
  <si>
    <t>www.lixinger.com/analytics/company/sh/603556/603556/detail</t>
  </si>
  <si>
    <t>ST起步</t>
  </si>
  <si>
    <t>www.lixinger.com/analytics/company/sh/603557/603557/detail</t>
  </si>
  <si>
    <t>健盛集团</t>
  </si>
  <si>
    <t>www.lixinger.com/analytics/company/sh/603558/603558/detail</t>
  </si>
  <si>
    <t>中通国脉</t>
  </si>
  <si>
    <t>www.lixinger.com/analytics/company/sh/603559/603559/detail</t>
  </si>
  <si>
    <t>中谷物流</t>
  </si>
  <si>
    <t>www.lixinger.com/analytics/company/sh/603565/603565/detail</t>
  </si>
  <si>
    <t>普莱柯</t>
  </si>
  <si>
    <t>www.lixinger.com/analytics/company/sh/603566/603566/detail</t>
  </si>
  <si>
    <t>珍宝岛</t>
  </si>
  <si>
    <t>www.lixinger.com/analytics/company/sh/603567/603567/detail</t>
  </si>
  <si>
    <t>伟明环保</t>
  </si>
  <si>
    <t>www.lixinger.com/analytics/company/sh/603568/603568/detail</t>
  </si>
  <si>
    <t>长久物流</t>
  </si>
  <si>
    <t>www.lixinger.com/analytics/company/sh/603569/603569/detail</t>
  </si>
  <si>
    <t>汇金通</t>
  </si>
  <si>
    <t>www.lixinger.com/analytics/company/sh/603577/603577/detail</t>
  </si>
  <si>
    <t>三星新材</t>
  </si>
  <si>
    <t>www.lixinger.com/analytics/company/sh/603578/603578/detail</t>
  </si>
  <si>
    <t>荣泰健康</t>
  </si>
  <si>
    <t>其他家电</t>
  </si>
  <si>
    <t>www.lixinger.com/analytics/company/sh/603579/603579/detail</t>
  </si>
  <si>
    <t>艾艾精工</t>
  </si>
  <si>
    <t>www.lixinger.com/analytics/company/sh/603580/603580/detail</t>
  </si>
  <si>
    <t>捷昌驱动</t>
  </si>
  <si>
    <t>www.lixinger.com/analytics/company/sh/603583/603583/detail</t>
  </si>
  <si>
    <t>苏利股份</t>
  </si>
  <si>
    <t>www.lixinger.com/analytics/company/sh/603585/603585/detail</t>
  </si>
  <si>
    <t>金麒麟</t>
  </si>
  <si>
    <t>www.lixinger.com/analytics/company/sh/603586/603586/detail</t>
  </si>
  <si>
    <t>地素时尚</t>
  </si>
  <si>
    <t>www.lixinger.com/analytics/company/sh/603587/603587/detail</t>
  </si>
  <si>
    <t>高能环境</t>
  </si>
  <si>
    <t>www.lixinger.com/analytics/company/sh/603588/603588/detail</t>
  </si>
  <si>
    <t>口子窖</t>
  </si>
  <si>
    <t>www.lixinger.com/analytics/company/sh/603589/603589/detail</t>
  </si>
  <si>
    <t>康辰药业</t>
  </si>
  <si>
    <t>www.lixinger.com/analytics/company/sh/603590/603590/detail</t>
  </si>
  <si>
    <t>东尼电子</t>
  </si>
  <si>
    <t>www.lixinger.com/analytics/company/sh/603595/603595/detail</t>
  </si>
  <si>
    <t>伯特利</t>
  </si>
  <si>
    <t>www.lixinger.com/analytics/company/sh/603596/603596/detail</t>
  </si>
  <si>
    <t>引力传媒</t>
  </si>
  <si>
    <t>www.lixinger.com/analytics/company/sh/603598/603598/detail</t>
  </si>
  <si>
    <t>广信股份</t>
  </si>
  <si>
    <t>www.lixinger.com/analytics/company/sh/603599/603599/detail</t>
  </si>
  <si>
    <t>永艺股份</t>
  </si>
  <si>
    <t>www.lixinger.com/analytics/company/sh/603600/603600/detail</t>
  </si>
  <si>
    <t>再升科技</t>
  </si>
  <si>
    <t>www.lixinger.com/analytics/company/sh/603601/603601/detail</t>
  </si>
  <si>
    <t>纵横通信</t>
  </si>
  <si>
    <t>www.lixinger.com/analytics/company/sh/603602/603602/detail</t>
  </si>
  <si>
    <t>博天环境</t>
  </si>
  <si>
    <t>www.lixinger.com/analytics/company/sh/603603/603603/detail</t>
  </si>
  <si>
    <t>珀莱雅</t>
  </si>
  <si>
    <t>www.lixinger.com/analytics/company/sh/603605/603605/detail</t>
  </si>
  <si>
    <t>东方电缆</t>
  </si>
  <si>
    <t>www.lixinger.com/analytics/company/sh/603606/603606/detail</t>
  </si>
  <si>
    <t>京华激光</t>
  </si>
  <si>
    <t>www.lixinger.com/analytics/company/sh/603607/603607/detail</t>
  </si>
  <si>
    <t>天创时尚</t>
  </si>
  <si>
    <t>www.lixinger.com/analytics/company/sh/603608/603608/detail</t>
  </si>
  <si>
    <t>禾丰股份</t>
  </si>
  <si>
    <t>www.lixinger.com/analytics/company/sh/603609/603609/detail</t>
  </si>
  <si>
    <t>麒盛科技</t>
  </si>
  <si>
    <t>www.lixinger.com/analytics/company/sh/603610/603610/detail</t>
  </si>
  <si>
    <t>诺力股份</t>
  </si>
  <si>
    <t>www.lixinger.com/analytics/company/sh/603611/603611/detail</t>
  </si>
  <si>
    <t>索通发展</t>
  </si>
  <si>
    <t>www.lixinger.com/analytics/company/sh/603612/603612/detail</t>
  </si>
  <si>
    <t>国联股份</t>
  </si>
  <si>
    <t>综合电商</t>
  </si>
  <si>
    <t>www.lixinger.com/analytics/company/sh/603613/603613/detail</t>
  </si>
  <si>
    <t>茶花股份</t>
  </si>
  <si>
    <t>www.lixinger.com/analytics/company/sh/603615/603615/detail</t>
  </si>
  <si>
    <t>韩建河山</t>
  </si>
  <si>
    <t>水泥制品</t>
  </si>
  <si>
    <t>www.lixinger.com/analytics/company/sh/603616/603616/detail</t>
  </si>
  <si>
    <t>君禾股份</t>
  </si>
  <si>
    <t>www.lixinger.com/analytics/company/sh/603617/603617/detail</t>
  </si>
  <si>
    <t>杭电股份</t>
  </si>
  <si>
    <t>www.lixinger.com/analytics/company/sh/603618/603618/detail</t>
  </si>
  <si>
    <t>中曼石油</t>
  </si>
  <si>
    <t>www.lixinger.com/analytics/company/sh/603619/603619/detail</t>
  </si>
  <si>
    <t>科森科技</t>
  </si>
  <si>
    <t>www.lixinger.com/analytics/company/sh/603626/603626/detail</t>
  </si>
  <si>
    <t>清源股份</t>
  </si>
  <si>
    <t>www.lixinger.com/analytics/company/sh/603628/603628/detail</t>
  </si>
  <si>
    <t>利通电子</t>
  </si>
  <si>
    <t>www.lixinger.com/analytics/company/sh/603629/603629/detail</t>
  </si>
  <si>
    <t>拉芳家化</t>
  </si>
  <si>
    <t>www.lixinger.com/analytics/company/sh/603630/603630/detail</t>
  </si>
  <si>
    <t>徕木股份</t>
  </si>
  <si>
    <t>www.lixinger.com/analytics/company/sh/603633/603633/detail</t>
  </si>
  <si>
    <t>南威软件</t>
  </si>
  <si>
    <t>www.lixinger.com/analytics/company/sh/603636/603636/detail</t>
  </si>
  <si>
    <t>镇海股份</t>
  </si>
  <si>
    <t>www.lixinger.com/analytics/company/sh/603637/603637/detail</t>
  </si>
  <si>
    <t>艾迪精密</t>
  </si>
  <si>
    <t>www.lixinger.com/analytics/company/sh/603638/603638/detail</t>
  </si>
  <si>
    <t>海利尔</t>
  </si>
  <si>
    <t>www.lixinger.com/analytics/company/sh/603639/603639/detail</t>
  </si>
  <si>
    <t>畅联股份</t>
  </si>
  <si>
    <t>中间产品及消费品供应链服务</t>
  </si>
  <si>
    <t>www.lixinger.com/analytics/company/sh/603648/603648/detail</t>
  </si>
  <si>
    <t>彤程新材</t>
  </si>
  <si>
    <t>橡胶助剂</t>
  </si>
  <si>
    <t>www.lixinger.com/analytics/company/sh/603650/603650/detail</t>
  </si>
  <si>
    <t>朗博科技</t>
  </si>
  <si>
    <t>www.lixinger.com/analytics/company/sh/603655/603655/detail</t>
  </si>
  <si>
    <t>泰禾智能</t>
  </si>
  <si>
    <t>www.lixinger.com/analytics/company/sh/603656/603656/detail</t>
  </si>
  <si>
    <t>春光科技</t>
  </si>
  <si>
    <t>www.lixinger.com/analytics/company/sh/603657/603657/detail</t>
  </si>
  <si>
    <t>安图生物</t>
  </si>
  <si>
    <t>www.lixinger.com/analytics/company/sh/603658/603658/detail</t>
  </si>
  <si>
    <t>璞泰来</t>
  </si>
  <si>
    <t>www.lixinger.com/analytics/company/sh/603659/603659/detail</t>
  </si>
  <si>
    <t>苏州科达</t>
  </si>
  <si>
    <t>www.lixinger.com/analytics/company/sh/603660/603660/detail</t>
  </si>
  <si>
    <t>恒林股份</t>
  </si>
  <si>
    <t>www.lixinger.com/analytics/company/sh/603661/603661/detail</t>
  </si>
  <si>
    <t>柯力传感</t>
  </si>
  <si>
    <t>www.lixinger.com/analytics/company/sh/603662/603662/detail</t>
  </si>
  <si>
    <t>三祥新材</t>
  </si>
  <si>
    <t>www.lixinger.com/analytics/company/sh/603663/603663/detail</t>
  </si>
  <si>
    <t>康隆达</t>
  </si>
  <si>
    <t>www.lixinger.com/analytics/company/sh/603665/603665/detail</t>
  </si>
  <si>
    <t>亿嘉和</t>
  </si>
  <si>
    <t>www.lixinger.com/analytics/company/sh/603666/603666/detail</t>
  </si>
  <si>
    <t>五洲新春</t>
  </si>
  <si>
    <t>www.lixinger.com/analytics/company/sh/603667/603667/detail</t>
  </si>
  <si>
    <t>天马科技</t>
  </si>
  <si>
    <t>水产饲料</t>
  </si>
  <si>
    <t>www.lixinger.com/analytics/company/sh/603668/603668/detail</t>
  </si>
  <si>
    <t>灵康药业</t>
  </si>
  <si>
    <t>www.lixinger.com/analytics/company/sh/603669/603669/detail</t>
  </si>
  <si>
    <t>卫信康</t>
  </si>
  <si>
    <t>www.lixinger.com/analytics/company/sh/603676/603676/detail</t>
  </si>
  <si>
    <t>奇精机械</t>
  </si>
  <si>
    <t>www.lixinger.com/analytics/company/sh/603677/603677/detail</t>
  </si>
  <si>
    <t>火炬电子</t>
  </si>
  <si>
    <t>www.lixinger.com/analytics/company/sh/603678/603678/detail</t>
  </si>
  <si>
    <t>华体科技</t>
  </si>
  <si>
    <t>www.lixinger.com/analytics/company/sh/603679/603679/detail</t>
  </si>
  <si>
    <t>今创集团</t>
  </si>
  <si>
    <t>www.lixinger.com/analytics/company/sh/603680/603680/detail</t>
  </si>
  <si>
    <t>永冠新材</t>
  </si>
  <si>
    <t>胶黏剂及胶带</t>
  </si>
  <si>
    <t>www.lixinger.com/analytics/company/sh/603681/603681/detail</t>
  </si>
  <si>
    <t>锦和商业</t>
  </si>
  <si>
    <t>www.lixinger.com/analytics/company/sh/603682/603682/detail</t>
  </si>
  <si>
    <t>晶华新材</t>
  </si>
  <si>
    <t>www.lixinger.com/analytics/company/sh/603683/603683/detail</t>
  </si>
  <si>
    <t>晨丰科技</t>
  </si>
  <si>
    <t>www.lixinger.com/analytics/company/sh/603685/603685/detail</t>
  </si>
  <si>
    <t>福龙马</t>
  </si>
  <si>
    <t>www.lixinger.com/analytics/company/sh/603686/603686/detail</t>
  </si>
  <si>
    <t>大胜达</t>
  </si>
  <si>
    <t>www.lixinger.com/analytics/company/sh/603687/603687/detail</t>
  </si>
  <si>
    <t>石英股份</t>
  </si>
  <si>
    <t>www.lixinger.com/analytics/company/sh/603688/603688/detail</t>
  </si>
  <si>
    <t>皖天然气</t>
  </si>
  <si>
    <t>www.lixinger.com/analytics/company/sh/603689/603689/detail</t>
  </si>
  <si>
    <t>至纯科技</t>
  </si>
  <si>
    <t>半导体设备</t>
  </si>
  <si>
    <t>www.lixinger.com/analytics/company/sh/603690/603690/detail</t>
  </si>
  <si>
    <t>江苏新能</t>
  </si>
  <si>
    <t>www.lixinger.com/analytics/company/sh/603693/603693/detail</t>
  </si>
  <si>
    <t>安记食品</t>
  </si>
  <si>
    <t>www.lixinger.com/analytics/company/sh/603696/603696/detail</t>
  </si>
  <si>
    <t>有友食品</t>
  </si>
  <si>
    <t>零食</t>
  </si>
  <si>
    <t>www.lixinger.com/analytics/company/sh/603697/603697/detail</t>
  </si>
  <si>
    <t>航天工程</t>
  </si>
  <si>
    <t>www.lixinger.com/analytics/company/sh/603698/603698/detail</t>
  </si>
  <si>
    <t>纽威股份</t>
  </si>
  <si>
    <t>www.lixinger.com/analytics/company/sh/603699/603699/detail</t>
  </si>
  <si>
    <t>宁水集团</t>
  </si>
  <si>
    <t>www.lixinger.com/analytics/company/sh/603700/603700/detail</t>
  </si>
  <si>
    <t>德宏股份</t>
  </si>
  <si>
    <t>www.lixinger.com/analytics/company/sh/603701/603701/detail</t>
  </si>
  <si>
    <t>盛洋科技</t>
  </si>
  <si>
    <t>www.lixinger.com/analytics/company/sh/603703/603703/detail</t>
  </si>
  <si>
    <t>东方环宇</t>
  </si>
  <si>
    <t>www.lixinger.com/analytics/company/sh/603706/603706/detail</t>
  </si>
  <si>
    <t>健友股份</t>
  </si>
  <si>
    <t>www.lixinger.com/analytics/company/sh/603707/603707/detail</t>
  </si>
  <si>
    <t>家家悦</t>
  </si>
  <si>
    <t>www.lixinger.com/analytics/company/sh/603708/603708/detail</t>
  </si>
  <si>
    <t>中源家居</t>
  </si>
  <si>
    <t>www.lixinger.com/analytics/company/sh/603709/603709/detail</t>
  </si>
  <si>
    <t>香飘飘</t>
  </si>
  <si>
    <t>www.lixinger.com/analytics/company/sh/603711/603711/detail</t>
  </si>
  <si>
    <t>七一二</t>
  </si>
  <si>
    <t>www.lixinger.com/analytics/company/sh/603712/603712/detail</t>
  </si>
  <si>
    <t>密尔克卫</t>
  </si>
  <si>
    <t>www.lixinger.com/analytics/company/sh/603713/603713/detail</t>
  </si>
  <si>
    <t>塞力医疗</t>
  </si>
  <si>
    <t>www.lixinger.com/analytics/company/sh/603716/603716/detail</t>
  </si>
  <si>
    <t>天域生态</t>
  </si>
  <si>
    <t>www.lixinger.com/analytics/company/sh/603717/603717/detail</t>
  </si>
  <si>
    <t>海利生物</t>
  </si>
  <si>
    <t>www.lixinger.com/analytics/company/sh/603718/603718/detail</t>
  </si>
  <si>
    <t>良品铺子</t>
  </si>
  <si>
    <t>www.lixinger.com/analytics/company/sh/603719/603719/detail</t>
  </si>
  <si>
    <t>中广天择</t>
  </si>
  <si>
    <t>www.lixinger.com/analytics/company/sh/603721/603721/detail</t>
  </si>
  <si>
    <t>阿科力</t>
  </si>
  <si>
    <t>www.lixinger.com/analytics/company/sh/603722/603722/detail</t>
  </si>
  <si>
    <t>天安新材</t>
  </si>
  <si>
    <t>www.lixinger.com/analytics/company/sh/603725/603725/detail</t>
  </si>
  <si>
    <t>朗迪集团</t>
  </si>
  <si>
    <t>www.lixinger.com/analytics/company/sh/603726/603726/detail</t>
  </si>
  <si>
    <t>博迈科</t>
  </si>
  <si>
    <t>www.lixinger.com/analytics/company/sh/603727/603727/detail</t>
  </si>
  <si>
    <t>鸣志电器</t>
  </si>
  <si>
    <t>www.lixinger.com/analytics/company/sh/603728/603728/detail</t>
  </si>
  <si>
    <t>ST龙韵</t>
  </si>
  <si>
    <t>www.lixinger.com/analytics/company/sh/603729/603729/detail</t>
  </si>
  <si>
    <t>岱美股份</t>
  </si>
  <si>
    <t>www.lixinger.com/analytics/company/sh/603730/603730/detail</t>
  </si>
  <si>
    <t>仙鹤股份</t>
  </si>
  <si>
    <t>www.lixinger.com/analytics/company/sh/603733/603733/detail</t>
  </si>
  <si>
    <t>三棵树</t>
  </si>
  <si>
    <t>www.lixinger.com/analytics/company/sh/603737/603737/detail</t>
  </si>
  <si>
    <t>泰晶科技</t>
  </si>
  <si>
    <t>www.lixinger.com/analytics/company/sh/603738/603738/detail</t>
  </si>
  <si>
    <t>蔚蓝生物</t>
  </si>
  <si>
    <t>www.lixinger.com/analytics/company/sh/603739/603739/detail</t>
  </si>
  <si>
    <t>日辰股份</t>
  </si>
  <si>
    <t>www.lixinger.com/analytics/company/sh/603755/603755/detail</t>
  </si>
  <si>
    <t>大元泵业</t>
  </si>
  <si>
    <t>www.lixinger.com/analytics/company/sh/603757/603757/detail</t>
  </si>
  <si>
    <t>秦安股份</t>
  </si>
  <si>
    <t>www.lixinger.com/analytics/company/sh/603758/603758/detail</t>
  </si>
  <si>
    <t>海天股份</t>
  </si>
  <si>
    <t>www.lixinger.com/analytics/company/sh/603759/603759/detail</t>
  </si>
  <si>
    <t>隆鑫通用</t>
  </si>
  <si>
    <t>www.lixinger.com/analytics/company/sh/603766/603766/detail</t>
  </si>
  <si>
    <t>中马传动</t>
  </si>
  <si>
    <t>www.lixinger.com/analytics/company/sh/603767/603767/detail</t>
  </si>
  <si>
    <t>常青股份</t>
  </si>
  <si>
    <t>www.lixinger.com/analytics/company/sh/603768/603768/detail</t>
  </si>
  <si>
    <t>沃格光电</t>
  </si>
  <si>
    <t>www.lixinger.com/analytics/company/sh/603773/603773/detail</t>
  </si>
  <si>
    <t>永安行</t>
  </si>
  <si>
    <t>www.lixinger.com/analytics/company/sh/603776/603776/detail</t>
  </si>
  <si>
    <t>来伊份</t>
  </si>
  <si>
    <t>www.lixinger.com/analytics/company/sh/603777/603777/detail</t>
  </si>
  <si>
    <t>乾景园林</t>
  </si>
  <si>
    <t>www.lixinger.com/analytics/company/sh/603778/603778/detail</t>
  </si>
  <si>
    <t>威龙股份</t>
  </si>
  <si>
    <t>www.lixinger.com/analytics/company/sh/603779/603779/detail</t>
  </si>
  <si>
    <t>科博达</t>
  </si>
  <si>
    <t>www.lixinger.com/analytics/company/sh/603786/603786/detail</t>
  </si>
  <si>
    <t>新日股份</t>
  </si>
  <si>
    <t>www.lixinger.com/analytics/company/sh/603787/603787/detail</t>
  </si>
  <si>
    <t>宁波高发</t>
  </si>
  <si>
    <t>www.lixinger.com/analytics/company/sh/603788/603788/detail</t>
  </si>
  <si>
    <t>星光农机</t>
  </si>
  <si>
    <t>www.lixinger.com/analytics/company/sh/603789/603789/detail</t>
  </si>
  <si>
    <t>雅运股份</t>
  </si>
  <si>
    <t>www.lixinger.com/analytics/company/sh/603790/603790/detail</t>
  </si>
  <si>
    <t>联泰环保</t>
  </si>
  <si>
    <t>www.lixinger.com/analytics/company/sh/603797/603797/detail</t>
  </si>
  <si>
    <t>康普顿</t>
  </si>
  <si>
    <t>www.lixinger.com/analytics/company/sh/603798/603798/detail</t>
  </si>
  <si>
    <t>华友钴业</t>
  </si>
  <si>
    <t>www.lixinger.com/analytics/company/sh/603799/603799/detail</t>
  </si>
  <si>
    <t>道森股份</t>
  </si>
  <si>
    <t>www.lixinger.com/analytics/company/sh/603800/603800/detail</t>
  </si>
  <si>
    <t>志邦家居</t>
  </si>
  <si>
    <t>www.lixinger.com/analytics/company/sh/603801/603801/detail</t>
  </si>
  <si>
    <t>瑞斯康达</t>
  </si>
  <si>
    <t>www.lixinger.com/analytics/company/sh/603803/603803/detail</t>
  </si>
  <si>
    <t>福斯特</t>
  </si>
  <si>
    <t>www.lixinger.com/analytics/company/sh/603806/603806/detail</t>
  </si>
  <si>
    <t>歌力思</t>
  </si>
  <si>
    <t>www.lixinger.com/analytics/company/sh/603808/603808/detail</t>
  </si>
  <si>
    <t>豪能股份</t>
  </si>
  <si>
    <t>www.lixinger.com/analytics/company/sh/603809/603809/detail</t>
  </si>
  <si>
    <t>丰山集团</t>
  </si>
  <si>
    <t>www.lixinger.com/analytics/company/sh/603810/603810/detail</t>
  </si>
  <si>
    <t>诚意药业</t>
  </si>
  <si>
    <t>www.lixinger.com/analytics/company/sh/603811/603811/detail</t>
  </si>
  <si>
    <t>原尚股份</t>
  </si>
  <si>
    <t>www.lixinger.com/analytics/company/sh/603813/603813/detail</t>
  </si>
  <si>
    <t>交建股份</t>
  </si>
  <si>
    <t>www.lixinger.com/analytics/company/sh/603815/603815/detail</t>
  </si>
  <si>
    <t>顾家家居</t>
  </si>
  <si>
    <t>www.lixinger.com/analytics/company/sh/603816/603816/detail</t>
  </si>
  <si>
    <t>海峡环保</t>
  </si>
  <si>
    <t>www.lixinger.com/analytics/company/sh/603817/603817/detail</t>
  </si>
  <si>
    <t>曲美家居</t>
  </si>
  <si>
    <t>www.lixinger.com/analytics/company/sh/603818/603818/detail</t>
  </si>
  <si>
    <t>神力股份</t>
  </si>
  <si>
    <t>www.lixinger.com/analytics/company/sh/603819/603819/detail</t>
  </si>
  <si>
    <t>嘉澳环保</t>
  </si>
  <si>
    <t>www.lixinger.com/analytics/company/sh/603822/603822/detail</t>
  </si>
  <si>
    <t>百合花</t>
  </si>
  <si>
    <t>www.lixinger.com/analytics/company/sh/603823/603823/detail</t>
  </si>
  <si>
    <t>华扬联众</t>
  </si>
  <si>
    <t>www.lixinger.com/analytics/company/sh/603825/603825/detail</t>
  </si>
  <si>
    <t>坤彩科技</t>
  </si>
  <si>
    <t>www.lixinger.com/analytics/company/sh/603826/603826/detail</t>
  </si>
  <si>
    <t>柯利达</t>
  </si>
  <si>
    <t>www.lixinger.com/analytics/company/sh/603828/603828/detail</t>
  </si>
  <si>
    <t>洛凯股份</t>
  </si>
  <si>
    <t>www.lixinger.com/analytics/company/sh/603829/603829/detail</t>
  </si>
  <si>
    <t>欧派家居</t>
  </si>
  <si>
    <t>www.lixinger.com/analytics/company/sh/603833/603833/detail</t>
  </si>
  <si>
    <t>海程邦达</t>
  </si>
  <si>
    <t>www.lixinger.com/analytics/company/sh/603836/603836/detail</t>
  </si>
  <si>
    <t>四通股份</t>
  </si>
  <si>
    <t>www.lixinger.com/analytics/company/sh/603838/603838/detail</t>
  </si>
  <si>
    <t>安正时尚</t>
  </si>
  <si>
    <t>www.lixinger.com/analytics/company/sh/603839/603839/detail</t>
  </si>
  <si>
    <t>正平股份</t>
  </si>
  <si>
    <t>www.lixinger.com/analytics/company/sh/603843/603843/detail</t>
  </si>
  <si>
    <t>好太太</t>
  </si>
  <si>
    <t>www.lixinger.com/analytics/company/sh/603848/603848/detail</t>
  </si>
  <si>
    <t>华荣股份</t>
  </si>
  <si>
    <t>www.lixinger.com/analytics/company/sh/603855/603855/detail</t>
  </si>
  <si>
    <t>东宏股份</t>
  </si>
  <si>
    <t>管材</t>
  </si>
  <si>
    <t>www.lixinger.com/analytics/company/sh/603856/603856/detail</t>
  </si>
  <si>
    <t>步长制药</t>
  </si>
  <si>
    <t>www.lixinger.com/analytics/company/sh/603858/603858/detail</t>
  </si>
  <si>
    <t>能科科技</t>
  </si>
  <si>
    <t>www.lixinger.com/analytics/company/sh/603859/603859/detail</t>
  </si>
  <si>
    <t>中公高科</t>
  </si>
  <si>
    <t>www.lixinger.com/analytics/company/sh/603860/603860/detail</t>
  </si>
  <si>
    <t>白云电器</t>
  </si>
  <si>
    <t>www.lixinger.com/analytics/company/sh/603861/603861/detail</t>
  </si>
  <si>
    <t>松炀资源</t>
  </si>
  <si>
    <t>www.lixinger.com/analytics/company/sh/603863/603863/detail</t>
  </si>
  <si>
    <t>桃李面包</t>
  </si>
  <si>
    <t>www.lixinger.com/analytics/company/sh/603866/603866/detail</t>
  </si>
  <si>
    <t>新化股份</t>
  </si>
  <si>
    <t>www.lixinger.com/analytics/company/sh/603867/603867/detail</t>
  </si>
  <si>
    <t>飞科电器</t>
  </si>
  <si>
    <t>个护小家电</t>
  </si>
  <si>
    <t>www.lixinger.com/analytics/company/sh/603868/603868/detail</t>
  </si>
  <si>
    <t>新智认知</t>
  </si>
  <si>
    <t>www.lixinger.com/analytics/company/sh/603869/603869/detail</t>
  </si>
  <si>
    <t>嘉友国际</t>
  </si>
  <si>
    <t>www.lixinger.com/analytics/company/sh/603871/603871/detail</t>
  </si>
  <si>
    <t>鼎胜新材</t>
  </si>
  <si>
    <t>www.lixinger.com/analytics/company/sh/603876/603876/detail</t>
  </si>
  <si>
    <t>太平鸟</t>
  </si>
  <si>
    <t>www.lixinger.com/analytics/company/sh/603877/603877/detail</t>
  </si>
  <si>
    <t>武进不锈</t>
  </si>
  <si>
    <t>www.lixinger.com/analytics/company/sh/603878/603878/detail</t>
  </si>
  <si>
    <t>永悦科技</t>
  </si>
  <si>
    <t>合成树脂</t>
  </si>
  <si>
    <t>www.lixinger.com/analytics/company/sh/603879/603879/detail</t>
  </si>
  <si>
    <t>南卫股份</t>
  </si>
  <si>
    <t>www.lixinger.com/analytics/company/sh/603880/603880/detail</t>
  </si>
  <si>
    <t>数据港</t>
  </si>
  <si>
    <t>www.lixinger.com/analytics/company/sh/603881/603881/detail</t>
  </si>
  <si>
    <t>金域医学</t>
  </si>
  <si>
    <t>www.lixinger.com/analytics/company/sh/603882/603882/detail</t>
  </si>
  <si>
    <t>老百姓</t>
  </si>
  <si>
    <t>www.lixinger.com/analytics/company/sh/603883/603883/detail</t>
  </si>
  <si>
    <t>吉祥航空</t>
  </si>
  <si>
    <t>www.lixinger.com/analytics/company/sh/603885/603885/detail</t>
  </si>
  <si>
    <t>元祖股份</t>
  </si>
  <si>
    <t>www.lixinger.com/analytics/company/sh/603886/603886/detail</t>
  </si>
  <si>
    <t>城地香江</t>
  </si>
  <si>
    <t>www.lixinger.com/analytics/company/sh/603887/603887/detail</t>
  </si>
  <si>
    <t>新华网</t>
  </si>
  <si>
    <t>www.lixinger.com/analytics/company/sh/603888/603888/detail</t>
  </si>
  <si>
    <t>新澳股份</t>
  </si>
  <si>
    <t>www.lixinger.com/analytics/company/sh/603889/603889/detail</t>
  </si>
  <si>
    <t>春秋电子</t>
  </si>
  <si>
    <t>www.lixinger.com/analytics/company/sh/603890/603890/detail</t>
  </si>
  <si>
    <t>瑞芯微</t>
  </si>
  <si>
    <t>www.lixinger.com/analytics/company/sh/603893/603893/detail</t>
  </si>
  <si>
    <t>天永智能</t>
  </si>
  <si>
    <t>www.lixinger.com/analytics/company/sh/603895/603895/detail</t>
  </si>
  <si>
    <t>寿仙谷</t>
  </si>
  <si>
    <t>www.lixinger.com/analytics/company/sh/603896/603896/detail</t>
  </si>
  <si>
    <t>长城科技</t>
  </si>
  <si>
    <t>www.lixinger.com/analytics/company/sh/603897/603897/detail</t>
  </si>
  <si>
    <t>好莱客</t>
  </si>
  <si>
    <t>www.lixinger.com/analytics/company/sh/603898/603898/detail</t>
  </si>
  <si>
    <t>晨光股份</t>
  </si>
  <si>
    <t>文化用品</t>
  </si>
  <si>
    <t>www.lixinger.com/analytics/company/sh/603899/603899/detail</t>
  </si>
  <si>
    <t>莱绅通灵</t>
  </si>
  <si>
    <t>www.lixinger.com/analytics/company/sh/603900/603900/detail</t>
  </si>
  <si>
    <t>永创智能</t>
  </si>
  <si>
    <t>印刷包装机械</t>
  </si>
  <si>
    <t>www.lixinger.com/analytics/company/sh/603901/603901/detail</t>
  </si>
  <si>
    <t>中持股份</t>
  </si>
  <si>
    <t>www.lixinger.com/analytics/company/sh/603903/603903/detail</t>
  </si>
  <si>
    <t>龙蟠科技</t>
  </si>
  <si>
    <t>www.lixinger.com/analytics/company/sh/603906/603906/detail</t>
  </si>
  <si>
    <t>牧高笛</t>
  </si>
  <si>
    <t>www.lixinger.com/analytics/company/sh/603908/603908/detail</t>
  </si>
  <si>
    <t>合诚股份</t>
  </si>
  <si>
    <t>www.lixinger.com/analytics/company/sh/603909/603909/detail</t>
  </si>
  <si>
    <t>佳力图</t>
  </si>
  <si>
    <t>www.lixinger.com/analytics/company/sh/603912/603912/detail</t>
  </si>
  <si>
    <t>国茂股份</t>
  </si>
  <si>
    <t>www.lixinger.com/analytics/company/sh/603915/603915/detail</t>
  </si>
  <si>
    <t>苏博特</t>
  </si>
  <si>
    <t>www.lixinger.com/analytics/company/sh/603916/603916/detail</t>
  </si>
  <si>
    <t>合力科技</t>
  </si>
  <si>
    <t>www.lixinger.com/analytics/company/sh/603917/603917/detail</t>
  </si>
  <si>
    <t>金桥信息</t>
  </si>
  <si>
    <t>www.lixinger.com/analytics/company/sh/603918/603918/detail</t>
  </si>
  <si>
    <t>金徽酒</t>
  </si>
  <si>
    <t>www.lixinger.com/analytics/company/sh/603919/603919/detail</t>
  </si>
  <si>
    <t>世运电路</t>
  </si>
  <si>
    <t>www.lixinger.com/analytics/company/sh/603920/603920/detail</t>
  </si>
  <si>
    <t>金鸿顺</t>
  </si>
  <si>
    <t>www.lixinger.com/analytics/company/sh/603922/603922/detail</t>
  </si>
  <si>
    <t>铁流股份</t>
  </si>
  <si>
    <t>www.lixinger.com/analytics/company/sh/603926/603926/detail</t>
  </si>
  <si>
    <t>中科软</t>
  </si>
  <si>
    <t>www.lixinger.com/analytics/company/sh/603927/603927/detail</t>
  </si>
  <si>
    <t>兴业股份</t>
  </si>
  <si>
    <t>www.lixinger.com/analytics/company/sh/603928/603928/detail</t>
  </si>
  <si>
    <t>亚翔集成</t>
  </si>
  <si>
    <t>www.lixinger.com/analytics/company/sh/603929/603929/detail</t>
  </si>
  <si>
    <t>格林达</t>
  </si>
  <si>
    <t>www.lixinger.com/analytics/company/sh/603931/603931/detail</t>
  </si>
  <si>
    <t>睿能科技</t>
  </si>
  <si>
    <t>www.lixinger.com/analytics/company/sh/603933/603933/detail</t>
  </si>
  <si>
    <t>博敏电子</t>
  </si>
  <si>
    <t>www.lixinger.com/analytics/company/sh/603936/603936/detail</t>
  </si>
  <si>
    <t>丽岛新材</t>
  </si>
  <si>
    <t>www.lixinger.com/analytics/company/sh/603937/603937/detail</t>
  </si>
  <si>
    <t>三孚股份</t>
  </si>
  <si>
    <t>钾肥</t>
  </si>
  <si>
    <t>www.lixinger.com/analytics/company/sh/603938/603938/detail</t>
  </si>
  <si>
    <t>益丰药房</t>
  </si>
  <si>
    <t>www.lixinger.com/analytics/company/sh/603939/603939/detail</t>
  </si>
  <si>
    <t>建业股份</t>
  </si>
  <si>
    <t>www.lixinger.com/analytics/company/sh/603948/603948/detail</t>
  </si>
  <si>
    <t>雪龙集团</t>
  </si>
  <si>
    <t>www.lixinger.com/analytics/company/sh/603949/603949/detail</t>
  </si>
  <si>
    <t>长源东谷</t>
  </si>
  <si>
    <t>www.lixinger.com/analytics/company/sh/603950/603950/detail</t>
  </si>
  <si>
    <t>大千生态</t>
  </si>
  <si>
    <t>www.lixinger.com/analytics/company/sh/603955/603955/detail</t>
  </si>
  <si>
    <t>威派格</t>
  </si>
  <si>
    <t>www.lixinger.com/analytics/company/sh/603956/603956/detail</t>
  </si>
  <si>
    <t>哈森股份</t>
  </si>
  <si>
    <t>www.lixinger.com/analytics/company/sh/603958/603958/detail</t>
  </si>
  <si>
    <t>百利科技</t>
  </si>
  <si>
    <t>www.lixinger.com/analytics/company/sh/603959/603959/detail</t>
  </si>
  <si>
    <t>克来机电</t>
  </si>
  <si>
    <t>其他自动化设备</t>
  </si>
  <si>
    <t>www.lixinger.com/analytics/company/sh/603960/603960/detail</t>
  </si>
  <si>
    <t>大理药业</t>
  </si>
  <si>
    <t>www.lixinger.com/analytics/company/sh/603963/603963/detail</t>
  </si>
  <si>
    <t>法兰泰克</t>
  </si>
  <si>
    <t>www.lixinger.com/analytics/company/sh/603966/603966/detail</t>
  </si>
  <si>
    <t>中创物流</t>
  </si>
  <si>
    <t>www.lixinger.com/analytics/company/sh/603967/603967/detail</t>
  </si>
  <si>
    <t>醋化股份</t>
  </si>
  <si>
    <t>www.lixinger.com/analytics/company/sh/603968/603968/detail</t>
  </si>
  <si>
    <t>银龙股份</t>
  </si>
  <si>
    <t>www.lixinger.com/analytics/company/sh/603969/603969/detail</t>
  </si>
  <si>
    <t>中农立华</t>
  </si>
  <si>
    <t>www.lixinger.com/analytics/company/sh/603970/603970/detail</t>
  </si>
  <si>
    <t>正川股份</t>
  </si>
  <si>
    <t>www.lixinger.com/analytics/company/sh/603976/603976/detail</t>
  </si>
  <si>
    <t>国泰集团</t>
  </si>
  <si>
    <t>www.lixinger.com/analytics/company/sh/603977/603977/detail</t>
  </si>
  <si>
    <t>深圳新星</t>
  </si>
  <si>
    <t>www.lixinger.com/analytics/company/sh/603978/603978/detail</t>
  </si>
  <si>
    <t>金诚信</t>
  </si>
  <si>
    <t>www.lixinger.com/analytics/company/sh/603979/603979/detail</t>
  </si>
  <si>
    <t>吉华集团</t>
  </si>
  <si>
    <t>www.lixinger.com/analytics/company/sh/603980/603980/detail</t>
  </si>
  <si>
    <t>泉峰汽车</t>
  </si>
  <si>
    <t>www.lixinger.com/analytics/company/sh/603982/603982/detail</t>
  </si>
  <si>
    <t>丸美股份</t>
  </si>
  <si>
    <t>www.lixinger.com/analytics/company/sh/603983/603983/detail</t>
  </si>
  <si>
    <t>恒润股份</t>
  </si>
  <si>
    <t>www.lixinger.com/analytics/company/sh/603985/603985/detail</t>
  </si>
  <si>
    <t>兆易创新</t>
  </si>
  <si>
    <t>www.lixinger.com/analytics/company/sh/603986/603986/detail</t>
  </si>
  <si>
    <t>康德莱</t>
  </si>
  <si>
    <t>www.lixinger.com/analytics/company/sh/603987/603987/detail</t>
  </si>
  <si>
    <t>中电电机</t>
  </si>
  <si>
    <t>www.lixinger.com/analytics/company/sh/603988/603988/detail</t>
  </si>
  <si>
    <t>艾华集团</t>
  </si>
  <si>
    <t>www.lixinger.com/analytics/company/sh/603989/603989/detail</t>
  </si>
  <si>
    <t>麦迪科技</t>
  </si>
  <si>
    <t>www.lixinger.com/analytics/company/sh/603990/603990/detail</t>
  </si>
  <si>
    <t>至正股份</t>
  </si>
  <si>
    <t>www.lixinger.com/analytics/company/sh/603991/603991/detail</t>
  </si>
  <si>
    <t>松霖科技</t>
  </si>
  <si>
    <t>www.lixinger.com/analytics/company/sh/603992/603992/detail</t>
  </si>
  <si>
    <t>洛阳钼业</t>
  </si>
  <si>
    <t>www.lixinger.com/analytics/company/sh/603993/603993/detail</t>
  </si>
  <si>
    <t>甬金股份</t>
  </si>
  <si>
    <t>www.lixinger.com/analytics/company/sh/603995/603995/detail</t>
  </si>
  <si>
    <t>退市中新</t>
  </si>
  <si>
    <t>品牌消费电子</t>
  </si>
  <si>
    <t>www.lixinger.com/analytics/company/sh/603996/603996/detail</t>
  </si>
  <si>
    <t>继峰股份</t>
  </si>
  <si>
    <t>www.lixinger.com/analytics/company/sh/603997/603997/detail</t>
  </si>
  <si>
    <t>方盛制药</t>
  </si>
  <si>
    <t>www.lixinger.com/analytics/company/sh/603998/603998/detail</t>
  </si>
  <si>
    <t>读者传媒</t>
  </si>
  <si>
    <t>www.lixinger.com/analytics/company/sh/603999/603999/detail</t>
  </si>
  <si>
    <t>威奥股份</t>
  </si>
  <si>
    <t>www.lixinger.com/analytics/company/sh/605001/605001/detail</t>
  </si>
  <si>
    <t>众望布艺</t>
  </si>
  <si>
    <t>www.lixinger.com/analytics/company/sh/605003/605003/detail</t>
  </si>
  <si>
    <t>合兴股份</t>
  </si>
  <si>
    <t>www.lixinger.com/analytics/company/sh/605005/605005/detail</t>
  </si>
  <si>
    <t>山东玻纤</t>
  </si>
  <si>
    <t>www.lixinger.com/analytics/company/sh/605006/605006/detail</t>
  </si>
  <si>
    <t>五洲特纸</t>
  </si>
  <si>
    <t>www.lixinger.com/analytics/company/sh/605007/605007/detail</t>
  </si>
  <si>
    <t>长鸿高科</t>
  </si>
  <si>
    <t>www.lixinger.com/analytics/company/sh/605008/605008/detail</t>
  </si>
  <si>
    <t>豪悦护理</t>
  </si>
  <si>
    <t>www.lixinger.com/analytics/company/sh/605009/605009/detail</t>
  </si>
  <si>
    <t>杭州热电</t>
  </si>
  <si>
    <t>www.lixinger.com/analytics/company/sh/605011/605011/detail</t>
  </si>
  <si>
    <t>百龙创园</t>
  </si>
  <si>
    <t>www.lixinger.com/analytics/company/sh/605016/605016/detail</t>
  </si>
  <si>
    <t>长华股份</t>
  </si>
  <si>
    <t>www.lixinger.com/analytics/company/sh/605018/605018/detail</t>
  </si>
  <si>
    <t>永和股份</t>
  </si>
  <si>
    <t>www.lixinger.com/analytics/company/sh/605020/605020/detail</t>
  </si>
  <si>
    <t>世茂能源</t>
  </si>
  <si>
    <t>www.lixinger.com/analytics/company/sh/605028/605028/detail</t>
  </si>
  <si>
    <t>美邦股份</t>
  </si>
  <si>
    <t>www.lixinger.com/analytics/company/sh/605033/605033/detail</t>
  </si>
  <si>
    <t>福然德</t>
  </si>
  <si>
    <t>www.lixinger.com/analytics/company/sh/605050/605050/detail</t>
  </si>
  <si>
    <t>迎丰股份</t>
  </si>
  <si>
    <t>www.lixinger.com/analytics/company/sh/605055/605055/detail</t>
  </si>
  <si>
    <t>咸亨国际</t>
  </si>
  <si>
    <t>www.lixinger.com/analytics/company/sh/605056/605056/detail</t>
  </si>
  <si>
    <t>澳弘电子</t>
  </si>
  <si>
    <t>www.lixinger.com/analytics/company/sh/605058/605058/detail</t>
  </si>
  <si>
    <t>联德股份</t>
  </si>
  <si>
    <t>www.lixinger.com/analytics/company/sh/605060/605060/detail</t>
  </si>
  <si>
    <t>天正电气</t>
  </si>
  <si>
    <t>www.lixinger.com/analytics/company/sh/605066/605066/detail</t>
  </si>
  <si>
    <t>明新旭腾</t>
  </si>
  <si>
    <t>www.lixinger.com/analytics/company/sh/605068/605068/detail</t>
  </si>
  <si>
    <t>正和生态</t>
  </si>
  <si>
    <t>综合环境治理</t>
  </si>
  <si>
    <t>www.lixinger.com/analytics/company/sh/605069/605069/detail</t>
  </si>
  <si>
    <t>华康股份</t>
  </si>
  <si>
    <t>www.lixinger.com/analytics/company/sh/605077/605077/detail</t>
  </si>
  <si>
    <t>浙江自然</t>
  </si>
  <si>
    <t>www.lixinger.com/analytics/company/sh/605080/605080/detail</t>
  </si>
  <si>
    <t>太和水</t>
  </si>
  <si>
    <t>www.lixinger.com/analytics/company/sh/605081/605081/detail</t>
  </si>
  <si>
    <t>龙高股份</t>
  </si>
  <si>
    <t>www.lixinger.com/analytics/company/sh/605086/605086/detail</t>
  </si>
  <si>
    <t>冠盛股份</t>
  </si>
  <si>
    <t>www.lixinger.com/analytics/company/sh/605088/605088/detail</t>
  </si>
  <si>
    <t>味知香</t>
  </si>
  <si>
    <t>www.lixinger.com/analytics/company/sh/605089/605089/detail</t>
  </si>
  <si>
    <t>九丰能源</t>
  </si>
  <si>
    <t>www.lixinger.com/analytics/company/sh/605090/605090/detail</t>
  </si>
  <si>
    <t>行动教育</t>
  </si>
  <si>
    <t>www.lixinger.com/analytics/company/sh/605098/605098/detail</t>
  </si>
  <si>
    <t>共创草坪</t>
  </si>
  <si>
    <t>www.lixinger.com/analytics/company/sh/605099/605099/detail</t>
  </si>
  <si>
    <t>华丰股份</t>
  </si>
  <si>
    <t>www.lixinger.com/analytics/company/sh/605100/605100/detail</t>
  </si>
  <si>
    <t>同庆楼</t>
  </si>
  <si>
    <t>餐饮</t>
  </si>
  <si>
    <t>www.lixinger.com/analytics/company/sh/605108/605108/detail</t>
  </si>
  <si>
    <t>新洁能</t>
  </si>
  <si>
    <t>www.lixinger.com/analytics/company/sh/605111/605111/detail</t>
  </si>
  <si>
    <t>奥锐特</t>
  </si>
  <si>
    <t>www.lixinger.com/analytics/company/sh/605116/605116/detail</t>
  </si>
  <si>
    <t>德业股份</t>
  </si>
  <si>
    <t>www.lixinger.com/analytics/company/sh/605117/605117/detail</t>
  </si>
  <si>
    <t>力鼎光电</t>
  </si>
  <si>
    <t>www.lixinger.com/analytics/company/sh/605118/605118/detail</t>
  </si>
  <si>
    <t>四方新材</t>
  </si>
  <si>
    <t>www.lixinger.com/analytics/company/sh/605122/605122/detail</t>
  </si>
  <si>
    <t>派克新材</t>
  </si>
  <si>
    <t>www.lixinger.com/analytics/company/sh/605123/605123/detail</t>
  </si>
  <si>
    <t>上海沿浦</t>
  </si>
  <si>
    <t>www.lixinger.com/analytics/company/sh/605128/605128/detail</t>
  </si>
  <si>
    <t>嵘泰股份</t>
  </si>
  <si>
    <t>www.lixinger.com/analytics/company/sh/605133/605133/detail</t>
  </si>
  <si>
    <t>丽人丽妆</t>
  </si>
  <si>
    <t>电商服务</t>
  </si>
  <si>
    <t>www.lixinger.com/analytics/company/sh/605136/605136/detail</t>
  </si>
  <si>
    <t>盛泰集团</t>
  </si>
  <si>
    <t>www.lixinger.com/analytics/company/sh/605138/605138/detail</t>
  </si>
  <si>
    <t>西上海</t>
  </si>
  <si>
    <t>www.lixinger.com/analytics/company/sh/605151/605151/detail</t>
  </si>
  <si>
    <t>西大门</t>
  </si>
  <si>
    <t>www.lixinger.com/analytics/company/sh/605155/605155/detail</t>
  </si>
  <si>
    <t>华达新材</t>
  </si>
  <si>
    <t>www.lixinger.com/analytics/company/sh/605158/605158/detail</t>
  </si>
  <si>
    <t>新中港</t>
  </si>
  <si>
    <t>www.lixinger.com/analytics/company/sh/605162/605162/detail</t>
  </si>
  <si>
    <t>聚合顺</t>
  </si>
  <si>
    <t>www.lixinger.com/analytics/company/sh/605166/605166/detail</t>
  </si>
  <si>
    <t>利柏特</t>
  </si>
  <si>
    <t>www.lixinger.com/analytics/company/sh/605167/605167/detail</t>
  </si>
  <si>
    <t>三人行</t>
  </si>
  <si>
    <t>www.lixinger.com/analytics/company/sh/605168/605168/detail</t>
  </si>
  <si>
    <t>洪通燃气</t>
  </si>
  <si>
    <t>www.lixinger.com/analytics/company/sh/605169/605169/detail</t>
  </si>
  <si>
    <t>东亚药业</t>
  </si>
  <si>
    <t>www.lixinger.com/analytics/company/sh/605177/605177/detail</t>
  </si>
  <si>
    <t>时空科技</t>
  </si>
  <si>
    <t>www.lixinger.com/analytics/company/sh/605178/605178/detail</t>
  </si>
  <si>
    <t>一鸣食品</t>
  </si>
  <si>
    <t>www.lixinger.com/analytics/company/sh/605179/605179/detail</t>
  </si>
  <si>
    <t>华生科技</t>
  </si>
  <si>
    <t>www.lixinger.com/analytics/company/sh/605180/605180/detail</t>
  </si>
  <si>
    <t>确成股份</t>
  </si>
  <si>
    <t>炭黑</t>
  </si>
  <si>
    <t>www.lixinger.com/analytics/company/sh/605183/605183/detail</t>
  </si>
  <si>
    <t>健麾信息</t>
  </si>
  <si>
    <t>www.lixinger.com/analytics/company/sh/605186/605186/detail</t>
  </si>
  <si>
    <t>国光连锁</t>
  </si>
  <si>
    <t>www.lixinger.com/analytics/company/sh/605188/605188/detail</t>
  </si>
  <si>
    <t>富春染织</t>
  </si>
  <si>
    <t>www.lixinger.com/analytics/company/sh/605189/605189/detail</t>
  </si>
  <si>
    <t>华通线缆</t>
  </si>
  <si>
    <t>www.lixinger.com/analytics/company/sh/605196/605196/detail</t>
  </si>
  <si>
    <t>德利股份</t>
  </si>
  <si>
    <t>www.lixinger.com/analytics/company/sh/605198/605198/detail</t>
  </si>
  <si>
    <t>葫芦娃</t>
  </si>
  <si>
    <t>www.lixinger.com/analytics/company/sh/605199/605199/detail</t>
  </si>
  <si>
    <t>永茂泰</t>
  </si>
  <si>
    <t>www.lixinger.com/analytics/company/sh/605208/605208/detail</t>
  </si>
  <si>
    <t>伟时电子</t>
  </si>
  <si>
    <t>www.lixinger.com/analytics/company/sh/605218/605218/detail</t>
  </si>
  <si>
    <t>起帆电缆</t>
  </si>
  <si>
    <t>www.lixinger.com/analytics/company/sh/605222/605222/detail</t>
  </si>
  <si>
    <t>神通科技</t>
  </si>
  <si>
    <t>www.lixinger.com/analytics/company/sh/605228/605228/detail</t>
  </si>
  <si>
    <t>天普股份</t>
  </si>
  <si>
    <t>www.lixinger.com/analytics/company/sh/605255/605255/detail</t>
  </si>
  <si>
    <t>协和电子</t>
  </si>
  <si>
    <t>www.lixinger.com/analytics/company/sh/605258/605258/detail</t>
  </si>
  <si>
    <t>绿田机械</t>
  </si>
  <si>
    <t>www.lixinger.com/analytics/company/sh/605259/605259/detail</t>
  </si>
  <si>
    <t>健之佳</t>
  </si>
  <si>
    <t>www.lixinger.com/analytics/company/sh/605266/605266/detail</t>
  </si>
  <si>
    <t>王力安防</t>
  </si>
  <si>
    <t>www.lixinger.com/analytics/company/sh/605268/605268/detail</t>
  </si>
  <si>
    <t>新亚电子</t>
  </si>
  <si>
    <t>www.lixinger.com/analytics/company/sh/605277/605277/detail</t>
  </si>
  <si>
    <t>同力日升</t>
  </si>
  <si>
    <t>www.lixinger.com/analytics/company/sh/605286/605286/detail</t>
  </si>
  <si>
    <t>德才股份</t>
  </si>
  <si>
    <t>www.lixinger.com/analytics/company/sh/605287/605287/detail</t>
  </si>
  <si>
    <t>凯迪股份</t>
  </si>
  <si>
    <t>www.lixinger.com/analytics/company/sh/605288/605288/detail</t>
  </si>
  <si>
    <t>罗曼股份</t>
  </si>
  <si>
    <t>www.lixinger.com/analytics/company/sh/605289/605289/detail</t>
  </si>
  <si>
    <t>神农集团</t>
  </si>
  <si>
    <t>www.lixinger.com/analytics/company/sh/605296/605296/detail</t>
  </si>
  <si>
    <t>必得科技</t>
  </si>
  <si>
    <t>www.lixinger.com/analytics/company/sh/605298/605298/detail</t>
  </si>
  <si>
    <t>舒华体育</t>
  </si>
  <si>
    <t>www.lixinger.com/analytics/company/sh/605299/605299/detail</t>
  </si>
  <si>
    <t>佳禾食品</t>
  </si>
  <si>
    <t>www.lixinger.com/analytics/company/sh/605300/605300/detail</t>
  </si>
  <si>
    <t>园林股份</t>
  </si>
  <si>
    <t>www.lixinger.com/analytics/company/sh/605303/605303/detail</t>
  </si>
  <si>
    <t>中际联合</t>
  </si>
  <si>
    <t>www.lixinger.com/analytics/company/sh/605305/605305/detail</t>
  </si>
  <si>
    <t>法狮龙</t>
  </si>
  <si>
    <t>www.lixinger.com/analytics/company/sh/605318/605318/detail</t>
  </si>
  <si>
    <t>无锡振华</t>
  </si>
  <si>
    <t>www.lixinger.com/analytics/company/sh/605319/605319/detail</t>
  </si>
  <si>
    <t>沪光股份</t>
  </si>
  <si>
    <t>www.lixinger.com/analytics/company/sh/605333/605333/detail</t>
  </si>
  <si>
    <t>帅丰电器</t>
  </si>
  <si>
    <t>厨房电器</t>
  </si>
  <si>
    <t>www.lixinger.com/analytics/company/sh/605336/605336/detail</t>
  </si>
  <si>
    <t>李子园</t>
  </si>
  <si>
    <t>www.lixinger.com/analytics/company/sh/605337/605337/detail</t>
  </si>
  <si>
    <t>巴比食品</t>
  </si>
  <si>
    <t>www.lixinger.com/analytics/company/sh/605338/605338/detail</t>
  </si>
  <si>
    <t>南侨食品</t>
  </si>
  <si>
    <t>www.lixinger.com/analytics/company/sh/605339/605339/detail</t>
  </si>
  <si>
    <t>立昂微</t>
  </si>
  <si>
    <t>www.lixinger.com/analytics/company/sh/605358/605358/detail</t>
  </si>
  <si>
    <t>立达信</t>
  </si>
  <si>
    <t>www.lixinger.com/analytics/company/sh/605365/605365/detail</t>
  </si>
  <si>
    <t>宏柏新材</t>
  </si>
  <si>
    <t>www.lixinger.com/analytics/company/sh/605366/605366/detail</t>
  </si>
  <si>
    <t>蓝天燃气</t>
  </si>
  <si>
    <t>www.lixinger.com/analytics/company/sh/605368/605368/detail</t>
  </si>
  <si>
    <t>拱东医疗</t>
  </si>
  <si>
    <t>www.lixinger.com/analytics/company/sh/605369/605369/detail</t>
  </si>
  <si>
    <t>博迁新材</t>
  </si>
  <si>
    <t>www.lixinger.com/analytics/company/sh/605376/605376/detail</t>
  </si>
  <si>
    <t>华旺科技</t>
  </si>
  <si>
    <t>www.lixinger.com/analytics/company/sh/605377/605377/detail</t>
  </si>
  <si>
    <t>野马电池</t>
  </si>
  <si>
    <t>www.lixinger.com/analytics/company/sh/605378/605378/detail</t>
  </si>
  <si>
    <t>均瑶健康</t>
  </si>
  <si>
    <t>www.lixinger.com/analytics/company/sh/605388/605388/detail</t>
  </si>
  <si>
    <t>长龄液压</t>
  </si>
  <si>
    <t>www.lixinger.com/analytics/company/sh/605389/605389/detail</t>
  </si>
  <si>
    <t>新炬网络</t>
  </si>
  <si>
    <t>www.lixinger.com/analytics/company/sh/605398/605398/detail</t>
  </si>
  <si>
    <t>晨光新材</t>
  </si>
  <si>
    <t>www.lixinger.com/analytics/company/sh/605399/605399/detail</t>
  </si>
  <si>
    <t>福莱新材</t>
  </si>
  <si>
    <t>www.lixinger.com/analytics/company/sh/605488/605488/detail</t>
  </si>
  <si>
    <t>东鹏饮料</t>
  </si>
  <si>
    <t>www.lixinger.com/analytics/company/sh/605499/605499/detail</t>
  </si>
  <si>
    <t>森林包装</t>
  </si>
  <si>
    <t>www.lixinger.com/analytics/company/sh/605500/605500/detail</t>
  </si>
  <si>
    <t>国邦医药</t>
  </si>
  <si>
    <t>www.lixinger.com/analytics/company/sh/605507/605507/detail</t>
  </si>
  <si>
    <t>德昌股份</t>
  </si>
  <si>
    <t>www.lixinger.com/analytics/company/sh/605555/605555/detail</t>
  </si>
  <si>
    <t>福莱蒽特</t>
  </si>
  <si>
    <t>www.lixinger.com/analytics/company/sh/605566/605566/detail</t>
  </si>
  <si>
    <t>春雪食品</t>
  </si>
  <si>
    <t>www.lixinger.com/analytics/company/sh/605567/605567/detail</t>
  </si>
  <si>
    <t>龙版传媒</t>
  </si>
  <si>
    <t>www.lixinger.com/analytics/company/sh/605577/605577/detail</t>
  </si>
  <si>
    <t>恒盛能源</t>
  </si>
  <si>
    <t>www.lixinger.com/analytics/company/sh/605580/605580/detail</t>
  </si>
  <si>
    <t>冠石科技</t>
  </si>
  <si>
    <t>www.lixinger.com/analytics/company/sh/605588/605588/detail</t>
  </si>
  <si>
    <t>圣泉集团</t>
  </si>
  <si>
    <t>www.lixinger.com/analytics/company/sh/605589/605589/detail</t>
  </si>
  <si>
    <t>上海港湾</t>
  </si>
  <si>
    <t>www.lixinger.com/analytics/company/sh/605598/605598/detail</t>
  </si>
  <si>
    <t>菜百股份</t>
  </si>
  <si>
    <t>www.lixinger.com/analytics/company/sh/605599/605599/detail</t>
  </si>
  <si>
    <t>华兴源创</t>
  </si>
  <si>
    <t>www.lixinger.com/analytics/company/sh/688001/688001/detail</t>
  </si>
  <si>
    <t>睿创微纳</t>
  </si>
  <si>
    <t>www.lixinger.com/analytics/company/sh/688002/688002/detail</t>
  </si>
  <si>
    <t>天准科技</t>
  </si>
  <si>
    <t>www.lixinger.com/analytics/company/sh/688003/688003/detail</t>
  </si>
  <si>
    <t>博汇科技</t>
  </si>
  <si>
    <t>www.lixinger.com/analytics/company/sh/688004/688004/detail</t>
  </si>
  <si>
    <t>容百科技</t>
  </si>
  <si>
    <t>www.lixinger.com/analytics/company/sh/688005/688005/detail</t>
  </si>
  <si>
    <t>杭可科技</t>
  </si>
  <si>
    <t>锂电专用设备</t>
  </si>
  <si>
    <t>www.lixinger.com/analytics/company/sh/688006/688006/detail</t>
  </si>
  <si>
    <t>光峰科技</t>
  </si>
  <si>
    <t>www.lixinger.com/analytics/company/sh/688007/688007/detail</t>
  </si>
  <si>
    <t>澜起科技</t>
  </si>
  <si>
    <t>www.lixinger.com/analytics/company/sh/688008/688008/detail</t>
  </si>
  <si>
    <t>中国通号</t>
  </si>
  <si>
    <t>www.lixinger.com/analytics/company/sh/688009/688009/detail</t>
  </si>
  <si>
    <t>福光股份</t>
  </si>
  <si>
    <t>www.lixinger.com/analytics/company/sh/688010/688010/detail</t>
  </si>
  <si>
    <t>新光光电</t>
  </si>
  <si>
    <t>www.lixinger.com/analytics/company/sh/688011/688011/detail</t>
  </si>
  <si>
    <t>中微公司</t>
  </si>
  <si>
    <t>www.lixinger.com/analytics/company/sh/688012/688012/detail</t>
  </si>
  <si>
    <t>天臣医疗</t>
  </si>
  <si>
    <t>www.lixinger.com/analytics/company/sh/688013/688013/detail</t>
  </si>
  <si>
    <t>交控科技</t>
  </si>
  <si>
    <t>www.lixinger.com/analytics/company/sh/688015/688015/detail</t>
  </si>
  <si>
    <t>心脉医疗</t>
  </si>
  <si>
    <t>www.lixinger.com/analytics/company/sh/688016/688016/detail</t>
  </si>
  <si>
    <t>绿的谐波</t>
  </si>
  <si>
    <t>www.lixinger.com/analytics/company/sh/688017/688017/detail</t>
  </si>
  <si>
    <t>乐鑫科技</t>
  </si>
  <si>
    <t>www.lixinger.com/analytics/company/sh/688018/688018/detail</t>
  </si>
  <si>
    <t>安集科技</t>
  </si>
  <si>
    <t>www.lixinger.com/analytics/company/sh/688019/688019/detail</t>
  </si>
  <si>
    <t>方邦股份</t>
  </si>
  <si>
    <t>www.lixinger.com/analytics/company/sh/688020/688020/detail</t>
  </si>
  <si>
    <t>奥福环保</t>
  </si>
  <si>
    <t>www.lixinger.com/analytics/company/sh/688021/688021/detail</t>
  </si>
  <si>
    <t>瀚川智能</t>
  </si>
  <si>
    <t>www.lixinger.com/analytics/company/sh/688022/688022/detail</t>
  </si>
  <si>
    <t>安恒信息</t>
  </si>
  <si>
    <t>www.lixinger.com/analytics/company/sh/688023/688023/detail</t>
  </si>
  <si>
    <t>杰普特</t>
  </si>
  <si>
    <t>激光设备</t>
  </si>
  <si>
    <t>www.lixinger.com/analytics/company/sh/688025/688025/detail</t>
  </si>
  <si>
    <t>洁特生物</t>
  </si>
  <si>
    <t>www.lixinger.com/analytics/company/sh/688026/688026/detail</t>
  </si>
  <si>
    <t>国盾量子</t>
  </si>
  <si>
    <t>www.lixinger.com/analytics/company/sh/688027/688027/detail</t>
  </si>
  <si>
    <t>沃尔德</t>
  </si>
  <si>
    <t>www.lixinger.com/analytics/company/sh/688028/688028/detail</t>
  </si>
  <si>
    <t>南微医学</t>
  </si>
  <si>
    <t>www.lixinger.com/analytics/company/sh/688029/688029/detail</t>
  </si>
  <si>
    <t>山石网科</t>
  </si>
  <si>
    <t>www.lixinger.com/analytics/company/sh/688030/688030/detail</t>
  </si>
  <si>
    <t>禾迈股份</t>
  </si>
  <si>
    <t>逆变器</t>
  </si>
  <si>
    <t>www.lixinger.com/analytics/company/sh/688032/688032/detail</t>
  </si>
  <si>
    <t>天宜上佳</t>
  </si>
  <si>
    <t>www.lixinger.com/analytics/company/sh/688033/688033/detail</t>
  </si>
  <si>
    <t>传音控股</t>
  </si>
  <si>
    <t>www.lixinger.com/analytics/company/sh/688036/688036/detail</t>
  </si>
  <si>
    <t>芯源微</t>
  </si>
  <si>
    <t>www.lixinger.com/analytics/company/sh/688037/688037/detail</t>
  </si>
  <si>
    <t>中科通达</t>
  </si>
  <si>
    <t>www.lixinger.com/analytics/company/sh/688038/688038/detail</t>
  </si>
  <si>
    <t>当虹科技</t>
  </si>
  <si>
    <t>www.lixinger.com/analytics/company/sh/688039/688039/detail</t>
  </si>
  <si>
    <t>药康生物</t>
  </si>
  <si>
    <t>www.lixinger.com/analytics/company/sh/688046/688046/detail</t>
  </si>
  <si>
    <t>长光华芯</t>
  </si>
  <si>
    <t>www.lixinger.com/analytics/company/sh/688048/688048/detail</t>
  </si>
  <si>
    <t>炬芯科技</t>
  </si>
  <si>
    <t>www.lixinger.com/analytics/company/sh/688049/688049/detail</t>
  </si>
  <si>
    <t>爱博医疗</t>
  </si>
  <si>
    <t>www.lixinger.com/analytics/company/sh/688050/688050/detail</t>
  </si>
  <si>
    <t>佳华科技</t>
  </si>
  <si>
    <t>www.lixinger.com/analytics/company/sh/688051/688051/detail</t>
  </si>
  <si>
    <t>纳芯微</t>
  </si>
  <si>
    <t>www.lixinger.com/analytics/company/sh/688052/688052/detail</t>
  </si>
  <si>
    <t>龙腾光电</t>
  </si>
  <si>
    <t>www.lixinger.com/analytics/company/sh/688055/688055/detail</t>
  </si>
  <si>
    <t>莱伯泰科</t>
  </si>
  <si>
    <t>www.lixinger.com/analytics/company/sh/688056/688056/detail</t>
  </si>
  <si>
    <t>金达莱</t>
  </si>
  <si>
    <t>www.lixinger.com/analytics/company/sh/688057/688057/detail</t>
  </si>
  <si>
    <t>宝兰德</t>
  </si>
  <si>
    <t>www.lixinger.com/analytics/company/sh/688058/688058/detail</t>
  </si>
  <si>
    <t>华锐精密</t>
  </si>
  <si>
    <t>www.lixinger.com/analytics/company/sh/688059/688059/detail</t>
  </si>
  <si>
    <t>云涌科技</t>
  </si>
  <si>
    <t>www.lixinger.com/analytics/company/sh/688060/688060/detail</t>
  </si>
  <si>
    <t>迈威生物</t>
  </si>
  <si>
    <t>www.lixinger.com/analytics/company/sh/688062/688062/detail</t>
  </si>
  <si>
    <t>派能科技</t>
  </si>
  <si>
    <t>www.lixinger.com/analytics/company/sh/688063/688063/detail</t>
  </si>
  <si>
    <t>凯赛生物</t>
  </si>
  <si>
    <t>www.lixinger.com/analytics/company/sh/688065/688065/detail</t>
  </si>
  <si>
    <t>航天宏图</t>
  </si>
  <si>
    <t>www.lixinger.com/analytics/company/sh/688066/688066/detail</t>
  </si>
  <si>
    <t>爱威科技</t>
  </si>
  <si>
    <t>www.lixinger.com/analytics/company/sh/688067/688067/detail</t>
  </si>
  <si>
    <t>热景生物</t>
  </si>
  <si>
    <t>www.lixinger.com/analytics/company/sh/688068/688068/detail</t>
  </si>
  <si>
    <t>德林海</t>
  </si>
  <si>
    <t>www.lixinger.com/analytics/company/sh/688069/688069/detail</t>
  </si>
  <si>
    <t>纵横股份</t>
  </si>
  <si>
    <t>www.lixinger.com/analytics/company/sh/688070/688070/detail</t>
  </si>
  <si>
    <t>华依科技</t>
  </si>
  <si>
    <t>www.lixinger.com/analytics/company/sh/688071/688071/detail</t>
  </si>
  <si>
    <t>拓荆科技</t>
  </si>
  <si>
    <t>www.lixinger.com/analytics/company/sh/688072/688072/detail</t>
  </si>
  <si>
    <t>安旭生物</t>
  </si>
  <si>
    <t>www.lixinger.com/analytics/company/sh/688075/688075/detail</t>
  </si>
  <si>
    <t>诺泰生物</t>
  </si>
  <si>
    <t>www.lixinger.com/analytics/company/sh/688076/688076/detail</t>
  </si>
  <si>
    <t>大地熊</t>
  </si>
  <si>
    <t>www.lixinger.com/analytics/company/sh/688077/688077/detail</t>
  </si>
  <si>
    <t>龙软科技</t>
  </si>
  <si>
    <t>www.lixinger.com/analytics/company/sh/688078/688078/detail</t>
  </si>
  <si>
    <t>美迪凯</t>
  </si>
  <si>
    <t>www.lixinger.com/analytics/company/sh/688079/688079/detail</t>
  </si>
  <si>
    <t>映翰通</t>
  </si>
  <si>
    <t>www.lixinger.com/analytics/company/sh/688080/688080/detail</t>
  </si>
  <si>
    <t>兴图新科</t>
  </si>
  <si>
    <t>www.lixinger.com/analytics/company/sh/688081/688081/detail</t>
  </si>
  <si>
    <t>盛美上海</t>
  </si>
  <si>
    <t>www.lixinger.com/analytics/company/sh/688082/688082/detail</t>
  </si>
  <si>
    <t>中望软件</t>
  </si>
  <si>
    <t>www.lixinger.com/analytics/company/sh/688083/688083/detail</t>
  </si>
  <si>
    <t>三友医疗</t>
  </si>
  <si>
    <t>www.lixinger.com/analytics/company/sh/688085/688085/detail</t>
  </si>
  <si>
    <t>紫晶存储</t>
  </si>
  <si>
    <t>www.lixinger.com/analytics/company/sh/688086/688086/detail</t>
  </si>
  <si>
    <t>英科再生</t>
  </si>
  <si>
    <t>www.lixinger.com/analytics/company/sh/688087/688087/detail</t>
  </si>
  <si>
    <t>虹软科技</t>
  </si>
  <si>
    <t>www.lixinger.com/analytics/company/sh/688088/688088/detail</t>
  </si>
  <si>
    <t>嘉必优</t>
  </si>
  <si>
    <t>www.lixinger.com/analytics/company/sh/688089/688089/detail</t>
  </si>
  <si>
    <t>瑞松科技</t>
  </si>
  <si>
    <t>www.lixinger.com/analytics/company/sh/688090/688090/detail</t>
  </si>
  <si>
    <t>上海谊众</t>
  </si>
  <si>
    <t>www.lixinger.com/analytics/company/sh/688091/688091/detail</t>
  </si>
  <si>
    <t>爱科科技</t>
  </si>
  <si>
    <t>www.lixinger.com/analytics/company/sh/688092/688092/detail</t>
  </si>
  <si>
    <t>世华科技</t>
  </si>
  <si>
    <t>www.lixinger.com/analytics/company/sh/688093/688093/detail</t>
  </si>
  <si>
    <t>福昕软件</t>
  </si>
  <si>
    <t>www.lixinger.com/analytics/company/sh/688095/688095/detail</t>
  </si>
  <si>
    <t>京源环保</t>
  </si>
  <si>
    <t>www.lixinger.com/analytics/company/sh/688096/688096/detail</t>
  </si>
  <si>
    <t>博众精工</t>
  </si>
  <si>
    <t>www.lixinger.com/analytics/company/sh/688097/688097/detail</t>
  </si>
  <si>
    <t>申联生物</t>
  </si>
  <si>
    <t>www.lixinger.com/analytics/company/sh/688098/688098/detail</t>
  </si>
  <si>
    <t>晶晨股份</t>
  </si>
  <si>
    <t>www.lixinger.com/analytics/company/sh/688099/688099/detail</t>
  </si>
  <si>
    <t>威胜信息</t>
  </si>
  <si>
    <t>www.lixinger.com/analytics/company/sh/688100/688100/detail</t>
  </si>
  <si>
    <t>三达膜</t>
  </si>
  <si>
    <t>www.lixinger.com/analytics/company/sh/688101/688101/detail</t>
  </si>
  <si>
    <t>斯瑞新材</t>
  </si>
  <si>
    <t>www.lixinger.com/analytics/company/sh/688102/688102/detail</t>
  </si>
  <si>
    <t>国力股份</t>
  </si>
  <si>
    <t>www.lixinger.com/analytics/company/sh/688103/688103/detail</t>
  </si>
  <si>
    <t>诺唯赞</t>
  </si>
  <si>
    <t>www.lixinger.com/analytics/company/sh/688105/688105/detail</t>
  </si>
  <si>
    <t>金宏气体</t>
  </si>
  <si>
    <t>www.lixinger.com/analytics/company/sh/688106/688106/detail</t>
  </si>
  <si>
    <t>安路科技</t>
  </si>
  <si>
    <t>www.lixinger.com/analytics/company/sh/688107/688107/detail</t>
  </si>
  <si>
    <t>赛诺医疗</t>
  </si>
  <si>
    <t>www.lixinger.com/analytics/company/sh/688108/688108/detail</t>
  </si>
  <si>
    <t>品茗股份</t>
  </si>
  <si>
    <t>www.lixinger.com/analytics/company/sh/688109/688109/detail</t>
  </si>
  <si>
    <t>东芯股份</t>
  </si>
  <si>
    <t>www.lixinger.com/analytics/company/sh/688110/688110/detail</t>
  </si>
  <si>
    <t>金山办公</t>
  </si>
  <si>
    <t>www.lixinger.com/analytics/company/sh/688111/688111/detail</t>
  </si>
  <si>
    <t>鼎阳科技</t>
  </si>
  <si>
    <t>www.lixinger.com/analytics/company/sh/688112/688112/detail</t>
  </si>
  <si>
    <t>联测科技</t>
  </si>
  <si>
    <t>www.lixinger.com/analytics/company/sh/688113/688113/detail</t>
  </si>
  <si>
    <t>思林杰</t>
  </si>
  <si>
    <t>www.lixinger.com/analytics/company/sh/688115/688115/detail</t>
  </si>
  <si>
    <t>天奈科技</t>
  </si>
  <si>
    <t>www.lixinger.com/analytics/company/sh/688116/688116/detail</t>
  </si>
  <si>
    <t>圣诺生物</t>
  </si>
  <si>
    <t>www.lixinger.com/analytics/company/sh/688117/688117/detail</t>
  </si>
  <si>
    <t>普元信息</t>
  </si>
  <si>
    <t>www.lixinger.com/analytics/company/sh/688118/688118/detail</t>
  </si>
  <si>
    <t>卓然股份</t>
  </si>
  <si>
    <t>www.lixinger.com/analytics/company/sh/688121/688121/detail</t>
  </si>
  <si>
    <t>西部超导</t>
  </si>
  <si>
    <t>www.lixinger.com/analytics/company/sh/688122/688122/detail</t>
  </si>
  <si>
    <t>聚辰股份</t>
  </si>
  <si>
    <t>www.lixinger.com/analytics/company/sh/688123/688123/detail</t>
  </si>
  <si>
    <t>安达智能</t>
  </si>
  <si>
    <t>www.lixinger.com/analytics/company/sh/688125/688125/detail</t>
  </si>
  <si>
    <t>沪硅产业</t>
  </si>
  <si>
    <t>www.lixinger.com/analytics/company/sh/688126/688126/detail</t>
  </si>
  <si>
    <t>蓝特光学</t>
  </si>
  <si>
    <t>www.lixinger.com/analytics/company/sh/688127/688127/detail</t>
  </si>
  <si>
    <t>中国电研</t>
  </si>
  <si>
    <t>www.lixinger.com/analytics/company/sh/688128/688128/detail</t>
  </si>
  <si>
    <t>东来技术</t>
  </si>
  <si>
    <t>www.lixinger.com/analytics/company/sh/688129/688129/detail</t>
  </si>
  <si>
    <t>皓元医药</t>
  </si>
  <si>
    <t>www.lixinger.com/analytics/company/sh/688131/688131/detail</t>
  </si>
  <si>
    <t>泰坦科技</t>
  </si>
  <si>
    <t>www.lixinger.com/analytics/company/sh/688133/688133/detail</t>
  </si>
  <si>
    <t>利扬芯片</t>
  </si>
  <si>
    <t>www.lixinger.com/analytics/company/sh/688135/688135/detail</t>
  </si>
  <si>
    <t>科兴制药</t>
  </si>
  <si>
    <t>www.lixinger.com/analytics/company/sh/688136/688136/detail</t>
  </si>
  <si>
    <t>清溢光电</t>
  </si>
  <si>
    <t>www.lixinger.com/analytics/company/sh/688138/688138/detail</t>
  </si>
  <si>
    <t>海尔生物</t>
  </si>
  <si>
    <t>www.lixinger.com/analytics/company/sh/688139/688139/detail</t>
  </si>
  <si>
    <t>芳源股份</t>
  </si>
  <si>
    <t>www.lixinger.com/analytics/company/sh/688148/688148/detail</t>
  </si>
  <si>
    <t>莱特光电</t>
  </si>
  <si>
    <t>www.lixinger.com/analytics/company/sh/688150/688150/detail</t>
  </si>
  <si>
    <t>华强科技</t>
  </si>
  <si>
    <t>www.lixinger.com/analytics/company/sh/688151/688151/detail</t>
  </si>
  <si>
    <t>唯捷创芯</t>
  </si>
  <si>
    <t>www.lixinger.com/analytics/company/sh/688153/688153/detail</t>
  </si>
  <si>
    <t>先惠技术</t>
  </si>
  <si>
    <t>www.lixinger.com/analytics/company/sh/688155/688155/detail</t>
  </si>
  <si>
    <t>路德环境</t>
  </si>
  <si>
    <t>www.lixinger.com/analytics/company/sh/688156/688156/detail</t>
  </si>
  <si>
    <t>松井股份</t>
  </si>
  <si>
    <t>www.lixinger.com/analytics/company/sh/688157/688157/detail</t>
  </si>
  <si>
    <t>优刻得</t>
  </si>
  <si>
    <t>www.lixinger.com/analytics/company/sh/688158/688158/detail</t>
  </si>
  <si>
    <t>有方科技</t>
  </si>
  <si>
    <t>www.lixinger.com/analytics/company/sh/688159/688159/detail</t>
  </si>
  <si>
    <t>步科股份</t>
  </si>
  <si>
    <t>www.lixinger.com/analytics/company/sh/688160/688160/detail</t>
  </si>
  <si>
    <t>威高骨科</t>
  </si>
  <si>
    <t>www.lixinger.com/analytics/company/sh/688161/688161/detail</t>
  </si>
  <si>
    <t>巨一科技</t>
  </si>
  <si>
    <t>www.lixinger.com/analytics/company/sh/688162/688162/detail</t>
  </si>
  <si>
    <t>赛伦生物</t>
  </si>
  <si>
    <t>www.lixinger.com/analytics/company/sh/688163/688163/detail</t>
  </si>
  <si>
    <t>埃夫特</t>
  </si>
  <si>
    <t>www.lixinger.com/analytics/company/sh/688165/688165/detail</t>
  </si>
  <si>
    <t>博瑞医药</t>
  </si>
  <si>
    <t>www.lixinger.com/analytics/company/sh/688166/688166/detail</t>
  </si>
  <si>
    <t>炬光科技</t>
  </si>
  <si>
    <t>www.lixinger.com/analytics/company/sh/688167/688167/detail</t>
  </si>
  <si>
    <t>安博通</t>
  </si>
  <si>
    <t>www.lixinger.com/analytics/company/sh/688168/688168/detail</t>
  </si>
  <si>
    <t>石头科技</t>
  </si>
  <si>
    <t>www.lixinger.com/analytics/company/sh/688169/688169/detail</t>
  </si>
  <si>
    <t>德龙激光</t>
  </si>
  <si>
    <t>www.lixinger.com/analytics/company/sh/688170/688170/detail</t>
  </si>
  <si>
    <t>纬德信息</t>
  </si>
  <si>
    <t>www.lixinger.com/analytics/company/sh/688171/688171/detail</t>
  </si>
  <si>
    <t>希荻微</t>
  </si>
  <si>
    <t>www.lixinger.com/analytics/company/sh/688173/688173/detail</t>
  </si>
  <si>
    <t>高凌信息</t>
  </si>
  <si>
    <t>www.lixinger.com/analytics/company/sh/688175/688175/detail</t>
  </si>
  <si>
    <t>亚虹医药</t>
  </si>
  <si>
    <t>www.lixinger.com/analytics/company/sh/688176/688176/detail</t>
  </si>
  <si>
    <t>百奥泰</t>
  </si>
  <si>
    <t>www.lixinger.com/analytics/company/sh/688177/688177/detail</t>
  </si>
  <si>
    <t>万德斯</t>
  </si>
  <si>
    <t>www.lixinger.com/analytics/company/sh/688178/688178/detail</t>
  </si>
  <si>
    <t>阿拉丁</t>
  </si>
  <si>
    <t>www.lixinger.com/analytics/company/sh/688179/688179/detail</t>
  </si>
  <si>
    <t>君实生物</t>
  </si>
  <si>
    <t>www.lixinger.com/analytics/company/sh/688180/688180/detail</t>
  </si>
  <si>
    <t>八亿时空</t>
  </si>
  <si>
    <t>www.lixinger.com/analytics/company/sh/688181/688181/detail</t>
  </si>
  <si>
    <t>灿勤科技</t>
  </si>
  <si>
    <t>www.lixinger.com/analytics/company/sh/688182/688182/detail</t>
  </si>
  <si>
    <t>生益电子</t>
  </si>
  <si>
    <t>www.lixinger.com/analytics/company/sh/688183/688183/detail</t>
  </si>
  <si>
    <t>康希诺</t>
  </si>
  <si>
    <t>www.lixinger.com/analytics/company/sh/688185/688185/detail</t>
  </si>
  <si>
    <t>广大特材</t>
  </si>
  <si>
    <t>www.lixinger.com/analytics/company/sh/688186/688186/detail</t>
  </si>
  <si>
    <t>时代电气</t>
  </si>
  <si>
    <t>www.lixinger.com/analytics/company/sh/688187/688187/detail</t>
  </si>
  <si>
    <t>柏楚电子</t>
  </si>
  <si>
    <t>www.lixinger.com/analytics/company/sh/688188/688188/detail</t>
  </si>
  <si>
    <t>南新制药</t>
  </si>
  <si>
    <t>www.lixinger.com/analytics/company/sh/688189/688189/detail</t>
  </si>
  <si>
    <t>云路股份</t>
  </si>
  <si>
    <t>www.lixinger.com/analytics/company/sh/688190/688190/detail</t>
  </si>
  <si>
    <t>智洋创新</t>
  </si>
  <si>
    <t>www.lixinger.com/analytics/company/sh/688191/688191/detail</t>
  </si>
  <si>
    <t>迪哲医药</t>
  </si>
  <si>
    <t>www.lixinger.com/analytics/company/sh/688192/688192/detail</t>
  </si>
  <si>
    <t>仁度生物</t>
  </si>
  <si>
    <t>www.lixinger.com/analytics/company/sh/688193/688193/detail</t>
  </si>
  <si>
    <t>腾景科技</t>
  </si>
  <si>
    <t>www.lixinger.com/analytics/company/sh/688195/688195/detail</t>
  </si>
  <si>
    <t>卓越新能</t>
  </si>
  <si>
    <t>www.lixinger.com/analytics/company/sh/688196/688196/detail</t>
  </si>
  <si>
    <t>首药控股</t>
  </si>
  <si>
    <t>www.lixinger.com/analytics/company/sh/688197/688197/detail</t>
  </si>
  <si>
    <t>佰仁医疗</t>
  </si>
  <si>
    <t>www.lixinger.com/analytics/company/sh/688198/688198/detail</t>
  </si>
  <si>
    <t>久日新材</t>
  </si>
  <si>
    <t>www.lixinger.com/analytics/company/sh/688199/688199/detail</t>
  </si>
  <si>
    <t>华峰测控</t>
  </si>
  <si>
    <t>www.lixinger.com/analytics/company/sh/688200/688200/detail</t>
  </si>
  <si>
    <t>信安世纪</t>
  </si>
  <si>
    <t>www.lixinger.com/analytics/company/sh/688201/688201/detail</t>
  </si>
  <si>
    <t>美迪西</t>
  </si>
  <si>
    <t>www.lixinger.com/analytics/company/sh/688202/688202/detail</t>
  </si>
  <si>
    <t>概伦电子</t>
  </si>
  <si>
    <t>www.lixinger.com/analytics/company/sh/688206/688206/detail</t>
  </si>
  <si>
    <t>格灵深瞳</t>
  </si>
  <si>
    <t>www.lixinger.com/analytics/company/sh/688207/688207/detail</t>
  </si>
  <si>
    <t>道通科技</t>
  </si>
  <si>
    <t>www.lixinger.com/analytics/company/sh/688208/688208/detail</t>
  </si>
  <si>
    <t>英集芯</t>
  </si>
  <si>
    <t>www.lixinger.com/analytics/company/sh/688209/688209/detail</t>
  </si>
  <si>
    <t>统联精密</t>
  </si>
  <si>
    <t>www.lixinger.com/analytics/company/sh/688210/688210/detail</t>
  </si>
  <si>
    <t>中科微至</t>
  </si>
  <si>
    <t>www.lixinger.com/analytics/company/sh/688211/688211/detail</t>
  </si>
  <si>
    <t>澳华内镜</t>
  </si>
  <si>
    <t>www.lixinger.com/analytics/company/sh/688212/688212/detail</t>
  </si>
  <si>
    <t>思特威</t>
  </si>
  <si>
    <t>www.lixinger.com/analytics/company/sh/688213/688213/detail</t>
  </si>
  <si>
    <t>瑞晟智能</t>
  </si>
  <si>
    <t>www.lixinger.com/analytics/company/sh/688215/688215/detail</t>
  </si>
  <si>
    <t>气派科技</t>
  </si>
  <si>
    <t>www.lixinger.com/analytics/company/sh/688216/688216/detail</t>
  </si>
  <si>
    <t>睿昂基因</t>
  </si>
  <si>
    <t>www.lixinger.com/analytics/company/sh/688217/688217/detail</t>
  </si>
  <si>
    <t>江苏北人</t>
  </si>
  <si>
    <t>www.lixinger.com/analytics/company/sh/688218/688218/detail</t>
  </si>
  <si>
    <t>会通股份</t>
  </si>
  <si>
    <t>www.lixinger.com/analytics/company/sh/688219/688219/detail</t>
  </si>
  <si>
    <t>翱捷科技</t>
  </si>
  <si>
    <t>www.lixinger.com/analytics/company/sh/688220/688220/detail</t>
  </si>
  <si>
    <t>前沿生物</t>
  </si>
  <si>
    <t>www.lixinger.com/analytics/company/sh/688221/688221/detail</t>
  </si>
  <si>
    <t>成都先导</t>
  </si>
  <si>
    <t>www.lixinger.com/analytics/company/sh/688222/688222/detail</t>
  </si>
  <si>
    <t>晶科能源</t>
  </si>
  <si>
    <t>www.lixinger.com/analytics/company/sh/688223/688223/detail</t>
  </si>
  <si>
    <t>亚信安全</t>
  </si>
  <si>
    <t>www.lixinger.com/analytics/company/sh/688225/688225/detail</t>
  </si>
  <si>
    <t>威腾电气</t>
  </si>
  <si>
    <t>www.lixinger.com/analytics/company/sh/688226/688226/detail</t>
  </si>
  <si>
    <t>品高股份</t>
  </si>
  <si>
    <t>www.lixinger.com/analytics/company/sh/688227/688227/detail</t>
  </si>
  <si>
    <t>开普云</t>
  </si>
  <si>
    <t>www.lixinger.com/analytics/company/sh/688228/688228/detail</t>
  </si>
  <si>
    <t>博睿数据</t>
  </si>
  <si>
    <t>www.lixinger.com/analytics/company/sh/688229/688229/detail</t>
  </si>
  <si>
    <t>芯导科技</t>
  </si>
  <si>
    <t>www.lixinger.com/analytics/company/sh/688230/688230/detail</t>
  </si>
  <si>
    <t>新点软件</t>
  </si>
  <si>
    <t>www.lixinger.com/analytics/company/sh/688232/688232/detail</t>
  </si>
  <si>
    <t>神工股份</t>
  </si>
  <si>
    <t>www.lixinger.com/analytics/company/sh/688233/688233/detail</t>
  </si>
  <si>
    <t>天岳先进</t>
  </si>
  <si>
    <t>www.lixinger.com/analytics/company/sh/688234/688234/detail</t>
  </si>
  <si>
    <t>百济神州</t>
  </si>
  <si>
    <t>www.lixinger.com/analytics/company/sh/688235/688235/detail</t>
  </si>
  <si>
    <t>春立医疗</t>
  </si>
  <si>
    <t>www.lixinger.com/analytics/company/sh/688236/688236/detail</t>
  </si>
  <si>
    <t>和元生物</t>
  </si>
  <si>
    <t>www.lixinger.com/analytics/company/sh/688238/688238/detail</t>
  </si>
  <si>
    <t>航宇科技</t>
  </si>
  <si>
    <t>www.lixinger.com/analytics/company/sh/688239/688239/detail</t>
  </si>
  <si>
    <t>嘉和美康</t>
  </si>
  <si>
    <t>www.lixinger.com/analytics/company/sh/688246/688246/detail</t>
  </si>
  <si>
    <t>南网科技</t>
  </si>
  <si>
    <t>www.lixinger.com/analytics/company/sh/688248/688248/detail</t>
  </si>
  <si>
    <t>凯尔达</t>
  </si>
  <si>
    <t>www.lixinger.com/analytics/company/sh/688255/688255/detail</t>
  </si>
  <si>
    <t>寒武纪</t>
  </si>
  <si>
    <t>www.lixinger.com/analytics/company/sh/688256/688256/detail</t>
  </si>
  <si>
    <t>新锐股份</t>
  </si>
  <si>
    <t>www.lixinger.com/analytics/company/sh/688257/688257/detail</t>
  </si>
  <si>
    <t>卓易信息</t>
  </si>
  <si>
    <t>www.lixinger.com/analytics/company/sh/688258/688258/detail</t>
  </si>
  <si>
    <t>创耀科技</t>
  </si>
  <si>
    <t>www.lixinger.com/analytics/company/sh/688259/688259/detail</t>
  </si>
  <si>
    <t>昀冢科技</t>
  </si>
  <si>
    <t>www.lixinger.com/analytics/company/sh/688260/688260/detail</t>
  </si>
  <si>
    <t>东微半导</t>
  </si>
  <si>
    <t>www.lixinger.com/analytics/company/sh/688261/688261/detail</t>
  </si>
  <si>
    <t>国芯科技</t>
  </si>
  <si>
    <t>www.lixinger.com/analytics/company/sh/688262/688262/detail</t>
  </si>
  <si>
    <t>南模生物</t>
  </si>
  <si>
    <t>www.lixinger.com/analytics/company/sh/688265/688265/detail</t>
  </si>
  <si>
    <t>泽璟制药</t>
  </si>
  <si>
    <t>www.lixinger.com/analytics/company/sh/688266/688266/detail</t>
  </si>
  <si>
    <t>中触媒</t>
  </si>
  <si>
    <t>www.lixinger.com/analytics/company/sh/688267/688267/detail</t>
  </si>
  <si>
    <t>华特气体</t>
  </si>
  <si>
    <t>www.lixinger.com/analytics/company/sh/688268/688268/detail</t>
  </si>
  <si>
    <t>凯立新材</t>
  </si>
  <si>
    <t>www.lixinger.com/analytics/company/sh/688269/688269/detail</t>
  </si>
  <si>
    <t>臻镭科技</t>
  </si>
  <si>
    <t>www.lixinger.com/analytics/company/sh/688270/688270/detail</t>
  </si>
  <si>
    <t>富吉瑞</t>
  </si>
  <si>
    <t>www.lixinger.com/analytics/company/sh/688272/688272/detail</t>
  </si>
  <si>
    <t>百克生物</t>
  </si>
  <si>
    <t>www.lixinger.com/analytics/company/sh/688276/688276/detail</t>
  </si>
  <si>
    <t>天智航</t>
  </si>
  <si>
    <t>www.lixinger.com/analytics/company/sh/688277/688277/detail</t>
  </si>
  <si>
    <t>特宝生物</t>
  </si>
  <si>
    <t>www.lixinger.com/analytics/company/sh/688278/688278/detail</t>
  </si>
  <si>
    <t>峰岹科技</t>
  </si>
  <si>
    <t>www.lixinger.com/analytics/company/sh/688279/688279/detail</t>
  </si>
  <si>
    <t>精进电动</t>
  </si>
  <si>
    <t>www.lixinger.com/analytics/company/sh/688280/688280/detail</t>
  </si>
  <si>
    <t>华秦科技</t>
  </si>
  <si>
    <t>www.lixinger.com/analytics/company/sh/688281/688281/detail</t>
  </si>
  <si>
    <t>理工导航</t>
  </si>
  <si>
    <t>www.lixinger.com/analytics/company/sh/688282/688282/detail</t>
  </si>
  <si>
    <t>坤恒顺维</t>
  </si>
  <si>
    <t>www.lixinger.com/analytics/company/sh/688283/688283/detail</t>
  </si>
  <si>
    <t>高铁电气</t>
  </si>
  <si>
    <t>www.lixinger.com/analytics/company/sh/688285/688285/detail</t>
  </si>
  <si>
    <t>敏芯股份</t>
  </si>
  <si>
    <t>www.lixinger.com/analytics/company/sh/688286/688286/detail</t>
  </si>
  <si>
    <t>鸿泉物联</t>
  </si>
  <si>
    <t>www.lixinger.com/analytics/company/sh/688288/688288/detail</t>
  </si>
  <si>
    <t>圣湘生物</t>
  </si>
  <si>
    <t>www.lixinger.com/analytics/company/sh/688289/688289/detail</t>
  </si>
  <si>
    <t>景业智能</t>
  </si>
  <si>
    <t>www.lixinger.com/analytics/company/sh/688290/688290/detail</t>
  </si>
  <si>
    <t>中复神鹰</t>
  </si>
  <si>
    <t>www.lixinger.com/analytics/company/sh/688295/688295/detail</t>
  </si>
  <si>
    <t>和达科技</t>
  </si>
  <si>
    <t>www.lixinger.com/analytics/company/sh/688296/688296/detail</t>
  </si>
  <si>
    <t>东方生物</t>
  </si>
  <si>
    <t>www.lixinger.com/analytics/company/sh/688298/688298/detail</t>
  </si>
  <si>
    <t>长阳科技</t>
  </si>
  <si>
    <t>www.lixinger.com/analytics/company/sh/688299/688299/detail</t>
  </si>
  <si>
    <t>联瑞新材</t>
  </si>
  <si>
    <t>www.lixinger.com/analytics/company/sh/688300/688300/detail</t>
  </si>
  <si>
    <t>奕瑞科技</t>
  </si>
  <si>
    <t>www.lixinger.com/analytics/company/sh/688301/688301/detail</t>
  </si>
  <si>
    <t>海创药业</t>
  </si>
  <si>
    <t>www.lixinger.com/analytics/company/sh/688302/688302/detail</t>
  </si>
  <si>
    <t>大全能源</t>
  </si>
  <si>
    <t>www.lixinger.com/analytics/company/sh/688303/688303/detail</t>
  </si>
  <si>
    <t>科德数控</t>
  </si>
  <si>
    <t>www.lixinger.com/analytics/company/sh/688305/688305/detail</t>
  </si>
  <si>
    <t>均普智能</t>
  </si>
  <si>
    <t>www.lixinger.com/analytics/company/sh/688306/688306/detail</t>
  </si>
  <si>
    <t>欧科亿</t>
  </si>
  <si>
    <t>www.lixinger.com/analytics/company/sh/688308/688308/detail</t>
  </si>
  <si>
    <t>*ST恒誉</t>
  </si>
  <si>
    <t>www.lixinger.com/analytics/company/sh/688309/688309/detail</t>
  </si>
  <si>
    <t>迈得医疗</t>
  </si>
  <si>
    <t>www.lixinger.com/analytics/company/sh/688310/688310/detail</t>
  </si>
  <si>
    <t>盟升电子</t>
  </si>
  <si>
    <t>www.lixinger.com/analytics/company/sh/688311/688311/detail</t>
  </si>
  <si>
    <t>燕麦科技</t>
  </si>
  <si>
    <t>www.lixinger.com/analytics/company/sh/688312/688312/detail</t>
  </si>
  <si>
    <t>仕佳光子</t>
  </si>
  <si>
    <t>www.lixinger.com/analytics/company/sh/688313/688313/detail</t>
  </si>
  <si>
    <t>康拓医疗</t>
  </si>
  <si>
    <t>www.lixinger.com/analytics/company/sh/688314/688314/detail</t>
  </si>
  <si>
    <t>诺禾致源</t>
  </si>
  <si>
    <t>其他医疗服务</t>
  </si>
  <si>
    <t>www.lixinger.com/analytics/company/sh/688315/688315/detail</t>
  </si>
  <si>
    <t>青云科技</t>
  </si>
  <si>
    <t>www.lixinger.com/analytics/company/sh/688316/688316/detail</t>
  </si>
  <si>
    <t>之江生物</t>
  </si>
  <si>
    <t>www.lixinger.com/analytics/company/sh/688317/688317/detail</t>
  </si>
  <si>
    <t>财富趋势</t>
  </si>
  <si>
    <t>www.lixinger.com/analytics/company/sh/688318/688318/detail</t>
  </si>
  <si>
    <t>欧林生物</t>
  </si>
  <si>
    <t>www.lixinger.com/analytics/company/sh/688319/688319/detail</t>
  </si>
  <si>
    <t>禾川科技</t>
  </si>
  <si>
    <t>www.lixinger.com/analytics/company/sh/688320/688320/detail</t>
  </si>
  <si>
    <t>微芯生物</t>
  </si>
  <si>
    <t>www.lixinger.com/analytics/company/sh/688321/688321/detail</t>
  </si>
  <si>
    <t>瑞华泰</t>
  </si>
  <si>
    <t>www.lixinger.com/analytics/company/sh/688323/688323/detail</t>
  </si>
  <si>
    <t>赛微微电</t>
  </si>
  <si>
    <t>www.lixinger.com/analytics/company/sh/688325/688325/detail</t>
  </si>
  <si>
    <t>经纬恒润</t>
  </si>
  <si>
    <t>www.lixinger.com/analytics/company/sh/688326/688326/detail</t>
  </si>
  <si>
    <t>云从科技</t>
  </si>
  <si>
    <t>www.lixinger.com/analytics/company/sh/688327/688327/detail</t>
  </si>
  <si>
    <t>深科达</t>
  </si>
  <si>
    <t>www.lixinger.com/analytics/company/sh/688328/688328/detail</t>
  </si>
  <si>
    <t>艾隆科技</t>
  </si>
  <si>
    <t>www.lixinger.com/analytics/company/sh/688329/688329/detail</t>
  </si>
  <si>
    <t>宏力达</t>
  </si>
  <si>
    <t>www.lixinger.com/analytics/company/sh/688330/688330/detail</t>
  </si>
  <si>
    <t>荣昌生物</t>
  </si>
  <si>
    <t>www.lixinger.com/analytics/company/sh/688331/688331/detail</t>
  </si>
  <si>
    <t>铂力特</t>
  </si>
  <si>
    <t>www.lixinger.com/analytics/company/sh/688333/688333/detail</t>
  </si>
  <si>
    <t>复洁环保</t>
  </si>
  <si>
    <t>www.lixinger.com/analytics/company/sh/688335/688335/detail</t>
  </si>
  <si>
    <t>三生国健</t>
  </si>
  <si>
    <t>www.lixinger.com/analytics/company/sh/688336/688336/detail</t>
  </si>
  <si>
    <t>普源精电</t>
  </si>
  <si>
    <t>www.lixinger.com/analytics/company/sh/688337/688337/detail</t>
  </si>
  <si>
    <t>赛科希德</t>
  </si>
  <si>
    <t>www.lixinger.com/analytics/company/sh/688338/688338/detail</t>
  </si>
  <si>
    <t>亿华通</t>
  </si>
  <si>
    <t>燃料电池</t>
  </si>
  <si>
    <t>www.lixinger.com/analytics/company/sh/688339/688339/detail</t>
  </si>
  <si>
    <t>博力威</t>
  </si>
  <si>
    <t>www.lixinger.com/analytics/company/sh/688345/688345/detail</t>
  </si>
  <si>
    <t>富淼科技</t>
  </si>
  <si>
    <t>www.lixinger.com/analytics/company/sh/688350/688350/detail</t>
  </si>
  <si>
    <t>明志科技</t>
  </si>
  <si>
    <t>www.lixinger.com/analytics/company/sh/688355/688355/detail</t>
  </si>
  <si>
    <t>键凯科技</t>
  </si>
  <si>
    <t>www.lixinger.com/analytics/company/sh/688356/688356/detail</t>
  </si>
  <si>
    <t>建龙微纳</t>
  </si>
  <si>
    <t>www.lixinger.com/analytics/company/sh/688357/688357/detail</t>
  </si>
  <si>
    <t>祥生医疗</t>
  </si>
  <si>
    <t>www.lixinger.com/analytics/company/sh/688358/688358/detail</t>
  </si>
  <si>
    <t>三孚新科</t>
  </si>
  <si>
    <t>www.lixinger.com/analytics/company/sh/688359/688359/detail</t>
  </si>
  <si>
    <t>德马科技</t>
  </si>
  <si>
    <t>www.lixinger.com/analytics/company/sh/688360/688360/detail</t>
  </si>
  <si>
    <t>华熙生物</t>
  </si>
  <si>
    <t>医美耗材</t>
  </si>
  <si>
    <t>www.lixinger.com/analytics/company/sh/688363/688363/detail</t>
  </si>
  <si>
    <t>光云科技</t>
  </si>
  <si>
    <t>www.lixinger.com/analytics/company/sh/688365/688365/detail</t>
  </si>
  <si>
    <t>昊海生科</t>
  </si>
  <si>
    <t>www.lixinger.com/analytics/company/sh/688366/688366/detail</t>
  </si>
  <si>
    <t>工大高科</t>
  </si>
  <si>
    <t>www.lixinger.com/analytics/company/sh/688367/688367/detail</t>
  </si>
  <si>
    <t>晶丰明源</t>
  </si>
  <si>
    <t>www.lixinger.com/analytics/company/sh/688368/688368/detail</t>
  </si>
  <si>
    <t>致远互联</t>
  </si>
  <si>
    <t>www.lixinger.com/analytics/company/sh/688369/688369/detail</t>
  </si>
  <si>
    <t>迪威尔</t>
  </si>
  <si>
    <t>www.lixinger.com/analytics/company/sh/688377/688377/detail</t>
  </si>
  <si>
    <t>奥来德</t>
  </si>
  <si>
    <t>www.lixinger.com/analytics/company/sh/688378/688378/detail</t>
  </si>
  <si>
    <t>华光新材</t>
  </si>
  <si>
    <t>www.lixinger.com/analytics/company/sh/688379/688379/detail</t>
  </si>
  <si>
    <t>新益昌</t>
  </si>
  <si>
    <t>www.lixinger.com/analytics/company/sh/688383/688383/detail</t>
  </si>
  <si>
    <t>复旦微电</t>
  </si>
  <si>
    <t>www.lixinger.com/analytics/company/sh/688385/688385/detail</t>
  </si>
  <si>
    <t>泛亚微透</t>
  </si>
  <si>
    <t>www.lixinger.com/analytics/company/sh/688386/688386/detail</t>
  </si>
  <si>
    <t>嘉元科技</t>
  </si>
  <si>
    <t>www.lixinger.com/analytics/company/sh/688388/688388/detail</t>
  </si>
  <si>
    <t>普门科技</t>
  </si>
  <si>
    <t>www.lixinger.com/analytics/company/sh/688389/688389/detail</t>
  </si>
  <si>
    <t>固德威</t>
  </si>
  <si>
    <t>www.lixinger.com/analytics/company/sh/688390/688390/detail</t>
  </si>
  <si>
    <t>安必平</t>
  </si>
  <si>
    <t>www.lixinger.com/analytics/company/sh/688393/688393/detail</t>
  </si>
  <si>
    <t>正弦电气</t>
  </si>
  <si>
    <t>www.lixinger.com/analytics/company/sh/688395/688395/detail</t>
  </si>
  <si>
    <t>华润微</t>
  </si>
  <si>
    <t>集成电路制造</t>
  </si>
  <si>
    <t>www.lixinger.com/analytics/company/sh/688396/688396/detail</t>
  </si>
  <si>
    <t>赛特新材</t>
  </si>
  <si>
    <t>www.lixinger.com/analytics/company/sh/688398/688398/detail</t>
  </si>
  <si>
    <t>硕世生物</t>
  </si>
  <si>
    <t>www.lixinger.com/analytics/company/sh/688399/688399/detail</t>
  </si>
  <si>
    <t>中信博</t>
  </si>
  <si>
    <t>www.lixinger.com/analytics/company/sh/688408/688408/detail</t>
  </si>
  <si>
    <t>震有科技</t>
  </si>
  <si>
    <t>www.lixinger.com/analytics/company/sh/688418/688418/detail</t>
  </si>
  <si>
    <t>铁建重工</t>
  </si>
  <si>
    <t>www.lixinger.com/analytics/company/sh/688425/688425/detail</t>
  </si>
  <si>
    <t>有研粉材</t>
  </si>
  <si>
    <t>www.lixinger.com/analytics/company/sh/688456/688456/detail</t>
  </si>
  <si>
    <t>金科环境</t>
  </si>
  <si>
    <t>www.lixinger.com/analytics/company/sh/688466/688466/detail</t>
  </si>
  <si>
    <t>科美诊断</t>
  </si>
  <si>
    <t>www.lixinger.com/analytics/company/sh/688468/688468/detail</t>
  </si>
  <si>
    <t>艾迪药业</t>
  </si>
  <si>
    <t>www.lixinger.com/analytics/company/sh/688488/688488/detail</t>
  </si>
  <si>
    <t>利元亨</t>
  </si>
  <si>
    <t>www.lixinger.com/analytics/company/sh/688499/688499/detail</t>
  </si>
  <si>
    <t>慧辰股份</t>
  </si>
  <si>
    <t>www.lixinger.com/analytics/company/sh/688500/688500/detail</t>
  </si>
  <si>
    <t>青达环保</t>
  </si>
  <si>
    <t>www.lixinger.com/analytics/company/sh/688501/688501/detail</t>
  </si>
  <si>
    <t>复旦张江</t>
  </si>
  <si>
    <t>www.lixinger.com/analytics/company/sh/688505/688505/detail</t>
  </si>
  <si>
    <t>芯朋微</t>
  </si>
  <si>
    <t>www.lixinger.com/analytics/company/sh/688508/688508/detail</t>
  </si>
  <si>
    <t>正元地信</t>
  </si>
  <si>
    <t>www.lixinger.com/analytics/company/sh/688509/688509/detail</t>
  </si>
  <si>
    <t>航亚科技</t>
  </si>
  <si>
    <t>www.lixinger.com/analytics/company/sh/688510/688510/detail</t>
  </si>
  <si>
    <t>天微电子</t>
  </si>
  <si>
    <t>www.lixinger.com/analytics/company/sh/688511/688511/detail</t>
  </si>
  <si>
    <t>苑东生物</t>
  </si>
  <si>
    <t>www.lixinger.com/analytics/company/sh/688513/688513/detail</t>
  </si>
  <si>
    <t>奥特维</t>
  </si>
  <si>
    <t>www.lixinger.com/analytics/company/sh/688516/688516/detail</t>
  </si>
  <si>
    <t>金冠电气</t>
  </si>
  <si>
    <t>www.lixinger.com/analytics/company/sh/688517/688517/detail</t>
  </si>
  <si>
    <t>联赢激光</t>
  </si>
  <si>
    <t>www.lixinger.com/analytics/company/sh/688518/688518/detail</t>
  </si>
  <si>
    <t>南亚新材</t>
  </si>
  <si>
    <t>www.lixinger.com/analytics/company/sh/688519/688519/detail</t>
  </si>
  <si>
    <t>神州细胞</t>
  </si>
  <si>
    <t>www.lixinger.com/analytics/company/sh/688520/688520/detail</t>
  </si>
  <si>
    <t>芯原股份</t>
  </si>
  <si>
    <t>www.lixinger.com/analytics/company/sh/688521/688521/detail</t>
  </si>
  <si>
    <t>科前生物</t>
  </si>
  <si>
    <t>www.lixinger.com/analytics/company/sh/688526/688526/detail</t>
  </si>
  <si>
    <t>秦川物联</t>
  </si>
  <si>
    <t>www.lixinger.com/analytics/company/sh/688528/688528/detail</t>
  </si>
  <si>
    <t>豪森股份</t>
  </si>
  <si>
    <t>www.lixinger.com/analytics/company/sh/688529/688529/detail</t>
  </si>
  <si>
    <t>上声电子</t>
  </si>
  <si>
    <t>www.lixinger.com/analytics/company/sh/688533/688533/detail</t>
  </si>
  <si>
    <t>思瑞浦</t>
  </si>
  <si>
    <t>www.lixinger.com/analytics/company/sh/688536/688536/detail</t>
  </si>
  <si>
    <t>和辉光电</t>
  </si>
  <si>
    <t>www.lixinger.com/analytics/company/sh/688538/688538/detail</t>
  </si>
  <si>
    <t>瑞联新材</t>
  </si>
  <si>
    <t>www.lixinger.com/analytics/company/sh/688550/688550/detail</t>
  </si>
  <si>
    <t>科威尔</t>
  </si>
  <si>
    <t>www.lixinger.com/analytics/company/sh/688551/688551/detail</t>
  </si>
  <si>
    <t>汇宇制药</t>
  </si>
  <si>
    <t>www.lixinger.com/analytics/company/sh/688553/688553/detail</t>
  </si>
  <si>
    <t>泽达易盛</t>
  </si>
  <si>
    <t>www.lixinger.com/analytics/company/sh/688555/688555/detail</t>
  </si>
  <si>
    <t>高测股份</t>
  </si>
  <si>
    <t>www.lixinger.com/analytics/company/sh/688556/688556/detail</t>
  </si>
  <si>
    <t>兰剑智能</t>
  </si>
  <si>
    <t>www.lixinger.com/analytics/company/sh/688557/688557/detail</t>
  </si>
  <si>
    <t>国盛智科</t>
  </si>
  <si>
    <t>www.lixinger.com/analytics/company/sh/688558/688558/detail</t>
  </si>
  <si>
    <t>海目星</t>
  </si>
  <si>
    <t>www.lixinger.com/analytics/company/sh/688559/688559/detail</t>
  </si>
  <si>
    <t>明冠新材</t>
  </si>
  <si>
    <t>www.lixinger.com/analytics/company/sh/688560/688560/detail</t>
  </si>
  <si>
    <t>奇安信</t>
  </si>
  <si>
    <t>www.lixinger.com/analytics/company/sh/688561/688561/detail</t>
  </si>
  <si>
    <t>力源科技</t>
  </si>
  <si>
    <t>www.lixinger.com/analytics/company/sh/688565/688565/detail</t>
  </si>
  <si>
    <t>吉贝尔</t>
  </si>
  <si>
    <t>www.lixinger.com/analytics/company/sh/688566/688566/detail</t>
  </si>
  <si>
    <t>孚能科技</t>
  </si>
  <si>
    <t>www.lixinger.com/analytics/company/sh/688567/688567/detail</t>
  </si>
  <si>
    <t>中科星图</t>
  </si>
  <si>
    <t>www.lixinger.com/analytics/company/sh/688568/688568/detail</t>
  </si>
  <si>
    <t>铁科轨道</t>
  </si>
  <si>
    <t>www.lixinger.com/analytics/company/sh/688569/688569/detail</t>
  </si>
  <si>
    <t>杭华股份</t>
  </si>
  <si>
    <t>www.lixinger.com/analytics/company/sh/688571/688571/detail</t>
  </si>
  <si>
    <t>亚辉龙</t>
  </si>
  <si>
    <t>www.lixinger.com/analytics/company/sh/688575/688575/detail</t>
  </si>
  <si>
    <t>浙海德曼</t>
  </si>
  <si>
    <t>www.lixinger.com/analytics/company/sh/688577/688577/detail</t>
  </si>
  <si>
    <t>艾力斯</t>
  </si>
  <si>
    <t>www.lixinger.com/analytics/company/sh/688578/688578/detail</t>
  </si>
  <si>
    <t>山大地纬</t>
  </si>
  <si>
    <t>www.lixinger.com/analytics/company/sh/688579/688579/detail</t>
  </si>
  <si>
    <t>伟思医疗</t>
  </si>
  <si>
    <t>www.lixinger.com/analytics/company/sh/688580/688580/detail</t>
  </si>
  <si>
    <t>上纬新材</t>
  </si>
  <si>
    <t>www.lixinger.com/analytics/company/sh/688585/688585/detail</t>
  </si>
  <si>
    <t>江航装备</t>
  </si>
  <si>
    <t>www.lixinger.com/analytics/company/sh/688586/688586/detail</t>
  </si>
  <si>
    <t>凌志软件</t>
  </si>
  <si>
    <t>www.lixinger.com/analytics/company/sh/688588/688588/detail</t>
  </si>
  <si>
    <t>力合微</t>
  </si>
  <si>
    <t>www.lixinger.com/analytics/company/sh/688589/688589/detail</t>
  </si>
  <si>
    <t>新致软件</t>
  </si>
  <si>
    <t>www.lixinger.com/analytics/company/sh/688590/688590/detail</t>
  </si>
  <si>
    <t>芯海科技</t>
  </si>
  <si>
    <t>www.lixinger.com/analytics/company/sh/688595/688595/detail</t>
  </si>
  <si>
    <t>正帆科技</t>
  </si>
  <si>
    <t>www.lixinger.com/analytics/company/sh/688596/688596/detail</t>
  </si>
  <si>
    <t>煜邦电力</t>
  </si>
  <si>
    <t>www.lixinger.com/analytics/company/sh/688597/688597/detail</t>
  </si>
  <si>
    <t>金博股份</t>
  </si>
  <si>
    <t>www.lixinger.com/analytics/company/sh/688598/688598/detail</t>
  </si>
  <si>
    <t>天合光能</t>
  </si>
  <si>
    <t>www.lixinger.com/analytics/company/sh/688599/688599/detail</t>
  </si>
  <si>
    <t>皖仪科技</t>
  </si>
  <si>
    <t>www.lixinger.com/analytics/company/sh/688600/688600/detail</t>
  </si>
  <si>
    <t>力芯微</t>
  </si>
  <si>
    <t>www.lixinger.com/analytics/company/sh/688601/688601/detail</t>
  </si>
  <si>
    <t>奥泰生物</t>
  </si>
  <si>
    <t>www.lixinger.com/analytics/company/sh/688606/688606/detail</t>
  </si>
  <si>
    <t>康众医疗</t>
  </si>
  <si>
    <t>www.lixinger.com/analytics/company/sh/688607/688607/detail</t>
  </si>
  <si>
    <t>恒玄科技</t>
  </si>
  <si>
    <t>www.lixinger.com/analytics/company/sh/688608/688608/detail</t>
  </si>
  <si>
    <t>九联科技</t>
  </si>
  <si>
    <t>其他黑色家电</t>
  </si>
  <si>
    <t>www.lixinger.com/analytics/company/sh/688609/688609/detail</t>
  </si>
  <si>
    <t>杭州柯林</t>
  </si>
  <si>
    <t>www.lixinger.com/analytics/company/sh/688611/688611/detail</t>
  </si>
  <si>
    <t>奥精医疗</t>
  </si>
  <si>
    <t>www.lixinger.com/analytics/company/sh/688613/688613/detail</t>
  </si>
  <si>
    <t>西力科技</t>
  </si>
  <si>
    <t>www.lixinger.com/analytics/company/sh/688616/688616/detail</t>
  </si>
  <si>
    <t>惠泰医疗</t>
  </si>
  <si>
    <t>www.lixinger.com/analytics/company/sh/688617/688617/detail</t>
  </si>
  <si>
    <t>三旺通信</t>
  </si>
  <si>
    <t>www.lixinger.com/analytics/company/sh/688618/688618/detail</t>
  </si>
  <si>
    <t>罗普特</t>
  </si>
  <si>
    <t>www.lixinger.com/analytics/company/sh/688619/688619/detail</t>
  </si>
  <si>
    <t>阳光诺和</t>
  </si>
  <si>
    <t>www.lixinger.com/analytics/company/sh/688621/688621/detail</t>
  </si>
  <si>
    <t>禾信仪器</t>
  </si>
  <si>
    <t>www.lixinger.com/analytics/company/sh/688622/688622/detail</t>
  </si>
  <si>
    <t>呈和科技</t>
  </si>
  <si>
    <t>www.lixinger.com/analytics/company/sh/688625/688625/detail</t>
  </si>
  <si>
    <t>翔宇医疗</t>
  </si>
  <si>
    <t>www.lixinger.com/analytics/company/sh/688626/688626/detail</t>
  </si>
  <si>
    <t>优利德</t>
  </si>
  <si>
    <t>www.lixinger.com/analytics/company/sh/688628/688628/detail</t>
  </si>
  <si>
    <t>芯碁微装</t>
  </si>
  <si>
    <t>www.lixinger.com/analytics/company/sh/688630/688630/detail</t>
  </si>
  <si>
    <t>星球石墨</t>
  </si>
  <si>
    <t>www.lixinger.com/analytics/company/sh/688633/688633/detail</t>
  </si>
  <si>
    <t>智明达</t>
  </si>
  <si>
    <t>www.lixinger.com/analytics/company/sh/688636/688636/detail</t>
  </si>
  <si>
    <t>华恒生物</t>
  </si>
  <si>
    <t>www.lixinger.com/analytics/company/sh/688639/688639/detail</t>
  </si>
  <si>
    <t>迅捷兴</t>
  </si>
  <si>
    <t>www.lixinger.com/analytics/company/sh/688655/688655/detail</t>
  </si>
  <si>
    <t>浩欧博</t>
  </si>
  <si>
    <t>www.lixinger.com/analytics/company/sh/688656/688656/detail</t>
  </si>
  <si>
    <t>悦康药业</t>
  </si>
  <si>
    <t>www.lixinger.com/analytics/company/sh/688658/688658/detail</t>
  </si>
  <si>
    <t>元琛科技</t>
  </si>
  <si>
    <t>www.lixinger.com/analytics/company/sh/688659/688659/detail</t>
  </si>
  <si>
    <t>电气风电</t>
  </si>
  <si>
    <t>www.lixinger.com/analytics/company/sh/688660/688660/detail</t>
  </si>
  <si>
    <t>和林微纳</t>
  </si>
  <si>
    <t>www.lixinger.com/analytics/company/sh/688661/688661/detail</t>
  </si>
  <si>
    <t>富信科技</t>
  </si>
  <si>
    <t>www.lixinger.com/analytics/company/sh/688662/688662/detail</t>
  </si>
  <si>
    <t>新风光</t>
  </si>
  <si>
    <t>www.lixinger.com/analytics/company/sh/688663/688663/detail</t>
  </si>
  <si>
    <t>四方光电</t>
  </si>
  <si>
    <t>www.lixinger.com/analytics/company/sh/688665/688665/detail</t>
  </si>
  <si>
    <t>菱电电控</t>
  </si>
  <si>
    <t>www.lixinger.com/analytics/company/sh/688667/688667/detail</t>
  </si>
  <si>
    <t>鼎通科技</t>
  </si>
  <si>
    <t>www.lixinger.com/analytics/company/sh/688668/688668/detail</t>
  </si>
  <si>
    <t>聚石化学</t>
  </si>
  <si>
    <t>www.lixinger.com/analytics/company/sh/688669/688669/detail</t>
  </si>
  <si>
    <t>金迪克</t>
  </si>
  <si>
    <t>www.lixinger.com/analytics/company/sh/688670/688670/detail</t>
  </si>
  <si>
    <t>金盘科技</t>
  </si>
  <si>
    <t>www.lixinger.com/analytics/company/sh/688676/688676/detail</t>
  </si>
  <si>
    <t>海泰新光</t>
  </si>
  <si>
    <t>www.lixinger.com/analytics/company/sh/688677/688677/detail</t>
  </si>
  <si>
    <t>福立旺</t>
  </si>
  <si>
    <t>www.lixinger.com/analytics/company/sh/688678/688678/detail</t>
  </si>
  <si>
    <t>通源环境</t>
  </si>
  <si>
    <t>www.lixinger.com/analytics/company/sh/688679/688679/detail</t>
  </si>
  <si>
    <t>海优新材</t>
  </si>
  <si>
    <t>www.lixinger.com/analytics/company/sh/688680/688680/detail</t>
  </si>
  <si>
    <t>科汇股份</t>
  </si>
  <si>
    <t>www.lixinger.com/analytics/company/sh/688681/688681/detail</t>
  </si>
  <si>
    <t>霍莱沃</t>
  </si>
  <si>
    <t>www.lixinger.com/analytics/company/sh/688682/688682/detail</t>
  </si>
  <si>
    <t>莱尔科技</t>
  </si>
  <si>
    <t>www.lixinger.com/analytics/company/sh/688683/688683/detail</t>
  </si>
  <si>
    <t>迈信林</t>
  </si>
  <si>
    <t>www.lixinger.com/analytics/company/sh/688685/688685/detail</t>
  </si>
  <si>
    <t>奥普特</t>
  </si>
  <si>
    <t>www.lixinger.com/analytics/company/sh/688686/688686/detail</t>
  </si>
  <si>
    <t>凯因科技</t>
  </si>
  <si>
    <t>www.lixinger.com/analytics/company/sh/688687/688687/detail</t>
  </si>
  <si>
    <t>蚂蚁集团</t>
  </si>
  <si>
    <t>www.lixinger.com/analytics/company/sh/688688/688688/detail</t>
  </si>
  <si>
    <t>银河微电</t>
  </si>
  <si>
    <t>www.lixinger.com/analytics/company/sh/688689/688689/detail</t>
  </si>
  <si>
    <t>纳微科技</t>
  </si>
  <si>
    <t>www.lixinger.com/analytics/company/sh/688690/688690/detail</t>
  </si>
  <si>
    <t>极米科技</t>
  </si>
  <si>
    <t>www.lixinger.com/analytics/company/sh/688696/688696/detail</t>
  </si>
  <si>
    <t>纽威数控</t>
  </si>
  <si>
    <t>www.lixinger.com/analytics/company/sh/688697/688697/detail</t>
  </si>
  <si>
    <t>伟创电气</t>
  </si>
  <si>
    <t>www.lixinger.com/analytics/company/sh/688698/688698/detail</t>
  </si>
  <si>
    <t>明微电子</t>
  </si>
  <si>
    <t>www.lixinger.com/analytics/company/sh/688699/688699/detail</t>
  </si>
  <si>
    <t>东威科技</t>
  </si>
  <si>
    <t>www.lixinger.com/analytics/company/sh/688700/688700/detail</t>
  </si>
  <si>
    <t>卓锦股份</t>
  </si>
  <si>
    <t>www.lixinger.com/analytics/company/sh/688701/688701/detail</t>
  </si>
  <si>
    <t>振华新材</t>
  </si>
  <si>
    <t>www.lixinger.com/analytics/company/sh/688707/688707/detail</t>
  </si>
  <si>
    <t>宏微科技</t>
  </si>
  <si>
    <t>www.lixinger.com/analytics/company/sh/688711/688711/detail</t>
  </si>
  <si>
    <t>唯赛勃</t>
  </si>
  <si>
    <t>www.lixinger.com/analytics/company/sh/688718/688718/detail</t>
  </si>
  <si>
    <t>同益中</t>
  </si>
  <si>
    <t>www.lixinger.com/analytics/company/sh/688722/688722/detail</t>
  </si>
  <si>
    <t>格科微</t>
  </si>
  <si>
    <t>www.lixinger.com/analytics/company/sh/688728/688728/detail</t>
  </si>
  <si>
    <t>壹石通</t>
  </si>
  <si>
    <t>www.lixinger.com/analytics/company/sh/688733/688733/detail</t>
  </si>
  <si>
    <t>中自科技</t>
  </si>
  <si>
    <t>www.lixinger.com/analytics/company/sh/688737/688737/detail</t>
  </si>
  <si>
    <t>成大生物</t>
  </si>
  <si>
    <t>www.lixinger.com/analytics/company/sh/688739/688739/detail</t>
  </si>
  <si>
    <t>普冉股份</t>
  </si>
  <si>
    <t>www.lixinger.com/analytics/company/sh/688766/688766/detail</t>
  </si>
  <si>
    <t>博拓生物</t>
  </si>
  <si>
    <t>www.lixinger.com/analytics/company/sh/688767/688767/detail</t>
  </si>
  <si>
    <t>容知日新</t>
  </si>
  <si>
    <t>www.lixinger.com/analytics/company/sh/688768/688768/detail</t>
  </si>
  <si>
    <t>珠海冠宇</t>
  </si>
  <si>
    <t>www.lixinger.com/analytics/company/sh/688772/688772/detail</t>
  </si>
  <si>
    <t>国光电气</t>
  </si>
  <si>
    <t>www.lixinger.com/analytics/company/sh/688776/688776/detail</t>
  </si>
  <si>
    <t>中控技术</t>
  </si>
  <si>
    <t>www.lixinger.com/analytics/company/sh/688777/688777/detail</t>
  </si>
  <si>
    <t>厦钨新能</t>
  </si>
  <si>
    <t>www.lixinger.com/analytics/company/sh/688778/688778/detail</t>
  </si>
  <si>
    <t>长远锂科</t>
  </si>
  <si>
    <t>www.lixinger.com/analytics/company/sh/688779/688779/detail</t>
  </si>
  <si>
    <t>悦安新材</t>
  </si>
  <si>
    <t>www.lixinger.com/analytics/company/sh/688786/688786/detail</t>
  </si>
  <si>
    <t>海天瑞声</t>
  </si>
  <si>
    <t>www.lixinger.com/analytics/company/sh/688787/688787/detail</t>
  </si>
  <si>
    <t>科思科技</t>
  </si>
  <si>
    <t>www.lixinger.com/analytics/company/sh/688788/688788/detail</t>
  </si>
  <si>
    <t>宏华数科</t>
  </si>
  <si>
    <t>www.lixinger.com/analytics/company/sh/688789/688789/detail</t>
  </si>
  <si>
    <t>倍轻松</t>
  </si>
  <si>
    <t>www.lixinger.com/analytics/company/sh/688793/688793/detail</t>
  </si>
  <si>
    <t>艾为电子</t>
  </si>
  <si>
    <t>www.lixinger.com/analytics/company/sh/688798/688798/detail</t>
  </si>
  <si>
    <t>华纳药厂</t>
  </si>
  <si>
    <t>www.lixinger.com/analytics/company/sh/688799/688799/detail</t>
  </si>
  <si>
    <t>瑞可达</t>
  </si>
  <si>
    <t>www.lixinger.com/analytics/company/sh/688800/688800/detail</t>
  </si>
  <si>
    <t>天能股份</t>
  </si>
  <si>
    <t>www.lixinger.com/analytics/company/sh/688819/688819/detail</t>
  </si>
  <si>
    <t>中芯国际</t>
  </si>
  <si>
    <t>www.lixinger.com/analytics/company/sh/688981/688981/detail</t>
  </si>
  <si>
    <t>九号公司</t>
  </si>
  <si>
    <t>www.lixinger.com/analytics/company/sh/689009/689009/detail</t>
  </si>
  <si>
    <t>云赛Ｂ股</t>
  </si>
  <si>
    <t>www.lixinger.com/analytics/company/sh/900901/900901/detail</t>
  </si>
  <si>
    <t>市北B股</t>
  </si>
  <si>
    <t>www.lixinger.com/analytics/company/sh/900902/900902/detail</t>
  </si>
  <si>
    <t>大众Ｂ股</t>
  </si>
  <si>
    <t>www.lixinger.com/analytics/company/sh/900903/900903/detail</t>
  </si>
  <si>
    <t>神奇B股</t>
  </si>
  <si>
    <t>www.lixinger.com/analytics/company/sh/900904/900904/detail</t>
  </si>
  <si>
    <t>老凤祥Ｂ</t>
  </si>
  <si>
    <t>www.lixinger.com/analytics/company/sh/900905/900905/detail</t>
  </si>
  <si>
    <t>中毅达B</t>
  </si>
  <si>
    <t>www.lixinger.com/analytics/company/sh/900906/900906/detail</t>
  </si>
  <si>
    <t>退市鹏B</t>
  </si>
  <si>
    <t>www.lixinger.com/analytics/company/sh/900907/900907/detail</t>
  </si>
  <si>
    <t>氯碱Ｂ股</t>
  </si>
  <si>
    <t>www.lixinger.com/analytics/company/sh/900908/900908/detail</t>
  </si>
  <si>
    <t>华谊B股</t>
  </si>
  <si>
    <t>www.lixinger.com/analytics/company/sh/900909/900909/detail</t>
  </si>
  <si>
    <t>海立Ｂ股</t>
  </si>
  <si>
    <t>www.lixinger.com/analytics/company/sh/900910/900910/detail</t>
  </si>
  <si>
    <t>金桥Ｂ股</t>
  </si>
  <si>
    <t>www.lixinger.com/analytics/company/sh/900911/900911/detail</t>
  </si>
  <si>
    <t>外高Ｂ股</t>
  </si>
  <si>
    <t>www.lixinger.com/analytics/company/sh/900912/900912/detail</t>
  </si>
  <si>
    <t>国新B股</t>
  </si>
  <si>
    <t>www.lixinger.com/analytics/company/sh/900913/900913/detail</t>
  </si>
  <si>
    <t>锦在线B</t>
  </si>
  <si>
    <t>www.lixinger.com/analytics/company/sh/900914/900914/detail</t>
  </si>
  <si>
    <t>中路Ｂ股</t>
  </si>
  <si>
    <t>www.lixinger.com/analytics/company/sh/900915/900915/detail</t>
  </si>
  <si>
    <t>凤凰B股</t>
  </si>
  <si>
    <t>www.lixinger.com/analytics/company/sh/900916/900916/detail</t>
  </si>
  <si>
    <t>海欣Ｂ股</t>
  </si>
  <si>
    <t>www.lixinger.com/analytics/company/sh/900917/900917/detail</t>
  </si>
  <si>
    <t>耀皮Ｂ股</t>
  </si>
  <si>
    <t>www.lixinger.com/analytics/company/sh/900918/900918/detail</t>
  </si>
  <si>
    <t>*ST绿庭B</t>
  </si>
  <si>
    <t>www.lixinger.com/analytics/company/sh/900919/900919/detail</t>
  </si>
  <si>
    <t>动力Ｂ股</t>
  </si>
  <si>
    <t>www.lixinger.com/analytics/company/sh/900920/900920/detail</t>
  </si>
  <si>
    <t>丹科B股</t>
  </si>
  <si>
    <t>www.lixinger.com/analytics/company/sh/900921/900921/detail</t>
  </si>
  <si>
    <t>三毛B股</t>
  </si>
  <si>
    <t>www.lixinger.com/analytics/company/sh/900922/900922/detail</t>
  </si>
  <si>
    <t>百联Ｂ股</t>
  </si>
  <si>
    <t>www.lixinger.com/analytics/company/sh/900923/900923/detail</t>
  </si>
  <si>
    <t>上工Ｂ股</t>
  </si>
  <si>
    <t>www.lixinger.com/analytics/company/sh/900924/900924/detail</t>
  </si>
  <si>
    <t>机电Ｂ股</t>
  </si>
  <si>
    <t>www.lixinger.com/analytics/company/sh/900925/900925/detail</t>
  </si>
  <si>
    <t>宝信Ｂ</t>
  </si>
  <si>
    <t>www.lixinger.com/analytics/company/sh/900926/900926/detail</t>
  </si>
  <si>
    <t>物贸Ｂ股</t>
  </si>
  <si>
    <t>www.lixinger.com/analytics/company/sh/900927/900927/detail</t>
  </si>
  <si>
    <t>临港B股</t>
  </si>
  <si>
    <t>www.lixinger.com/analytics/company/sh/900928/900928/detail</t>
  </si>
  <si>
    <t>锦旅Ｂ股</t>
  </si>
  <si>
    <t>www.lixinger.com/analytics/company/sh/900929/900929/detail</t>
  </si>
  <si>
    <t>*ST沪普B</t>
  </si>
  <si>
    <t>www.lixinger.com/analytics/company/sh/900930/900930/detail</t>
  </si>
  <si>
    <t>PT水仙Ｂ</t>
  </si>
  <si>
    <t>www.lixinger.com/analytics/company/sh/900931/900931/detail</t>
  </si>
  <si>
    <t>陆家Ｂ股</t>
  </si>
  <si>
    <t>www.lixinger.com/analytics/company/sh/900932/900932/detail</t>
  </si>
  <si>
    <t>华新Ｂ股</t>
  </si>
  <si>
    <t>www.lixinger.com/analytics/company/sh/900933/900933/detail</t>
  </si>
  <si>
    <t>锦江Ｂ股</t>
  </si>
  <si>
    <t>www.lixinger.com/analytics/company/sh/900934/900934/detail</t>
  </si>
  <si>
    <t>阳晨Ｂ股</t>
  </si>
  <si>
    <t>www.lixinger.com/analytics/company/sh/900935/900935/detail</t>
  </si>
  <si>
    <t>鄂资Ｂ股</t>
  </si>
  <si>
    <t>www.lixinger.com/analytics/company/sh/900936/900936/detail</t>
  </si>
  <si>
    <t>*ST华电Ｂ</t>
  </si>
  <si>
    <t>www.lixinger.com/analytics/company/sh/900937/900937/detail</t>
  </si>
  <si>
    <t>海科B</t>
  </si>
  <si>
    <t>www.lixinger.com/analytics/company/sh/900938/900938/detail</t>
  </si>
  <si>
    <t>汇丽B</t>
  </si>
  <si>
    <t>www.lixinger.com/analytics/company/sh/900939/900939/detail</t>
  </si>
  <si>
    <t>大名城B</t>
  </si>
  <si>
    <t>www.lixinger.com/analytics/company/sh/900940/900940/detail</t>
  </si>
  <si>
    <t>东信Ｂ股</t>
  </si>
  <si>
    <t>www.lixinger.com/analytics/company/sh/900941/900941/detail</t>
  </si>
  <si>
    <t>黄山Ｂ股</t>
  </si>
  <si>
    <t>www.lixinger.com/analytics/company/sh/900942/900942/detail</t>
  </si>
  <si>
    <t>开开Ｂ股</t>
  </si>
  <si>
    <t>www.lixinger.com/analytics/company/sh/900943/900943/detail</t>
  </si>
  <si>
    <t>*ST海航B</t>
  </si>
  <si>
    <t>www.lixinger.com/analytics/company/sh/900945/900945/detail</t>
  </si>
  <si>
    <t>天雁B股</t>
  </si>
  <si>
    <t>www.lixinger.com/analytics/company/sh/900946/900946/detail</t>
  </si>
  <si>
    <t>振华Ｂ股</t>
  </si>
  <si>
    <t>www.lixinger.com/analytics/company/sh/900947/900947/detail</t>
  </si>
  <si>
    <t>伊泰Ｂ股</t>
  </si>
  <si>
    <t>www.lixinger.com/analytics/company/sh/900948/900948/detail</t>
  </si>
  <si>
    <t>东电Ｂ股</t>
  </si>
  <si>
    <t>www.lixinger.com/analytics/company/sh/900949/900949/detail</t>
  </si>
  <si>
    <t>新城Ｂ股</t>
  </si>
  <si>
    <t>www.lixinger.com/analytics/company/sh/900950/900950/detail</t>
  </si>
  <si>
    <t>退市大化</t>
  </si>
  <si>
    <t>www.lixinger.com/analytics/company/sh/900951/900951/detail</t>
  </si>
  <si>
    <t>锦港Ｂ股</t>
  </si>
  <si>
    <t>www.lixinger.com/analytics/company/sh/900952/900952/detail</t>
  </si>
  <si>
    <t>凯马Ｂ</t>
  </si>
  <si>
    <t>www.lixinger.com/analytics/company/sh/900953/900953/detail</t>
  </si>
  <si>
    <t>*ST海创B</t>
  </si>
  <si>
    <t>www.lixinger.com/analytics/company/sh/900955/900955/detail</t>
  </si>
  <si>
    <t>东贝Ｂ股</t>
  </si>
  <si>
    <t>www.lixinger.com/analytics/company/sh/900956/900956/detail</t>
  </si>
  <si>
    <t>凌云Ｂ股</t>
  </si>
  <si>
    <t>www.lixinger.com/analytics/company/sh/900957/900957/detail</t>
  </si>
  <si>
    <t>sz</t>
  </si>
  <si>
    <t>平安银行</t>
  </si>
  <si>
    <t>www.lixinger.com/analytics/company/sz/000001/1/detail</t>
  </si>
  <si>
    <t>万科Ａ</t>
  </si>
  <si>
    <t>www.lixinger.com/analytics/company/sz/000002/2/detail</t>
  </si>
  <si>
    <t>PT金田Ａ</t>
  </si>
  <si>
    <t>www.lixinger.com/analytics/company/sz/000003/3/detail</t>
  </si>
  <si>
    <t>国华网安</t>
  </si>
  <si>
    <t>www.lixinger.com/analytics/company/sz/000004/4/detail</t>
  </si>
  <si>
    <t>ST星源</t>
  </si>
  <si>
    <t>www.lixinger.com/analytics/company/sz/000005/5/detail</t>
  </si>
  <si>
    <t>深振业Ａ</t>
  </si>
  <si>
    <t>www.lixinger.com/analytics/company/sz/000006/6/detail</t>
  </si>
  <si>
    <t>*ST全新</t>
  </si>
  <si>
    <t>www.lixinger.com/analytics/company/sz/000007/7/detail</t>
  </si>
  <si>
    <t>神州高铁</t>
  </si>
  <si>
    <t>www.lixinger.com/analytics/company/sz/000008/8/detail</t>
  </si>
  <si>
    <t>中国宝安</t>
  </si>
  <si>
    <t>www.lixinger.com/analytics/company/sz/000009/9/detail</t>
  </si>
  <si>
    <t>美丽生态</t>
  </si>
  <si>
    <t>www.lixinger.com/analytics/company/sz/000010/10/detail</t>
  </si>
  <si>
    <t>深物业A</t>
  </si>
  <si>
    <t>www.lixinger.com/analytics/company/sz/000011/11/detail</t>
  </si>
  <si>
    <t>南玻Ａ</t>
  </si>
  <si>
    <t>www.lixinger.com/analytics/company/sz/000012/12/detail</t>
  </si>
  <si>
    <t>沙河股份</t>
  </si>
  <si>
    <t>www.lixinger.com/analytics/company/sz/000014/14/detail</t>
  </si>
  <si>
    <t>PT中浩Ａ</t>
  </si>
  <si>
    <t>www.lixinger.com/analytics/company/sz/000015/15/detail</t>
  </si>
  <si>
    <t>深康佳Ａ</t>
  </si>
  <si>
    <t>www.lixinger.com/analytics/company/sz/000016/16/detail</t>
  </si>
  <si>
    <t>深中华A</t>
  </si>
  <si>
    <t>www.lixinger.com/analytics/company/sz/000017/17/detail</t>
  </si>
  <si>
    <t>神城A退</t>
  </si>
  <si>
    <t>www.lixinger.com/analytics/company/sz/000018/18/detail</t>
  </si>
  <si>
    <t>深粮控股</t>
  </si>
  <si>
    <t>www.lixinger.com/analytics/company/sz/000019/19/detail</t>
  </si>
  <si>
    <t>深华发Ａ</t>
  </si>
  <si>
    <t>www.lixinger.com/analytics/company/sz/000020/20/detail</t>
  </si>
  <si>
    <t>深科技</t>
  </si>
  <si>
    <t>www.lixinger.com/analytics/company/sz/000021/21/detail</t>
  </si>
  <si>
    <t>深赤湾Ａ</t>
  </si>
  <si>
    <t>www.lixinger.com/analytics/company/sz/000022/22/detail</t>
  </si>
  <si>
    <t>深天地Ａ</t>
  </si>
  <si>
    <t>www.lixinger.com/analytics/company/sz/000023/23/detail</t>
  </si>
  <si>
    <t>招商地产</t>
  </si>
  <si>
    <t>www.lixinger.com/analytics/company/sz/000024/24/detail</t>
  </si>
  <si>
    <t>特力Ａ</t>
  </si>
  <si>
    <t>www.lixinger.com/analytics/company/sz/000025/25/detail</t>
  </si>
  <si>
    <t>飞亚达</t>
  </si>
  <si>
    <t>www.lixinger.com/analytics/company/sz/000026/26/detail</t>
  </si>
  <si>
    <t>深圳能源</t>
  </si>
  <si>
    <t>www.lixinger.com/analytics/company/sz/000027/27/detail</t>
  </si>
  <si>
    <t>国药一致</t>
  </si>
  <si>
    <t>www.lixinger.com/analytics/company/sz/000028/28/detail</t>
  </si>
  <si>
    <t>深深房Ａ</t>
  </si>
  <si>
    <t>www.lixinger.com/analytics/company/sz/000029/29/detail</t>
  </si>
  <si>
    <t>富奥股份</t>
  </si>
  <si>
    <t>www.lixinger.com/analytics/company/sz/000030/30/detail</t>
  </si>
  <si>
    <t>大悦城</t>
  </si>
  <si>
    <t>www.lixinger.com/analytics/company/sz/000031/31/detail</t>
  </si>
  <si>
    <t>深桑达Ａ</t>
  </si>
  <si>
    <t>www.lixinger.com/analytics/company/sz/000032/32/detail</t>
  </si>
  <si>
    <t>新都退</t>
  </si>
  <si>
    <t>www.lixinger.com/analytics/company/sz/000033/33/detail</t>
  </si>
  <si>
    <t>神州数码</t>
  </si>
  <si>
    <t>www.lixinger.com/analytics/company/sz/000034/34/detail</t>
  </si>
  <si>
    <t>中国天楹</t>
  </si>
  <si>
    <t>www.lixinger.com/analytics/company/sz/000035/35/detail</t>
  </si>
  <si>
    <t>华联控股</t>
  </si>
  <si>
    <t>www.lixinger.com/analytics/company/sz/000036/36/detail</t>
  </si>
  <si>
    <t>深南电A</t>
  </si>
  <si>
    <t>www.lixinger.com/analytics/company/sz/000037/37/detail</t>
  </si>
  <si>
    <t>深大通</t>
  </si>
  <si>
    <t>www.lixinger.com/analytics/company/sz/000038/38/detail</t>
  </si>
  <si>
    <t>中集集团</t>
  </si>
  <si>
    <t>www.lixinger.com/analytics/company/sz/000039/39/detail</t>
  </si>
  <si>
    <t>东旭蓝天</t>
  </si>
  <si>
    <t>www.lixinger.com/analytics/company/sz/000040/40/detail</t>
  </si>
  <si>
    <t>中洲控股</t>
  </si>
  <si>
    <t>www.lixinger.com/analytics/company/sz/000042/42/detail</t>
  </si>
  <si>
    <t>中航善达</t>
  </si>
  <si>
    <t>www.lixinger.com/analytics/company/sz/000043/43/detail</t>
  </si>
  <si>
    <t>深纺织Ａ</t>
  </si>
  <si>
    <t>www.lixinger.com/analytics/company/sz/000045/45/detail</t>
  </si>
  <si>
    <t>泛海控股</t>
  </si>
  <si>
    <t>www.lixinger.com/analytics/company/sz/000046/46/detail</t>
  </si>
  <si>
    <t>ST中侨</t>
  </si>
  <si>
    <t>www.lixinger.com/analytics/company/sz/000047/47/detail</t>
  </si>
  <si>
    <t>京基智农</t>
  </si>
  <si>
    <t>www.lixinger.com/analytics/company/sz/000048/48/detail</t>
  </si>
  <si>
    <t>德赛电池</t>
  </si>
  <si>
    <t>www.lixinger.com/analytics/company/sz/000049/49/detail</t>
  </si>
  <si>
    <t>深天马Ａ</t>
  </si>
  <si>
    <t>www.lixinger.com/analytics/company/sz/000050/50/detail</t>
  </si>
  <si>
    <t>方大集团</t>
  </si>
  <si>
    <t>www.lixinger.com/analytics/company/sz/000055/55/detail</t>
  </si>
  <si>
    <t>皇庭国际</t>
  </si>
  <si>
    <t>www.lixinger.com/analytics/company/sz/000056/56/detail</t>
  </si>
  <si>
    <t>深赛格</t>
  </si>
  <si>
    <t>www.lixinger.com/analytics/company/sz/000058/58/detail</t>
  </si>
  <si>
    <t>华锦股份</t>
  </si>
  <si>
    <t>www.lixinger.com/analytics/company/sz/000059/59/detail</t>
  </si>
  <si>
    <t>中金岭南</t>
  </si>
  <si>
    <t>www.lixinger.com/analytics/company/sz/000060/60/detail</t>
  </si>
  <si>
    <t>农产品</t>
  </si>
  <si>
    <t>www.lixinger.com/analytics/company/sz/000061/61/detail</t>
  </si>
  <si>
    <t>深圳华强</t>
  </si>
  <si>
    <t>www.lixinger.com/analytics/company/sz/000062/62/detail</t>
  </si>
  <si>
    <t>中兴通讯</t>
  </si>
  <si>
    <t>www.lixinger.com/analytics/company/sz/000063/63/detail</t>
  </si>
  <si>
    <t>北方国际</t>
  </si>
  <si>
    <t>www.lixinger.com/analytics/company/sz/000065/65/detail</t>
  </si>
  <si>
    <t>中国长城</t>
  </si>
  <si>
    <t>www.lixinger.com/analytics/company/sz/000066/66/detail</t>
  </si>
  <si>
    <t>华控赛格</t>
  </si>
  <si>
    <t>www.lixinger.com/analytics/company/sz/000068/68/detail</t>
  </si>
  <si>
    <t>华侨城Ａ</t>
  </si>
  <si>
    <t>www.lixinger.com/analytics/company/sz/000069/69/detail</t>
  </si>
  <si>
    <t>特发信息</t>
  </si>
  <si>
    <t>www.lixinger.com/analytics/company/sz/000070/70/detail</t>
  </si>
  <si>
    <t>海王生物</t>
  </si>
  <si>
    <t>www.lixinger.com/analytics/company/sz/000078/78/detail</t>
  </si>
  <si>
    <t>盐田港</t>
  </si>
  <si>
    <t>www.lixinger.com/analytics/company/sz/000088/88/detail</t>
  </si>
  <si>
    <t>深圳机场</t>
  </si>
  <si>
    <t>www.lixinger.com/analytics/company/sz/000089/89/detail</t>
  </si>
  <si>
    <t>天健集团</t>
  </si>
  <si>
    <t>www.lixinger.com/analytics/company/sz/000090/90/detail</t>
  </si>
  <si>
    <t>广聚能源</t>
  </si>
  <si>
    <t>www.lixinger.com/analytics/company/sz/000096/96/detail</t>
  </si>
  <si>
    <t>中信海直</t>
  </si>
  <si>
    <t>www.lixinger.com/analytics/company/sz/000099/99/detail</t>
  </si>
  <si>
    <t>TCL科技</t>
  </si>
  <si>
    <t>www.lixinger.com/analytics/company/sz/000100/100/detail</t>
  </si>
  <si>
    <t>宜华健康</t>
  </si>
  <si>
    <t>www.lixinger.com/analytics/company/sz/000150/150/detail</t>
  </si>
  <si>
    <t>中成股份</t>
  </si>
  <si>
    <t>www.lixinger.com/analytics/company/sz/000151/151/detail</t>
  </si>
  <si>
    <t>丰原药业</t>
  </si>
  <si>
    <t>www.lixinger.com/analytics/company/sz/000153/153/detail</t>
  </si>
  <si>
    <t>川能动力</t>
  </si>
  <si>
    <t>www.lixinger.com/analytics/company/sz/000155/155/detail</t>
  </si>
  <si>
    <t>华数传媒</t>
  </si>
  <si>
    <t>www.lixinger.com/analytics/company/sz/000156/156/detail</t>
  </si>
  <si>
    <t>中联重科</t>
  </si>
  <si>
    <t>www.lixinger.com/analytics/company/sz/000157/157/detail</t>
  </si>
  <si>
    <t>常山北明</t>
  </si>
  <si>
    <t>www.lixinger.com/analytics/company/sz/000158/158/detail</t>
  </si>
  <si>
    <t>国际实业</t>
  </si>
  <si>
    <t>www.lixinger.com/analytics/company/sz/000159/159/detail</t>
  </si>
  <si>
    <t>申万宏源</t>
  </si>
  <si>
    <t>www.lixinger.com/analytics/company/sz/000166/166/detail</t>
  </si>
  <si>
    <t>东方盛虹</t>
  </si>
  <si>
    <t>www.lixinger.com/analytics/company/sz/000301/301/detail</t>
  </si>
  <si>
    <t>美的集团</t>
  </si>
  <si>
    <t>www.lixinger.com/analytics/company/sz/000333/333/detail</t>
  </si>
  <si>
    <t>潍柴动力</t>
  </si>
  <si>
    <t>www.lixinger.com/analytics/company/sz/000338/338/detail</t>
  </si>
  <si>
    <t>许继电气</t>
  </si>
  <si>
    <t>www.lixinger.com/analytics/company/sz/000400/400/detail</t>
  </si>
  <si>
    <t>冀东水泥</t>
  </si>
  <si>
    <t>www.lixinger.com/analytics/company/sz/000401/401/detail</t>
  </si>
  <si>
    <t>金融街</t>
  </si>
  <si>
    <t>www.lixinger.com/analytics/company/sz/000402/402/detail</t>
  </si>
  <si>
    <t>派林生物</t>
  </si>
  <si>
    <t>www.lixinger.com/analytics/company/sz/000403/403/detail</t>
  </si>
  <si>
    <t>长虹华意</t>
  </si>
  <si>
    <t>www.lixinger.com/analytics/company/sz/000404/404/detail</t>
  </si>
  <si>
    <t>ST鑫光</t>
  </si>
  <si>
    <t>www.lixinger.com/analytics/company/sz/000405/405/detail</t>
  </si>
  <si>
    <t>胜利股份</t>
  </si>
  <si>
    <t>www.lixinger.com/analytics/company/sz/000407/407/detail</t>
  </si>
  <si>
    <t>藏格矿业</t>
  </si>
  <si>
    <t>www.lixinger.com/analytics/company/sz/000408/408/detail</t>
  </si>
  <si>
    <t>云鼎科技</t>
  </si>
  <si>
    <t>www.lixinger.com/analytics/company/sz/000409/409/detail</t>
  </si>
  <si>
    <t>*ST沈机</t>
  </si>
  <si>
    <t>www.lixinger.com/analytics/company/sz/000410/410/detail</t>
  </si>
  <si>
    <t>英特集团</t>
  </si>
  <si>
    <t>www.lixinger.com/analytics/company/sz/000411/411/detail</t>
  </si>
  <si>
    <t>东旭光电</t>
  </si>
  <si>
    <t>www.lixinger.com/analytics/company/sz/000413/413/detail</t>
  </si>
  <si>
    <t>渤海租赁</t>
  </si>
  <si>
    <t>www.lixinger.com/analytics/company/sz/000415/415/detail</t>
  </si>
  <si>
    <t>民生控股</t>
  </si>
  <si>
    <t>www.lixinger.com/analytics/company/sz/000416/416/detail</t>
  </si>
  <si>
    <t>合肥百货</t>
  </si>
  <si>
    <t>www.lixinger.com/analytics/company/sz/000417/417/detail</t>
  </si>
  <si>
    <t>小天鹅Ａ</t>
  </si>
  <si>
    <t>www.lixinger.com/analytics/company/sz/000418/418/detail</t>
  </si>
  <si>
    <t>通程控股</t>
  </si>
  <si>
    <t>www.lixinger.com/analytics/company/sz/000419/419/detail</t>
  </si>
  <si>
    <t>吉林化纤</t>
  </si>
  <si>
    <t>www.lixinger.com/analytics/company/sz/000420/420/detail</t>
  </si>
  <si>
    <t>南京公用</t>
  </si>
  <si>
    <t>www.lixinger.com/analytics/company/sz/000421/421/detail</t>
  </si>
  <si>
    <t>湖北宜化</t>
  </si>
  <si>
    <t>www.lixinger.com/analytics/company/sz/000422/422/detail</t>
  </si>
  <si>
    <t>东阿阿胶</t>
  </si>
  <si>
    <t>www.lixinger.com/analytics/company/sz/000423/423/detail</t>
  </si>
  <si>
    <t>徐工机械</t>
  </si>
  <si>
    <t>www.lixinger.com/analytics/company/sz/000425/425/detail</t>
  </si>
  <si>
    <t>兴业矿业</t>
  </si>
  <si>
    <t>www.lixinger.com/analytics/company/sz/000426/426/detail</t>
  </si>
  <si>
    <t>华天酒店</t>
  </si>
  <si>
    <t>www.lixinger.com/analytics/company/sz/000428/428/detail</t>
  </si>
  <si>
    <t>粤高速Ａ</t>
  </si>
  <si>
    <t>www.lixinger.com/analytics/company/sz/000429/429/detail</t>
  </si>
  <si>
    <t>张家界</t>
  </si>
  <si>
    <t>www.lixinger.com/analytics/company/sz/000430/430/detail</t>
  </si>
  <si>
    <t>晨鸣纸业</t>
  </si>
  <si>
    <t>www.lixinger.com/analytics/company/sz/000488/488/detail</t>
  </si>
  <si>
    <t>山东路桥</t>
  </si>
  <si>
    <t>www.lixinger.com/analytics/company/sz/000498/498/detail</t>
  </si>
  <si>
    <t>武商集团</t>
  </si>
  <si>
    <t>www.lixinger.com/analytics/company/sz/000501/501/detail</t>
  </si>
  <si>
    <t>*ST绿景</t>
  </si>
  <si>
    <t>www.lixinger.com/analytics/company/sz/000502/502/detail</t>
  </si>
  <si>
    <t>国新健康</t>
  </si>
  <si>
    <t>www.lixinger.com/analytics/company/sz/000503/503/detail</t>
  </si>
  <si>
    <t>南华生物</t>
  </si>
  <si>
    <t>www.lixinger.com/analytics/company/sz/000504/504/detail</t>
  </si>
  <si>
    <t>京粮控股</t>
  </si>
  <si>
    <t>www.lixinger.com/analytics/company/sz/000505/505/detail</t>
  </si>
  <si>
    <t>中润资源</t>
  </si>
  <si>
    <t>www.lixinger.com/analytics/company/sz/000506/506/detail</t>
  </si>
  <si>
    <t>珠海港</t>
  </si>
  <si>
    <t>www.lixinger.com/analytics/company/sz/000507/507/detail</t>
  </si>
  <si>
    <t>*ST华塑</t>
  </si>
  <si>
    <t>www.lixinger.com/analytics/company/sz/000509/509/detail</t>
  </si>
  <si>
    <t>新金路</t>
  </si>
  <si>
    <t>www.lixinger.com/analytics/company/sz/000510/510/detail</t>
  </si>
  <si>
    <t>烯碳退</t>
  </si>
  <si>
    <t>www.lixinger.com/analytics/company/sz/000511/511/detail</t>
  </si>
  <si>
    <t>丽珠集团</t>
  </si>
  <si>
    <t>www.lixinger.com/analytics/company/sz/000513/513/detail</t>
  </si>
  <si>
    <t>渝开发</t>
  </si>
  <si>
    <t>www.lixinger.com/analytics/company/sz/000514/514/detail</t>
  </si>
  <si>
    <t>国际医学</t>
  </si>
  <si>
    <t>www.lixinger.com/analytics/company/sz/000516/516/detail</t>
  </si>
  <si>
    <t>荣安地产</t>
  </si>
  <si>
    <t>www.lixinger.com/analytics/company/sz/000517/517/detail</t>
  </si>
  <si>
    <t>四环生物</t>
  </si>
  <si>
    <t>www.lixinger.com/analytics/company/sz/000518/518/detail</t>
  </si>
  <si>
    <t>中兵红箭</t>
  </si>
  <si>
    <t>www.lixinger.com/analytics/company/sz/000519/519/detail</t>
  </si>
  <si>
    <t>长航凤凰</t>
  </si>
  <si>
    <t>www.lixinger.com/analytics/company/sz/000520/520/detail</t>
  </si>
  <si>
    <t>长虹美菱</t>
  </si>
  <si>
    <t>www.lixinger.com/analytics/company/sz/000521/521/detail</t>
  </si>
  <si>
    <t>白云山Ａ</t>
  </si>
  <si>
    <t>www.lixinger.com/analytics/company/sz/000522/522/detail</t>
  </si>
  <si>
    <t>*ST浪奇</t>
  </si>
  <si>
    <t>www.lixinger.com/analytics/company/sz/000523/523/detail</t>
  </si>
  <si>
    <t>岭南控股</t>
  </si>
  <si>
    <t>www.lixinger.com/analytics/company/sz/000524/524/detail</t>
  </si>
  <si>
    <t>ST红太阳</t>
  </si>
  <si>
    <t>www.lixinger.com/analytics/company/sz/000525/525/detail</t>
  </si>
  <si>
    <t>学大教育</t>
  </si>
  <si>
    <t>www.lixinger.com/analytics/company/sz/000526/526/detail</t>
  </si>
  <si>
    <t>美的电器</t>
  </si>
  <si>
    <t>www.lixinger.com/analytics/company/sz/000527/527/detail</t>
  </si>
  <si>
    <t>柳工</t>
  </si>
  <si>
    <t>www.lixinger.com/analytics/company/sz/000528/528/detail</t>
  </si>
  <si>
    <t>广弘控股</t>
  </si>
  <si>
    <t>www.lixinger.com/analytics/company/sz/000529/529/detail</t>
  </si>
  <si>
    <t>冰山冷热</t>
  </si>
  <si>
    <t>www.lixinger.com/analytics/company/sz/000530/530/detail</t>
  </si>
  <si>
    <t>穗恒运Ａ</t>
  </si>
  <si>
    <t>www.lixinger.com/analytics/company/sz/000531/531/detail</t>
  </si>
  <si>
    <t>华金资本</t>
  </si>
  <si>
    <t>www.lixinger.com/analytics/company/sz/000532/532/detail</t>
  </si>
  <si>
    <t>顺钠股份</t>
  </si>
  <si>
    <t>www.lixinger.com/analytics/company/sz/000533/533/detail</t>
  </si>
  <si>
    <t>万泽股份</t>
  </si>
  <si>
    <t>www.lixinger.com/analytics/company/sz/000534/534/detail</t>
  </si>
  <si>
    <t>华映科技</t>
  </si>
  <si>
    <t>www.lixinger.com/analytics/company/sz/000536/536/detail</t>
  </si>
  <si>
    <t>广宇发展</t>
  </si>
  <si>
    <t>www.lixinger.com/analytics/company/sz/000537/537/detail</t>
  </si>
  <si>
    <t>云南白药</t>
  </si>
  <si>
    <t>www.lixinger.com/analytics/company/sz/000538/538/detail</t>
  </si>
  <si>
    <t>粤电力Ａ</t>
  </si>
  <si>
    <t>www.lixinger.com/analytics/company/sz/000539/539/detail</t>
  </si>
  <si>
    <t>中天金融</t>
  </si>
  <si>
    <t>www.lixinger.com/analytics/company/sz/000540/540/detail</t>
  </si>
  <si>
    <t>佛山照明</t>
  </si>
  <si>
    <t>www.lixinger.com/analytics/company/sz/000541/541/detail</t>
  </si>
  <si>
    <t>皖能电力</t>
  </si>
  <si>
    <t>www.lixinger.com/analytics/company/sz/000543/543/detail</t>
  </si>
  <si>
    <t>中原环保</t>
  </si>
  <si>
    <t>www.lixinger.com/analytics/company/sz/000544/544/detail</t>
  </si>
  <si>
    <t>金浦钛业</t>
  </si>
  <si>
    <t>www.lixinger.com/analytics/company/sz/000545/545/detail</t>
  </si>
  <si>
    <t>金圆股份</t>
  </si>
  <si>
    <t>www.lixinger.com/analytics/company/sz/000546/546/detail</t>
  </si>
  <si>
    <t>航天发展</t>
  </si>
  <si>
    <t>www.lixinger.com/analytics/company/sz/000547/547/detail</t>
  </si>
  <si>
    <t>湖南投资</t>
  </si>
  <si>
    <t>www.lixinger.com/analytics/company/sz/000548/548/detail</t>
  </si>
  <si>
    <t>江铃汽车</t>
  </si>
  <si>
    <t>www.lixinger.com/analytics/company/sz/000550/550/detail</t>
  </si>
  <si>
    <t>创元科技</t>
  </si>
  <si>
    <t>www.lixinger.com/analytics/company/sz/000551/551/detail</t>
  </si>
  <si>
    <t>靖远煤电</t>
  </si>
  <si>
    <t>www.lixinger.com/analytics/company/sz/000552/552/detail</t>
  </si>
  <si>
    <t>安道麦A</t>
  </si>
  <si>
    <t>www.lixinger.com/analytics/company/sz/000553/553/detail</t>
  </si>
  <si>
    <t>泰山石油</t>
  </si>
  <si>
    <t>www.lixinger.com/analytics/company/sz/000554/554/detail</t>
  </si>
  <si>
    <t>神州信息</t>
  </si>
  <si>
    <t>www.lixinger.com/analytics/company/sz/000555/555/detail</t>
  </si>
  <si>
    <t>PT南洋</t>
  </si>
  <si>
    <t>www.lixinger.com/analytics/company/sz/000556/556/detail</t>
  </si>
  <si>
    <t>西部创业</t>
  </si>
  <si>
    <t>www.lixinger.com/analytics/company/sz/000557/557/detail</t>
  </si>
  <si>
    <t>莱茵体育</t>
  </si>
  <si>
    <t>www.lixinger.com/analytics/company/sz/000558/558/detail</t>
  </si>
  <si>
    <t>万向钱潮</t>
  </si>
  <si>
    <t>www.lixinger.com/analytics/company/sz/000559/559/detail</t>
  </si>
  <si>
    <t>我爱我家</t>
  </si>
  <si>
    <t>房产租赁经纪</t>
  </si>
  <si>
    <t>www.lixinger.com/analytics/company/sz/000560/560/detail</t>
  </si>
  <si>
    <t>烽火电子</t>
  </si>
  <si>
    <t>www.lixinger.com/analytics/company/sz/000561/561/detail</t>
  </si>
  <si>
    <t>宏源证券</t>
  </si>
  <si>
    <t>www.lixinger.com/analytics/company/sz/000562/562/detail</t>
  </si>
  <si>
    <t>陕国投Ａ</t>
  </si>
  <si>
    <t>www.lixinger.com/analytics/company/sz/000563/563/detail</t>
  </si>
  <si>
    <t>*ST大集</t>
  </si>
  <si>
    <t>www.lixinger.com/analytics/company/sz/000564/564/detail</t>
  </si>
  <si>
    <t>渝三峡Ａ</t>
  </si>
  <si>
    <t>www.lixinger.com/analytics/company/sz/000565/565/detail</t>
  </si>
  <si>
    <t>海南海药</t>
  </si>
  <si>
    <t>www.lixinger.com/analytics/company/sz/000566/566/detail</t>
  </si>
  <si>
    <t>海德股份</t>
  </si>
  <si>
    <t>www.lixinger.com/analytics/company/sz/000567/567/detail</t>
  </si>
  <si>
    <t>泸州老窖</t>
  </si>
  <si>
    <t>www.lixinger.com/analytics/company/sz/000568/568/detail</t>
  </si>
  <si>
    <t>苏常柴Ａ</t>
  </si>
  <si>
    <t>www.lixinger.com/analytics/company/sz/000570/570/detail</t>
  </si>
  <si>
    <t>ST大洲</t>
  </si>
  <si>
    <t>www.lixinger.com/analytics/company/sz/000571/571/detail</t>
  </si>
  <si>
    <t>海马汽车</t>
  </si>
  <si>
    <t>www.lixinger.com/analytics/company/sz/000572/572/detail</t>
  </si>
  <si>
    <t>粤宏远Ａ</t>
  </si>
  <si>
    <t>www.lixinger.com/analytics/company/sz/000573/573/detail</t>
  </si>
  <si>
    <t>甘化科工</t>
  </si>
  <si>
    <t>www.lixinger.com/analytics/company/sz/000576/576/detail</t>
  </si>
  <si>
    <t>盐湖集团</t>
  </si>
  <si>
    <t>www.lixinger.com/analytics/company/sz/000578/578/detail</t>
  </si>
  <si>
    <t>威孚高科</t>
  </si>
  <si>
    <t>www.lixinger.com/analytics/company/sz/000581/581/detail</t>
  </si>
  <si>
    <t>北部湾港</t>
  </si>
  <si>
    <t>www.lixinger.com/analytics/company/sz/000582/582/detail</t>
  </si>
  <si>
    <t>S*ST托普</t>
  </si>
  <si>
    <t>www.lixinger.com/analytics/company/sz/000583/583/detail</t>
  </si>
  <si>
    <t>哈工智能</t>
  </si>
  <si>
    <t>www.lixinger.com/analytics/company/sz/000584/584/detail</t>
  </si>
  <si>
    <t>东电退</t>
  </si>
  <si>
    <t>www.lixinger.com/analytics/company/sz/000585/585/detail</t>
  </si>
  <si>
    <t>汇源通信</t>
  </si>
  <si>
    <t>www.lixinger.com/analytics/company/sz/000586/586/detail</t>
  </si>
  <si>
    <t>*ST金洲</t>
  </si>
  <si>
    <t>www.lixinger.com/analytics/company/sz/000587/587/detail</t>
  </si>
  <si>
    <t>PT粤金曼</t>
  </si>
  <si>
    <t>www.lixinger.com/analytics/company/sz/000588/588/detail</t>
  </si>
  <si>
    <t>贵州轮胎</t>
  </si>
  <si>
    <t>www.lixinger.com/analytics/company/sz/000589/589/detail</t>
  </si>
  <si>
    <t>启迪药业</t>
  </si>
  <si>
    <t>www.lixinger.com/analytics/company/sz/000590/590/detail</t>
  </si>
  <si>
    <t>太阳能</t>
  </si>
  <si>
    <t>www.lixinger.com/analytics/company/sz/000591/591/detail</t>
  </si>
  <si>
    <t>平潭发展</t>
  </si>
  <si>
    <t>www.lixinger.com/analytics/company/sz/000592/592/detail</t>
  </si>
  <si>
    <t>德龙汇能</t>
  </si>
  <si>
    <t>www.lixinger.com/analytics/company/sz/000593/593/detail</t>
  </si>
  <si>
    <t>国恒退</t>
  </si>
  <si>
    <t>www.lixinger.com/analytics/company/sz/000594/594/detail</t>
  </si>
  <si>
    <t>宝塔实业</t>
  </si>
  <si>
    <t>www.lixinger.com/analytics/company/sz/000595/595/detail</t>
  </si>
  <si>
    <t>古井贡酒</t>
  </si>
  <si>
    <t>www.lixinger.com/analytics/company/sz/000596/596/detail</t>
  </si>
  <si>
    <t>东北制药</t>
  </si>
  <si>
    <t>www.lixinger.com/analytics/company/sz/000597/597/detail</t>
  </si>
  <si>
    <t>兴蓉环境</t>
  </si>
  <si>
    <t>www.lixinger.com/analytics/company/sz/000598/598/detail</t>
  </si>
  <si>
    <t>青岛双星</t>
  </si>
  <si>
    <t>www.lixinger.com/analytics/company/sz/000599/599/detail</t>
  </si>
  <si>
    <t>建投能源</t>
  </si>
  <si>
    <t>www.lixinger.com/analytics/company/sz/000600/600/detail</t>
  </si>
  <si>
    <t>韶能股份</t>
  </si>
  <si>
    <t>www.lixinger.com/analytics/company/sz/000601/601/detail</t>
  </si>
  <si>
    <t>金马集团</t>
  </si>
  <si>
    <t>www.lixinger.com/analytics/company/sz/000602/602/detail</t>
  </si>
  <si>
    <t>盛达资源</t>
  </si>
  <si>
    <t>www.lixinger.com/analytics/company/sz/000603/603/detail</t>
  </si>
  <si>
    <t>渤海股份</t>
  </si>
  <si>
    <t>www.lixinger.com/analytics/company/sz/000605/605/detail</t>
  </si>
  <si>
    <t>ST顺利</t>
  </si>
  <si>
    <t>www.lixinger.com/analytics/company/sz/000606/606/detail</t>
  </si>
  <si>
    <t>华媒控股</t>
  </si>
  <si>
    <t>广告媒体</t>
  </si>
  <si>
    <t>www.lixinger.com/analytics/company/sz/000607/607/detail</t>
  </si>
  <si>
    <t>阳光股份</t>
  </si>
  <si>
    <t>www.lixinger.com/analytics/company/sz/000608/608/detail</t>
  </si>
  <si>
    <t>*ST中迪</t>
  </si>
  <si>
    <t>www.lixinger.com/analytics/company/sz/000609/609/detail</t>
  </si>
  <si>
    <t>西安旅游</t>
  </si>
  <si>
    <t>www.lixinger.com/analytics/company/sz/000610/610/detail</t>
  </si>
  <si>
    <t>*ST天首</t>
  </si>
  <si>
    <t>www.lixinger.com/analytics/company/sz/000611/611/detail</t>
  </si>
  <si>
    <t>焦作万方</t>
  </si>
  <si>
    <t>www.lixinger.com/analytics/company/sz/000612/612/detail</t>
  </si>
  <si>
    <t>*ST东海A</t>
  </si>
  <si>
    <t>www.lixinger.com/analytics/company/sz/000613/613/detail</t>
  </si>
  <si>
    <t>奥园美谷</t>
  </si>
  <si>
    <t>医美服务</t>
  </si>
  <si>
    <t>www.lixinger.com/analytics/company/sz/000615/615/detail</t>
  </si>
  <si>
    <t>ST海投</t>
  </si>
  <si>
    <t>www.lixinger.com/analytics/company/sz/000616/616/detail</t>
  </si>
  <si>
    <t>中油资本</t>
  </si>
  <si>
    <t>www.lixinger.com/analytics/company/sz/000617/617/detail</t>
  </si>
  <si>
    <t>海螺新材</t>
  </si>
  <si>
    <t>www.lixinger.com/analytics/company/sz/000619/619/detail</t>
  </si>
  <si>
    <t>新华联</t>
  </si>
  <si>
    <t>www.lixinger.com/analytics/company/sz/000620/620/detail</t>
  </si>
  <si>
    <t>恒立实业</t>
  </si>
  <si>
    <t>www.lixinger.com/analytics/company/sz/000622/622/detail</t>
  </si>
  <si>
    <t>吉林敖东</t>
  </si>
  <si>
    <t>www.lixinger.com/analytics/company/sz/000623/623/detail</t>
  </si>
  <si>
    <t>长安汽车</t>
  </si>
  <si>
    <t>www.lixinger.com/analytics/company/sz/000625/625/detail</t>
  </si>
  <si>
    <t>远大控股</t>
  </si>
  <si>
    <t>www.lixinger.com/analytics/company/sz/000626/626/detail</t>
  </si>
  <si>
    <t>天茂集团</t>
  </si>
  <si>
    <t>www.lixinger.com/analytics/company/sz/000627/627/detail</t>
  </si>
  <si>
    <t>高新发展</t>
  </si>
  <si>
    <t>www.lixinger.com/analytics/company/sz/000628/628/detail</t>
  </si>
  <si>
    <t>攀钢钒钛</t>
  </si>
  <si>
    <t>www.lixinger.com/analytics/company/sz/000629/629/detail</t>
  </si>
  <si>
    <t>铜陵有色</t>
  </si>
  <si>
    <t>www.lixinger.com/analytics/company/sz/000630/630/detail</t>
  </si>
  <si>
    <t>顺发恒业</t>
  </si>
  <si>
    <t>www.lixinger.com/analytics/company/sz/000631/631/detail</t>
  </si>
  <si>
    <t>三木集团</t>
  </si>
  <si>
    <t>www.lixinger.com/analytics/company/sz/000632/632/detail</t>
  </si>
  <si>
    <t>合金投资</t>
  </si>
  <si>
    <t>www.lixinger.com/analytics/company/sz/000633/633/detail</t>
  </si>
  <si>
    <t>英力特</t>
  </si>
  <si>
    <t>www.lixinger.com/analytics/company/sz/000635/635/detail</t>
  </si>
  <si>
    <t>风华高科</t>
  </si>
  <si>
    <t>www.lixinger.com/analytics/company/sz/000636/636/detail</t>
  </si>
  <si>
    <t>茂化实华</t>
  </si>
  <si>
    <t>www.lixinger.com/analytics/company/sz/000637/637/detail</t>
  </si>
  <si>
    <t>*ST万方</t>
  </si>
  <si>
    <t>www.lixinger.com/analytics/company/sz/000638/638/detail</t>
  </si>
  <si>
    <t>西王食品</t>
  </si>
  <si>
    <t>www.lixinger.com/analytics/company/sz/000639/639/detail</t>
  </si>
  <si>
    <t>仁和药业</t>
  </si>
  <si>
    <t>www.lixinger.com/analytics/company/sz/000650/650/detail</t>
  </si>
  <si>
    <t>格力电器</t>
  </si>
  <si>
    <t>www.lixinger.com/analytics/company/sz/000651/651/detail</t>
  </si>
  <si>
    <t>泰达股份</t>
  </si>
  <si>
    <t>www.lixinger.com/analytics/company/sz/000652/652/detail</t>
  </si>
  <si>
    <t>金岭矿业</t>
  </si>
  <si>
    <t>www.lixinger.com/analytics/company/sz/000655/655/detail</t>
  </si>
  <si>
    <t>金科股份</t>
  </si>
  <si>
    <t>www.lixinger.com/analytics/company/sz/000656/656/detail</t>
  </si>
  <si>
    <t>中钨高新</t>
  </si>
  <si>
    <t>www.lixinger.com/analytics/company/sz/000657/657/detail</t>
  </si>
  <si>
    <t>ST海洋</t>
  </si>
  <si>
    <t>www.lixinger.com/analytics/company/sz/000658/658/detail</t>
  </si>
  <si>
    <t>珠海中富</t>
  </si>
  <si>
    <t>www.lixinger.com/analytics/company/sz/000659/659/detail</t>
  </si>
  <si>
    <t>*ST南华</t>
  </si>
  <si>
    <t>www.lixinger.com/analytics/company/sz/000660/660/detail</t>
  </si>
  <si>
    <t>长春高新</t>
  </si>
  <si>
    <t>www.lixinger.com/analytics/company/sz/000661/661/detail</t>
  </si>
  <si>
    <t>天夏退</t>
  </si>
  <si>
    <t>www.lixinger.com/analytics/company/sz/000662/662/detail</t>
  </si>
  <si>
    <t>永安林业</t>
  </si>
  <si>
    <t>www.lixinger.com/analytics/company/sz/000663/663/detail</t>
  </si>
  <si>
    <t>湖北广电</t>
  </si>
  <si>
    <t>www.lixinger.com/analytics/company/sz/000665/665/detail</t>
  </si>
  <si>
    <t>经纬纺机</t>
  </si>
  <si>
    <t>www.lixinger.com/analytics/company/sz/000666/666/detail</t>
  </si>
  <si>
    <t>美好置业</t>
  </si>
  <si>
    <t>www.lixinger.com/analytics/company/sz/000667/667/detail</t>
  </si>
  <si>
    <t>荣丰控股</t>
  </si>
  <si>
    <t>www.lixinger.com/analytics/company/sz/000668/668/detail</t>
  </si>
  <si>
    <t>ST金鸿</t>
  </si>
  <si>
    <t>www.lixinger.com/analytics/company/sz/000669/669/detail</t>
  </si>
  <si>
    <t>*ST盈方</t>
  </si>
  <si>
    <t>www.lixinger.com/analytics/company/sz/000670/670/detail</t>
  </si>
  <si>
    <t>阳光城</t>
  </si>
  <si>
    <t>www.lixinger.com/analytics/company/sz/000671/671/detail</t>
  </si>
  <si>
    <t>上峰水泥</t>
  </si>
  <si>
    <t>www.lixinger.com/analytics/company/sz/000672/672/detail</t>
  </si>
  <si>
    <t>*ST当代</t>
  </si>
  <si>
    <t>www.lixinger.com/analytics/company/sz/000673/673/detail</t>
  </si>
  <si>
    <t>ST银山</t>
  </si>
  <si>
    <t>www.lixinger.com/analytics/company/sz/000675/675/detail</t>
  </si>
  <si>
    <t>智度股份</t>
  </si>
  <si>
    <t>www.lixinger.com/analytics/company/sz/000676/676/detail</t>
  </si>
  <si>
    <t>恒天海龙</t>
  </si>
  <si>
    <t>www.lixinger.com/analytics/company/sz/000677/677/detail</t>
  </si>
  <si>
    <t>襄阳轴承</t>
  </si>
  <si>
    <t>www.lixinger.com/analytics/company/sz/000678/678/detail</t>
  </si>
  <si>
    <t>大连友谊</t>
  </si>
  <si>
    <t>www.lixinger.com/analytics/company/sz/000679/679/detail</t>
  </si>
  <si>
    <t>山推股份</t>
  </si>
  <si>
    <t>www.lixinger.com/analytics/company/sz/000680/680/detail</t>
  </si>
  <si>
    <t>视觉中国</t>
  </si>
  <si>
    <t>图片媒体</t>
  </si>
  <si>
    <t>www.lixinger.com/analytics/company/sz/000681/681/detail</t>
  </si>
  <si>
    <t>东方电子</t>
  </si>
  <si>
    <t>www.lixinger.com/analytics/company/sz/000682/682/detail</t>
  </si>
  <si>
    <t>远兴能源</t>
  </si>
  <si>
    <t>www.lixinger.com/analytics/company/sz/000683/683/detail</t>
  </si>
  <si>
    <t>中山公用</t>
  </si>
  <si>
    <t>www.lixinger.com/analytics/company/sz/000685/685/detail</t>
  </si>
  <si>
    <t>东北证券</t>
  </si>
  <si>
    <t>www.lixinger.com/analytics/company/sz/000686/686/detail</t>
  </si>
  <si>
    <t>*ST华讯</t>
  </si>
  <si>
    <t>www.lixinger.com/analytics/company/sz/000687/687/detail</t>
  </si>
  <si>
    <t>国城矿业</t>
  </si>
  <si>
    <t>www.lixinger.com/analytics/company/sz/000688/688/detail</t>
  </si>
  <si>
    <t>ST宏业</t>
  </si>
  <si>
    <t>www.lixinger.com/analytics/company/sz/000689/689/detail</t>
  </si>
  <si>
    <t>宝新能源</t>
  </si>
  <si>
    <t>www.lixinger.com/analytics/company/sz/000690/690/detail</t>
  </si>
  <si>
    <t>亚太实业</t>
  </si>
  <si>
    <t>www.lixinger.com/analytics/company/sz/000691/691/detail</t>
  </si>
  <si>
    <t>惠天热电</t>
  </si>
  <si>
    <t>www.lixinger.com/analytics/company/sz/000692/692/detail</t>
  </si>
  <si>
    <t>华泽退</t>
  </si>
  <si>
    <t>www.lixinger.com/analytics/company/sz/000693/693/detail</t>
  </si>
  <si>
    <t>滨海能源</t>
  </si>
  <si>
    <t>www.lixinger.com/analytics/company/sz/000695/695/detail</t>
  </si>
  <si>
    <t>炼石航空</t>
  </si>
  <si>
    <t>www.lixinger.com/analytics/company/sz/000697/697/detail</t>
  </si>
  <si>
    <t>沈阳化工</t>
  </si>
  <si>
    <t>www.lixinger.com/analytics/company/sz/000698/698/detail</t>
  </si>
  <si>
    <t>S*ST佳纸</t>
  </si>
  <si>
    <t>www.lixinger.com/analytics/company/sz/000699/699/detail</t>
  </si>
  <si>
    <t>模塑科技</t>
  </si>
  <si>
    <t>www.lixinger.com/analytics/company/sz/000700/700/detail</t>
  </si>
  <si>
    <t>厦门信达</t>
  </si>
  <si>
    <t>www.lixinger.com/analytics/company/sz/000701/701/detail</t>
  </si>
  <si>
    <t>正虹科技</t>
  </si>
  <si>
    <t>www.lixinger.com/analytics/company/sz/000702/702/detail</t>
  </si>
  <si>
    <t>恒逸石化</t>
  </si>
  <si>
    <t>www.lixinger.com/analytics/company/sz/000703/703/detail</t>
  </si>
  <si>
    <t>浙江震元</t>
  </si>
  <si>
    <t>www.lixinger.com/analytics/company/sz/000705/705/detail</t>
  </si>
  <si>
    <t>双环科技</t>
  </si>
  <si>
    <t>www.lixinger.com/analytics/company/sz/000707/707/detail</t>
  </si>
  <si>
    <t>中信特钢</t>
  </si>
  <si>
    <t>www.lixinger.com/analytics/company/sz/000708/708/detail</t>
  </si>
  <si>
    <t>河钢股份</t>
  </si>
  <si>
    <t>www.lixinger.com/analytics/company/sz/000709/709/detail</t>
  </si>
  <si>
    <t>贝瑞基因</t>
  </si>
  <si>
    <t>www.lixinger.com/analytics/company/sz/000710/710/detail</t>
  </si>
  <si>
    <t>京蓝科技</t>
  </si>
  <si>
    <t>www.lixinger.com/analytics/company/sz/000711/711/detail</t>
  </si>
  <si>
    <t>锦龙股份</t>
  </si>
  <si>
    <t>www.lixinger.com/analytics/company/sz/000712/712/detail</t>
  </si>
  <si>
    <t>丰乐种业</t>
  </si>
  <si>
    <t>www.lixinger.com/analytics/company/sz/000713/713/detail</t>
  </si>
  <si>
    <t>中兴商业</t>
  </si>
  <si>
    <t>www.lixinger.com/analytics/company/sz/000715/715/detail</t>
  </si>
  <si>
    <t>黑芝麻</t>
  </si>
  <si>
    <t>www.lixinger.com/analytics/company/sz/000716/716/detail</t>
  </si>
  <si>
    <t>韶钢松山</t>
  </si>
  <si>
    <t>www.lixinger.com/analytics/company/sz/000717/717/detail</t>
  </si>
  <si>
    <t>苏宁环球</t>
  </si>
  <si>
    <t>www.lixinger.com/analytics/company/sz/000718/718/detail</t>
  </si>
  <si>
    <t>中原传媒</t>
  </si>
  <si>
    <t>www.lixinger.com/analytics/company/sz/000719/719/detail</t>
  </si>
  <si>
    <t>新能泰山</t>
  </si>
  <si>
    <t>www.lixinger.com/analytics/company/sz/000720/720/detail</t>
  </si>
  <si>
    <t>西安饮食</t>
  </si>
  <si>
    <t>www.lixinger.com/analytics/company/sz/000721/721/detail</t>
  </si>
  <si>
    <t>湖南发展</t>
  </si>
  <si>
    <t>www.lixinger.com/analytics/company/sz/000722/722/detail</t>
  </si>
  <si>
    <t>美锦能源</t>
  </si>
  <si>
    <t>www.lixinger.com/analytics/company/sz/000723/723/detail</t>
  </si>
  <si>
    <t>京东方Ａ</t>
  </si>
  <si>
    <t>www.lixinger.com/analytics/company/sz/000725/725/detail</t>
  </si>
  <si>
    <t>鲁泰Ａ</t>
  </si>
  <si>
    <t>www.lixinger.com/analytics/company/sz/000726/726/detail</t>
  </si>
  <si>
    <t>冠捷科技</t>
  </si>
  <si>
    <t>www.lixinger.com/analytics/company/sz/000727/727/detail</t>
  </si>
  <si>
    <t>国元证券</t>
  </si>
  <si>
    <t>www.lixinger.com/analytics/company/sz/000728/728/detail</t>
  </si>
  <si>
    <t>燕京啤酒</t>
  </si>
  <si>
    <t>www.lixinger.com/analytics/company/sz/000729/729/detail</t>
  </si>
  <si>
    <t>*ST环保</t>
  </si>
  <si>
    <t>www.lixinger.com/analytics/company/sz/000730/730/detail</t>
  </si>
  <si>
    <t>四川美丰</t>
  </si>
  <si>
    <t>www.lixinger.com/analytics/company/sz/000731/731/detail</t>
  </si>
  <si>
    <t>泰禾集团</t>
  </si>
  <si>
    <t>www.lixinger.com/analytics/company/sz/000732/732/detail</t>
  </si>
  <si>
    <t>振华科技</t>
  </si>
  <si>
    <t>www.lixinger.com/analytics/company/sz/000733/733/detail</t>
  </si>
  <si>
    <t>罗牛山</t>
  </si>
  <si>
    <t>www.lixinger.com/analytics/company/sz/000735/735/detail</t>
  </si>
  <si>
    <t>中交地产</t>
  </si>
  <si>
    <t>www.lixinger.com/analytics/company/sz/000736/736/detail</t>
  </si>
  <si>
    <t>北方铜业</t>
  </si>
  <si>
    <t>www.lixinger.com/analytics/company/sz/000737/737/detail</t>
  </si>
  <si>
    <t>航发控制</t>
  </si>
  <si>
    <t>www.lixinger.com/analytics/company/sz/000738/738/detail</t>
  </si>
  <si>
    <t>普洛药业</t>
  </si>
  <si>
    <t>www.lixinger.com/analytics/company/sz/000739/739/detail</t>
  </si>
  <si>
    <t>长城信息</t>
  </si>
  <si>
    <t>www.lixinger.com/analytics/company/sz/000748/748/detail</t>
  </si>
  <si>
    <t>国海证券</t>
  </si>
  <si>
    <t>www.lixinger.com/analytics/company/sz/000750/750/detail</t>
  </si>
  <si>
    <t>锌业股份</t>
  </si>
  <si>
    <t>www.lixinger.com/analytics/company/sz/000751/751/detail</t>
  </si>
  <si>
    <t>*ST西发</t>
  </si>
  <si>
    <t>www.lixinger.com/analytics/company/sz/000752/752/detail</t>
  </si>
  <si>
    <t>漳州发展</t>
  </si>
  <si>
    <t>www.lixinger.com/analytics/company/sz/000753/753/detail</t>
  </si>
  <si>
    <t>山西路桥</t>
  </si>
  <si>
    <t>www.lixinger.com/analytics/company/sz/000755/755/detail</t>
  </si>
  <si>
    <t>新华制药</t>
  </si>
  <si>
    <t>www.lixinger.com/analytics/company/sz/000756/756/detail</t>
  </si>
  <si>
    <t>浩物股份</t>
  </si>
  <si>
    <t>www.lixinger.com/analytics/company/sz/000757/757/detail</t>
  </si>
  <si>
    <t>中色股份</t>
  </si>
  <si>
    <t>www.lixinger.com/analytics/company/sz/000758/758/detail</t>
  </si>
  <si>
    <t>中百集团</t>
  </si>
  <si>
    <t>www.lixinger.com/analytics/company/sz/000759/759/detail</t>
  </si>
  <si>
    <t>斯太退</t>
  </si>
  <si>
    <t>www.lixinger.com/analytics/company/sz/000760/760/detail</t>
  </si>
  <si>
    <t>本钢板材</t>
  </si>
  <si>
    <t>www.lixinger.com/analytics/company/sz/000761/761/detail</t>
  </si>
  <si>
    <t>西藏矿业</t>
  </si>
  <si>
    <t>锂</t>
  </si>
  <si>
    <t>www.lixinger.com/analytics/company/sz/000762/762/detail</t>
  </si>
  <si>
    <t>*ST华信</t>
  </si>
  <si>
    <t>www.lixinger.com/analytics/company/sz/000765/765/detail</t>
  </si>
  <si>
    <t>通化金马</t>
  </si>
  <si>
    <t>www.lixinger.com/analytics/company/sz/000766/766/detail</t>
  </si>
  <si>
    <t>晋控电力</t>
  </si>
  <si>
    <t>www.lixinger.com/analytics/company/sz/000767/767/detail</t>
  </si>
  <si>
    <t>中航西飞</t>
  </si>
  <si>
    <t>www.lixinger.com/analytics/company/sz/000768/768/detail</t>
  </si>
  <si>
    <t>*ST大菲</t>
  </si>
  <si>
    <t>www.lixinger.com/analytics/company/sz/000769/769/detail</t>
  </si>
  <si>
    <t>广发证券</t>
  </si>
  <si>
    <t>www.lixinger.com/analytics/company/sz/000776/776/detail</t>
  </si>
  <si>
    <t>中核科技</t>
  </si>
  <si>
    <t>www.lixinger.com/analytics/company/sz/000777/777/detail</t>
  </si>
  <si>
    <t>新兴铸管</t>
  </si>
  <si>
    <t>www.lixinger.com/analytics/company/sz/000778/778/detail</t>
  </si>
  <si>
    <t>甘咨询</t>
  </si>
  <si>
    <t>www.lixinger.com/analytics/company/sz/000779/779/detail</t>
  </si>
  <si>
    <t>ST平能</t>
  </si>
  <si>
    <t>www.lixinger.com/analytics/company/sz/000780/780/detail</t>
  </si>
  <si>
    <t>美达股份</t>
  </si>
  <si>
    <t>www.lixinger.com/analytics/company/sz/000782/782/detail</t>
  </si>
  <si>
    <t>长江证券</t>
  </si>
  <si>
    <t>www.lixinger.com/analytics/company/sz/000783/783/detail</t>
  </si>
  <si>
    <t>居然之家</t>
  </si>
  <si>
    <t>www.lixinger.com/analytics/company/sz/000785/785/detail</t>
  </si>
  <si>
    <t>北新建材</t>
  </si>
  <si>
    <t>www.lixinger.com/analytics/company/sz/000786/786/detail</t>
  </si>
  <si>
    <t>*ST创智</t>
  </si>
  <si>
    <t>www.lixinger.com/analytics/company/sz/000787/787/detail</t>
  </si>
  <si>
    <t>北大医药</t>
  </si>
  <si>
    <t>www.lixinger.com/analytics/company/sz/000788/788/detail</t>
  </si>
  <si>
    <t>万年青</t>
  </si>
  <si>
    <t>www.lixinger.com/analytics/company/sz/000789/789/detail</t>
  </si>
  <si>
    <t>华神科技</t>
  </si>
  <si>
    <t>www.lixinger.com/analytics/company/sz/000790/790/detail</t>
  </si>
  <si>
    <t>甘肃电投</t>
  </si>
  <si>
    <t>www.lixinger.com/analytics/company/sz/000791/791/detail</t>
  </si>
  <si>
    <t>盐湖股份</t>
  </si>
  <si>
    <t>www.lixinger.com/analytics/company/sz/000792/792/detail</t>
  </si>
  <si>
    <t>华闻集团</t>
  </si>
  <si>
    <t>www.lixinger.com/analytics/company/sz/000793/793/detail</t>
  </si>
  <si>
    <t>英洛华</t>
  </si>
  <si>
    <t>www.lixinger.com/analytics/company/sz/000795/795/detail</t>
  </si>
  <si>
    <t>凯撒旅业</t>
  </si>
  <si>
    <t>www.lixinger.com/analytics/company/sz/000796/796/detail</t>
  </si>
  <si>
    <t>中国武夷</t>
  </si>
  <si>
    <t>www.lixinger.com/analytics/company/sz/000797/797/detail</t>
  </si>
  <si>
    <t>中水渔业</t>
  </si>
  <si>
    <t>www.lixinger.com/analytics/company/sz/000798/798/detail</t>
  </si>
  <si>
    <t>酒鬼酒</t>
  </si>
  <si>
    <t>www.lixinger.com/analytics/company/sz/000799/799/detail</t>
  </si>
  <si>
    <t>一汽解放</t>
  </si>
  <si>
    <t>www.lixinger.com/analytics/company/sz/000800/800/detail</t>
  </si>
  <si>
    <t>四川九洲</t>
  </si>
  <si>
    <t>www.lixinger.com/analytics/company/sz/000801/801/detail</t>
  </si>
  <si>
    <t>ST北文</t>
  </si>
  <si>
    <t>www.lixinger.com/analytics/company/sz/000802/802/detail</t>
  </si>
  <si>
    <t>北清环能</t>
  </si>
  <si>
    <t>www.lixinger.com/analytics/company/sz/000803/803/detail</t>
  </si>
  <si>
    <t>*ST炎黄</t>
  </si>
  <si>
    <t>www.lixinger.com/analytics/company/sz/000805/805/detail</t>
  </si>
  <si>
    <t>ST银河</t>
  </si>
  <si>
    <t>www.lixinger.com/analytics/company/sz/000806/806/detail</t>
  </si>
  <si>
    <t>云铝股份</t>
  </si>
  <si>
    <t>www.lixinger.com/analytics/company/sz/000807/807/detail</t>
  </si>
  <si>
    <t>ST新城</t>
  </si>
  <si>
    <t>www.lixinger.com/analytics/company/sz/000809/809/detail</t>
  </si>
  <si>
    <t>创维数字</t>
  </si>
  <si>
    <t>www.lixinger.com/analytics/company/sz/000810/810/detail</t>
  </si>
  <si>
    <t>冰轮环境</t>
  </si>
  <si>
    <t>www.lixinger.com/analytics/company/sz/000811/811/detail</t>
  </si>
  <si>
    <t>陕西金叶</t>
  </si>
  <si>
    <t>www.lixinger.com/analytics/company/sz/000812/812/detail</t>
  </si>
  <si>
    <t>德展健康</t>
  </si>
  <si>
    <t>www.lixinger.com/analytics/company/sz/000813/813/detail</t>
  </si>
  <si>
    <t>美利云</t>
  </si>
  <si>
    <t>www.lixinger.com/analytics/company/sz/000815/815/detail</t>
  </si>
  <si>
    <t>智慧农业</t>
  </si>
  <si>
    <t>www.lixinger.com/analytics/company/sz/000816/816/detail</t>
  </si>
  <si>
    <t>航锦科技</t>
  </si>
  <si>
    <t>www.lixinger.com/analytics/company/sz/000818/818/detail</t>
  </si>
  <si>
    <t>岳阳兴长</t>
  </si>
  <si>
    <t>www.lixinger.com/analytics/company/sz/000819/819/detail</t>
  </si>
  <si>
    <t>*ST节能</t>
  </si>
  <si>
    <t>www.lixinger.com/analytics/company/sz/000820/820/detail</t>
  </si>
  <si>
    <t>京山轻机</t>
  </si>
  <si>
    <t>www.lixinger.com/analytics/company/sz/000821/821/detail</t>
  </si>
  <si>
    <t>山东海化</t>
  </si>
  <si>
    <t>www.lixinger.com/analytics/company/sz/000822/822/detail</t>
  </si>
  <si>
    <t>超声电子</t>
  </si>
  <si>
    <t>www.lixinger.com/analytics/company/sz/000823/823/detail</t>
  </si>
  <si>
    <t>太钢不锈</t>
  </si>
  <si>
    <t>www.lixinger.com/analytics/company/sz/000825/825/detail</t>
  </si>
  <si>
    <t>启迪环境</t>
  </si>
  <si>
    <t>www.lixinger.com/analytics/company/sz/000826/826/detail</t>
  </si>
  <si>
    <t>东莞控股</t>
  </si>
  <si>
    <t>www.lixinger.com/analytics/company/sz/000828/828/detail</t>
  </si>
  <si>
    <t>天音控股</t>
  </si>
  <si>
    <t>www.lixinger.com/analytics/company/sz/000829/829/detail</t>
  </si>
  <si>
    <t>鲁西化工</t>
  </si>
  <si>
    <t>www.lixinger.com/analytics/company/sz/000830/830/detail</t>
  </si>
  <si>
    <t>五矿稀土</t>
  </si>
  <si>
    <t>www.lixinger.com/analytics/company/sz/000831/831/detail</t>
  </si>
  <si>
    <t>*ST龙涤</t>
  </si>
  <si>
    <t>www.lixinger.com/analytics/company/sz/000832/832/detail</t>
  </si>
  <si>
    <t>粤桂股份</t>
  </si>
  <si>
    <t>www.lixinger.com/analytics/company/sz/000833/833/detail</t>
  </si>
  <si>
    <t>长动退</t>
  </si>
  <si>
    <t>www.lixinger.com/analytics/company/sz/000835/835/detail</t>
  </si>
  <si>
    <t>富通信息</t>
  </si>
  <si>
    <t>www.lixinger.com/analytics/company/sz/000836/836/detail</t>
  </si>
  <si>
    <t>秦川机床</t>
  </si>
  <si>
    <t>www.lixinger.com/analytics/company/sz/000837/837/detail</t>
  </si>
  <si>
    <t>财信发展</t>
  </si>
  <si>
    <t>www.lixinger.com/analytics/company/sz/000838/838/detail</t>
  </si>
  <si>
    <t>中信国安</t>
  </si>
  <si>
    <t>www.lixinger.com/analytics/company/sz/000839/839/detail</t>
  </si>
  <si>
    <t>承德露露</t>
  </si>
  <si>
    <t>www.lixinger.com/analytics/company/sz/000848/848/detail</t>
  </si>
  <si>
    <t>华茂股份</t>
  </si>
  <si>
    <t>www.lixinger.com/analytics/company/sz/000850/850/detail</t>
  </si>
  <si>
    <t>高鸿股份</t>
  </si>
  <si>
    <t>www.lixinger.com/analytics/company/sz/000851/851/detail</t>
  </si>
  <si>
    <t>石化机械</t>
  </si>
  <si>
    <t>www.lixinger.com/analytics/company/sz/000852/852/detail</t>
  </si>
  <si>
    <t>冀东装备</t>
  </si>
  <si>
    <t>www.lixinger.com/analytics/company/sz/000856/856/detail</t>
  </si>
  <si>
    <t>五粮液</t>
  </si>
  <si>
    <t>www.lixinger.com/analytics/company/sz/000858/858/detail</t>
  </si>
  <si>
    <t>国风新材</t>
  </si>
  <si>
    <t>www.lixinger.com/analytics/company/sz/000859/859/detail</t>
  </si>
  <si>
    <t>顺鑫农业</t>
  </si>
  <si>
    <t>www.lixinger.com/analytics/company/sz/000860/860/detail</t>
  </si>
  <si>
    <t>海印股份</t>
  </si>
  <si>
    <t>www.lixinger.com/analytics/company/sz/000861/861/detail</t>
  </si>
  <si>
    <t>银星能源</t>
  </si>
  <si>
    <t>www.lixinger.com/analytics/company/sz/000862/862/detail</t>
  </si>
  <si>
    <t>三湘印象</t>
  </si>
  <si>
    <t>www.lixinger.com/analytics/company/sz/000863/863/detail</t>
  </si>
  <si>
    <t>安凯客车</t>
  </si>
  <si>
    <t>www.lixinger.com/analytics/company/sz/000868/868/detail</t>
  </si>
  <si>
    <t>张裕Ａ</t>
  </si>
  <si>
    <t>www.lixinger.com/analytics/company/sz/000869/869/detail</t>
  </si>
  <si>
    <t>吉电股份</t>
  </si>
  <si>
    <t>www.lixinger.com/analytics/company/sz/000875/875/detail</t>
  </si>
  <si>
    <t>新希望</t>
  </si>
  <si>
    <t>www.lixinger.com/analytics/company/sz/000876/876/detail</t>
  </si>
  <si>
    <t>天山股份</t>
  </si>
  <si>
    <t>www.lixinger.com/analytics/company/sz/000877/877/detail</t>
  </si>
  <si>
    <t>云南铜业</t>
  </si>
  <si>
    <t>www.lixinger.com/analytics/company/sz/000878/878/detail</t>
  </si>
  <si>
    <t>潍柴重机</t>
  </si>
  <si>
    <t>www.lixinger.com/analytics/company/sz/000880/880/detail</t>
  </si>
  <si>
    <t>中广核技</t>
  </si>
  <si>
    <t>www.lixinger.com/analytics/company/sz/000881/881/detail</t>
  </si>
  <si>
    <t>华联股份</t>
  </si>
  <si>
    <t>www.lixinger.com/analytics/company/sz/000882/882/detail</t>
  </si>
  <si>
    <t>湖北能源</t>
  </si>
  <si>
    <t>www.lixinger.com/analytics/company/sz/000883/883/detail</t>
  </si>
  <si>
    <t>城发环境</t>
  </si>
  <si>
    <t>www.lixinger.com/analytics/company/sz/000885/885/detail</t>
  </si>
  <si>
    <t>海南高速</t>
  </si>
  <si>
    <t>www.lixinger.com/analytics/company/sz/000886/886/detail</t>
  </si>
  <si>
    <t>中鼎股份</t>
  </si>
  <si>
    <t>www.lixinger.com/analytics/company/sz/000887/887/detail</t>
  </si>
  <si>
    <t>峨眉山Ａ</t>
  </si>
  <si>
    <t>www.lixinger.com/analytics/company/sz/000888/888/detail</t>
  </si>
  <si>
    <t>中嘉博创</t>
  </si>
  <si>
    <t>www.lixinger.com/analytics/company/sz/000889/889/detail</t>
  </si>
  <si>
    <t>法尔胜</t>
  </si>
  <si>
    <t>www.lixinger.com/analytics/company/sz/000890/890/detail</t>
  </si>
  <si>
    <t>欢瑞世纪</t>
  </si>
  <si>
    <t>www.lixinger.com/analytics/company/sz/000892/892/detail</t>
  </si>
  <si>
    <t>亚钾国际</t>
  </si>
  <si>
    <t>www.lixinger.com/analytics/company/sz/000893/893/detail</t>
  </si>
  <si>
    <t>双汇发展</t>
  </si>
  <si>
    <t>www.lixinger.com/analytics/company/sz/000895/895/detail</t>
  </si>
  <si>
    <t>津滨发展</t>
  </si>
  <si>
    <t>www.lixinger.com/analytics/company/sz/000897/897/detail</t>
  </si>
  <si>
    <t>鞍钢股份</t>
  </si>
  <si>
    <t>www.lixinger.com/analytics/company/sz/000898/898/detail</t>
  </si>
  <si>
    <t>赣能股份</t>
  </si>
  <si>
    <t>www.lixinger.com/analytics/company/sz/000899/899/detail</t>
  </si>
  <si>
    <t>现代投资</t>
  </si>
  <si>
    <t>www.lixinger.com/analytics/company/sz/000900/900/detail</t>
  </si>
  <si>
    <t>航天科技</t>
  </si>
  <si>
    <t>www.lixinger.com/analytics/company/sz/000901/901/detail</t>
  </si>
  <si>
    <t>新洋丰</t>
  </si>
  <si>
    <t>复合肥</t>
  </si>
  <si>
    <t>www.lixinger.com/analytics/company/sz/000902/902/detail</t>
  </si>
  <si>
    <t>云内动力</t>
  </si>
  <si>
    <t>www.lixinger.com/analytics/company/sz/000903/903/detail</t>
  </si>
  <si>
    <t>厦门港务</t>
  </si>
  <si>
    <t>www.lixinger.com/analytics/company/sz/000905/905/detail</t>
  </si>
  <si>
    <t>浙商中拓</t>
  </si>
  <si>
    <t>www.lixinger.com/analytics/company/sz/000906/906/detail</t>
  </si>
  <si>
    <t>景峰医药</t>
  </si>
  <si>
    <t>www.lixinger.com/analytics/company/sz/000908/908/detail</t>
  </si>
  <si>
    <t>数源科技</t>
  </si>
  <si>
    <t>www.lixinger.com/analytics/company/sz/000909/909/detail</t>
  </si>
  <si>
    <t>大亚圣象</t>
  </si>
  <si>
    <t>www.lixinger.com/analytics/company/sz/000910/910/detail</t>
  </si>
  <si>
    <t>南宁糖业</t>
  </si>
  <si>
    <t>www.lixinger.com/analytics/company/sz/000911/911/detail</t>
  </si>
  <si>
    <t>泸天化</t>
  </si>
  <si>
    <t>www.lixinger.com/analytics/company/sz/000912/912/detail</t>
  </si>
  <si>
    <t>钱江摩托</t>
  </si>
  <si>
    <t>www.lixinger.com/analytics/company/sz/000913/913/detail</t>
  </si>
  <si>
    <t>华特达因</t>
  </si>
  <si>
    <t>www.lixinger.com/analytics/company/sz/000915/915/detail</t>
  </si>
  <si>
    <t>华北高速</t>
  </si>
  <si>
    <t>www.lixinger.com/analytics/company/sz/000916/916/detail</t>
  </si>
  <si>
    <t>电广传媒</t>
  </si>
  <si>
    <t>www.lixinger.com/analytics/company/sz/000917/917/detail</t>
  </si>
  <si>
    <t>嘉凯城</t>
  </si>
  <si>
    <t>www.lixinger.com/analytics/company/sz/000918/918/detail</t>
  </si>
  <si>
    <t>金陵药业</t>
  </si>
  <si>
    <t>www.lixinger.com/analytics/company/sz/000919/919/detail</t>
  </si>
  <si>
    <t>沃顿科技</t>
  </si>
  <si>
    <t>www.lixinger.com/analytics/company/sz/000920/920/detail</t>
  </si>
  <si>
    <t>海信家电</t>
  </si>
  <si>
    <t>www.lixinger.com/analytics/company/sz/000921/921/detail</t>
  </si>
  <si>
    <t>佳电股份</t>
  </si>
  <si>
    <t>www.lixinger.com/analytics/company/sz/000922/922/detail</t>
  </si>
  <si>
    <t>河钢资源</t>
  </si>
  <si>
    <t>www.lixinger.com/analytics/company/sz/000923/923/detail</t>
  </si>
  <si>
    <t>众合科技</t>
  </si>
  <si>
    <t>www.lixinger.com/analytics/company/sz/000925/925/detail</t>
  </si>
  <si>
    <t>福星股份</t>
  </si>
  <si>
    <t>www.lixinger.com/analytics/company/sz/000926/926/detail</t>
  </si>
  <si>
    <t>中国铁物</t>
  </si>
  <si>
    <t>www.lixinger.com/analytics/company/sz/000927/927/detail</t>
  </si>
  <si>
    <t>中钢国际</t>
  </si>
  <si>
    <t>www.lixinger.com/analytics/company/sz/000928/928/detail</t>
  </si>
  <si>
    <t>兰州黄河</t>
  </si>
  <si>
    <t>www.lixinger.com/analytics/company/sz/000929/929/detail</t>
  </si>
  <si>
    <t>中粮科技</t>
  </si>
  <si>
    <t>www.lixinger.com/analytics/company/sz/000930/930/detail</t>
  </si>
  <si>
    <t>中关村</t>
  </si>
  <si>
    <t>www.lixinger.com/analytics/company/sz/000931/931/detail</t>
  </si>
  <si>
    <t>华菱钢铁</t>
  </si>
  <si>
    <t>www.lixinger.com/analytics/company/sz/000932/932/detail</t>
  </si>
  <si>
    <t>神火股份</t>
  </si>
  <si>
    <t>www.lixinger.com/analytics/company/sz/000933/933/detail</t>
  </si>
  <si>
    <t>四川双马</t>
  </si>
  <si>
    <t>www.lixinger.com/analytics/company/sz/000935/935/detail</t>
  </si>
  <si>
    <t>华西股份</t>
  </si>
  <si>
    <t>www.lixinger.com/analytics/company/sz/000936/936/detail</t>
  </si>
  <si>
    <t>冀中能源</t>
  </si>
  <si>
    <t>www.lixinger.com/analytics/company/sz/000937/937/detail</t>
  </si>
  <si>
    <t>紫光股份</t>
  </si>
  <si>
    <t>www.lixinger.com/analytics/company/sz/000938/938/detail</t>
  </si>
  <si>
    <t>凯迪退</t>
  </si>
  <si>
    <t>www.lixinger.com/analytics/company/sz/000939/939/detail</t>
  </si>
  <si>
    <t>南天信息</t>
  </si>
  <si>
    <t>www.lixinger.com/analytics/company/sz/000948/948/detail</t>
  </si>
  <si>
    <t>新乡化纤</t>
  </si>
  <si>
    <t>氨纶</t>
  </si>
  <si>
    <t>www.lixinger.com/analytics/company/sz/000949/949/detail</t>
  </si>
  <si>
    <t>重药控股</t>
  </si>
  <si>
    <t>www.lixinger.com/analytics/company/sz/000950/950/detail</t>
  </si>
  <si>
    <t>中国重汽</t>
  </si>
  <si>
    <t>www.lixinger.com/analytics/company/sz/000951/951/detail</t>
  </si>
  <si>
    <t>广济药业</t>
  </si>
  <si>
    <t>www.lixinger.com/analytics/company/sz/000952/952/detail</t>
  </si>
  <si>
    <t>河化股份</t>
  </si>
  <si>
    <t>www.lixinger.com/analytics/company/sz/000953/953/detail</t>
  </si>
  <si>
    <t>欣龙控股</t>
  </si>
  <si>
    <t>www.lixinger.com/analytics/company/sz/000955/955/detail</t>
  </si>
  <si>
    <t>中通客车</t>
  </si>
  <si>
    <t>www.lixinger.com/analytics/company/sz/000957/957/detail</t>
  </si>
  <si>
    <t>东方能源</t>
  </si>
  <si>
    <t>www.lixinger.com/analytics/company/sz/000958/958/detail</t>
  </si>
  <si>
    <t>首钢股份</t>
  </si>
  <si>
    <t>www.lixinger.com/analytics/company/sz/000959/959/detail</t>
  </si>
  <si>
    <t>锡业股份</t>
  </si>
  <si>
    <t>www.lixinger.com/analytics/company/sz/000960/960/detail</t>
  </si>
  <si>
    <t>中南建设</t>
  </si>
  <si>
    <t>www.lixinger.com/analytics/company/sz/000961/961/detail</t>
  </si>
  <si>
    <t>东方钽业</t>
  </si>
  <si>
    <t>www.lixinger.com/analytics/company/sz/000962/962/detail</t>
  </si>
  <si>
    <t>华东医药</t>
  </si>
  <si>
    <t>www.lixinger.com/analytics/company/sz/000963/963/detail</t>
  </si>
  <si>
    <t>天保基建</t>
  </si>
  <si>
    <t>www.lixinger.com/analytics/company/sz/000965/965/detail</t>
  </si>
  <si>
    <t>长源电力</t>
  </si>
  <si>
    <t>www.lixinger.com/analytics/company/sz/000966/966/detail</t>
  </si>
  <si>
    <t>盈峰环境</t>
  </si>
  <si>
    <t>www.lixinger.com/analytics/company/sz/000967/967/detail</t>
  </si>
  <si>
    <t>蓝焰控股</t>
  </si>
  <si>
    <t>www.lixinger.com/analytics/company/sz/000968/968/detail</t>
  </si>
  <si>
    <t>安泰科技</t>
  </si>
  <si>
    <t>www.lixinger.com/analytics/company/sz/000969/969/detail</t>
  </si>
  <si>
    <t>中科三环</t>
  </si>
  <si>
    <t>www.lixinger.com/analytics/company/sz/000970/970/detail</t>
  </si>
  <si>
    <t>ST高升</t>
  </si>
  <si>
    <t>通信应用增值服务</t>
  </si>
  <si>
    <t>www.lixinger.com/analytics/company/sz/000971/971/detail</t>
  </si>
  <si>
    <t>*ST中基</t>
  </si>
  <si>
    <t>www.lixinger.com/analytics/company/sz/000972/972/detail</t>
  </si>
  <si>
    <t>佛塑科技</t>
  </si>
  <si>
    <t>www.lixinger.com/analytics/company/sz/000973/973/detail</t>
  </si>
  <si>
    <t>银泰黄金</t>
  </si>
  <si>
    <t>www.lixinger.com/analytics/company/sz/000975/975/detail</t>
  </si>
  <si>
    <t>华铁股份</t>
  </si>
  <si>
    <t>www.lixinger.com/analytics/company/sz/000976/976/detail</t>
  </si>
  <si>
    <t>浪潮信息</t>
  </si>
  <si>
    <t>www.lixinger.com/analytics/company/sz/000977/977/detail</t>
  </si>
  <si>
    <t>桂林旅游</t>
  </si>
  <si>
    <t>www.lixinger.com/analytics/company/sz/000978/978/detail</t>
  </si>
  <si>
    <t>中弘退</t>
  </si>
  <si>
    <t>www.lixinger.com/analytics/company/sz/000979/979/detail</t>
  </si>
  <si>
    <t>*ST众泰</t>
  </si>
  <si>
    <t>www.lixinger.com/analytics/company/sz/000980/980/detail</t>
  </si>
  <si>
    <t>*ST银亿</t>
  </si>
  <si>
    <t>www.lixinger.com/analytics/company/sz/000981/981/detail</t>
  </si>
  <si>
    <t>中银绒业</t>
  </si>
  <si>
    <t>www.lixinger.com/analytics/company/sz/000982/982/detail</t>
  </si>
  <si>
    <t>山西焦煤</t>
  </si>
  <si>
    <t>www.lixinger.com/analytics/company/sz/000983/983/detail</t>
  </si>
  <si>
    <t>大庆华科</t>
  </si>
  <si>
    <t>www.lixinger.com/analytics/company/sz/000985/985/detail</t>
  </si>
  <si>
    <t>越秀金控</t>
  </si>
  <si>
    <t>www.lixinger.com/analytics/company/sz/000987/987/detail</t>
  </si>
  <si>
    <t>华工科技</t>
  </si>
  <si>
    <t>www.lixinger.com/analytics/company/sz/000988/988/detail</t>
  </si>
  <si>
    <t>九芝堂</t>
  </si>
  <si>
    <t>www.lixinger.com/analytics/company/sz/000989/989/detail</t>
  </si>
  <si>
    <t>诚志股份</t>
  </si>
  <si>
    <t>www.lixinger.com/analytics/company/sz/000990/990/detail</t>
  </si>
  <si>
    <t>闽东电力</t>
  </si>
  <si>
    <t>www.lixinger.com/analytics/company/sz/000993/993/detail</t>
  </si>
  <si>
    <t>*ST皇台</t>
  </si>
  <si>
    <t>www.lixinger.com/analytics/company/sz/000995/995/detail</t>
  </si>
  <si>
    <t>中国中期</t>
  </si>
  <si>
    <t>www.lixinger.com/analytics/company/sz/000996/996/detail</t>
  </si>
  <si>
    <t>新大陆</t>
  </si>
  <si>
    <t>www.lixinger.com/analytics/company/sz/000997/997/detail</t>
  </si>
  <si>
    <t>隆平高科</t>
  </si>
  <si>
    <t>www.lixinger.com/analytics/company/sz/000998/998/detail</t>
  </si>
  <si>
    <t>华润三九</t>
  </si>
  <si>
    <t>www.lixinger.com/analytics/company/sz/000999/999/detail</t>
  </si>
  <si>
    <t>东瑞股份</t>
  </si>
  <si>
    <t>www.lixinger.com/analytics/company/sz/001201/1201/detail</t>
  </si>
  <si>
    <t>炬申股份</t>
  </si>
  <si>
    <t>www.lixinger.com/analytics/company/sz/001202/1202/detail</t>
  </si>
  <si>
    <t>大中矿业</t>
  </si>
  <si>
    <t>www.lixinger.com/analytics/company/sz/001203/1203/detail</t>
  </si>
  <si>
    <t>盛航股份</t>
  </si>
  <si>
    <t>www.lixinger.com/analytics/company/sz/001205/1205/detail</t>
  </si>
  <si>
    <t>依依股份</t>
  </si>
  <si>
    <t>www.lixinger.com/analytics/company/sz/001206/1206/detail</t>
  </si>
  <si>
    <t>联科科技</t>
  </si>
  <si>
    <t>www.lixinger.com/analytics/company/sz/001207/1207/detail</t>
  </si>
  <si>
    <t>华菱线缆</t>
  </si>
  <si>
    <t>www.lixinger.com/analytics/company/sz/001208/1208/detail</t>
  </si>
  <si>
    <t>洪兴股份</t>
  </si>
  <si>
    <t>www.lixinger.com/analytics/company/sz/001209/1209/detail</t>
  </si>
  <si>
    <t>金房节能</t>
  </si>
  <si>
    <t>www.lixinger.com/analytics/company/sz/001210/1210/detail</t>
  </si>
  <si>
    <t>双枪科技</t>
  </si>
  <si>
    <t>www.lixinger.com/analytics/company/sz/001211/1211/detail</t>
  </si>
  <si>
    <t>中旗新材</t>
  </si>
  <si>
    <t>www.lixinger.com/analytics/company/sz/001212/1212/detail</t>
  </si>
  <si>
    <t>中铁特货</t>
  </si>
  <si>
    <t>www.lixinger.com/analytics/company/sz/001213/1213/detail</t>
  </si>
  <si>
    <t>千味央厨</t>
  </si>
  <si>
    <t>www.lixinger.com/analytics/company/sz/001215/1215/detail</t>
  </si>
  <si>
    <t>华瓷股份</t>
  </si>
  <si>
    <t>www.lixinger.com/analytics/company/sz/001216/1216/detail</t>
  </si>
  <si>
    <t>华尔泰</t>
  </si>
  <si>
    <t>www.lixinger.com/analytics/company/sz/001217/1217/detail</t>
  </si>
  <si>
    <t>丽臣实业</t>
  </si>
  <si>
    <t>www.lixinger.com/analytics/company/sz/001218/1218/detail</t>
  </si>
  <si>
    <t>青岛食品</t>
  </si>
  <si>
    <t>www.lixinger.com/analytics/company/sz/001219/1219/detail</t>
  </si>
  <si>
    <t>兰州银行</t>
  </si>
  <si>
    <t>www.lixinger.com/analytics/company/sz/001227/1227/detail</t>
  </si>
  <si>
    <t>永泰运</t>
  </si>
  <si>
    <t>www.lixinger.com/analytics/company/sz/001228/1228/detail</t>
  </si>
  <si>
    <t>泰慕士</t>
  </si>
  <si>
    <t>www.lixinger.com/analytics/company/sz/001234/1234/detail</t>
  </si>
  <si>
    <t>里得电科</t>
  </si>
  <si>
    <t>www.lixinger.com/analytics/company/sz/001235/1235/detail</t>
  </si>
  <si>
    <t>宏英智能</t>
  </si>
  <si>
    <t>www.lixinger.com/analytics/company/sz/001266/1266/detail</t>
  </si>
  <si>
    <t>汇绿生态</t>
  </si>
  <si>
    <t>www.lixinger.com/analytics/company/sz/001267/1267/detail</t>
  </si>
  <si>
    <t>运机集团</t>
  </si>
  <si>
    <t>www.lixinger.com/analytics/company/sz/001288/1288/detail</t>
  </si>
  <si>
    <t>龙源电力</t>
  </si>
  <si>
    <t>www.lixinger.com/analytics/company/sz/001289/1289/detail</t>
  </si>
  <si>
    <t>长江材料</t>
  </si>
  <si>
    <t>www.lixinger.com/analytics/company/sz/001296/1296/detail</t>
  </si>
  <si>
    <t>康冠科技</t>
  </si>
  <si>
    <t>www.lixinger.com/analytics/company/sz/001308/1308/detail</t>
  </si>
  <si>
    <t>粤海饲料</t>
  </si>
  <si>
    <t>www.lixinger.com/analytics/company/sz/001313/1313/detail</t>
  </si>
  <si>
    <t>三羊马</t>
  </si>
  <si>
    <t>www.lixinger.com/analytics/company/sz/001317/1317/detail</t>
  </si>
  <si>
    <t>阳光乳业</t>
  </si>
  <si>
    <t>www.lixinger.com/analytics/company/sz/001318/1318/detail</t>
  </si>
  <si>
    <t>铭科精技</t>
  </si>
  <si>
    <t>www.lixinger.com/analytics/company/sz/001319/1319/detail</t>
  </si>
  <si>
    <t>宗申动力</t>
  </si>
  <si>
    <t>www.lixinger.com/analytics/company/sz/001696/1696/detail</t>
  </si>
  <si>
    <t>招商港口</t>
  </si>
  <si>
    <t>www.lixinger.com/analytics/company/sz/001872/1872/detail</t>
  </si>
  <si>
    <t>豫能控股</t>
  </si>
  <si>
    <t>www.lixinger.com/analytics/company/sz/001896/1896/detail</t>
  </si>
  <si>
    <t>招商积余</t>
  </si>
  <si>
    <t>www.lixinger.com/analytics/company/sz/001914/1914/detail</t>
  </si>
  <si>
    <t>招商公路</t>
  </si>
  <si>
    <t>www.lixinger.com/analytics/company/sz/001965/1965/detail</t>
  </si>
  <si>
    <t>招商蛇口</t>
  </si>
  <si>
    <t>www.lixinger.com/analytics/company/sz/001979/1979/detail</t>
  </si>
  <si>
    <t>新和成</t>
  </si>
  <si>
    <t>www.lixinger.com/analytics/company/sz/002001/2001/detail</t>
  </si>
  <si>
    <t>鸿达兴业</t>
  </si>
  <si>
    <t>www.lixinger.com/analytics/company/sz/002002/2002/detail</t>
  </si>
  <si>
    <t>伟星股份</t>
  </si>
  <si>
    <t>www.lixinger.com/analytics/company/sz/002003/2003/detail</t>
  </si>
  <si>
    <t>华邦健康</t>
  </si>
  <si>
    <t>www.lixinger.com/analytics/company/sz/002004/2004/detail</t>
  </si>
  <si>
    <t>ST德豪</t>
  </si>
  <si>
    <t>厨房小家电</t>
  </si>
  <si>
    <t>www.lixinger.com/analytics/company/sz/002005/2005/detail</t>
  </si>
  <si>
    <t>精功科技</t>
  </si>
  <si>
    <t>www.lixinger.com/analytics/company/sz/002006/2006/detail</t>
  </si>
  <si>
    <t>华兰生物</t>
  </si>
  <si>
    <t>www.lixinger.com/analytics/company/sz/002007/2007/detail</t>
  </si>
  <si>
    <t>大族激光</t>
  </si>
  <si>
    <t>www.lixinger.com/analytics/company/sz/002008/2008/detail</t>
  </si>
  <si>
    <t>天奇股份</t>
  </si>
  <si>
    <t>www.lixinger.com/analytics/company/sz/002009/2009/detail</t>
  </si>
  <si>
    <t>传化智联</t>
  </si>
  <si>
    <t>www.lixinger.com/analytics/company/sz/002010/2010/detail</t>
  </si>
  <si>
    <t>盾安环境</t>
  </si>
  <si>
    <t>www.lixinger.com/analytics/company/sz/002011/2011/detail</t>
  </si>
  <si>
    <t>凯恩股份</t>
  </si>
  <si>
    <t>www.lixinger.com/analytics/company/sz/002012/2012/detail</t>
  </si>
  <si>
    <t>中航机电</t>
  </si>
  <si>
    <t>www.lixinger.com/analytics/company/sz/002013/2013/detail</t>
  </si>
  <si>
    <t>永新股份</t>
  </si>
  <si>
    <t>www.lixinger.com/analytics/company/sz/002014/2014/detail</t>
  </si>
  <si>
    <t>协鑫能科</t>
  </si>
  <si>
    <t>www.lixinger.com/analytics/company/sz/002015/2015/detail</t>
  </si>
  <si>
    <t>世荣兆业</t>
  </si>
  <si>
    <t>www.lixinger.com/analytics/company/sz/002016/2016/detail</t>
  </si>
  <si>
    <t>东信和平</t>
  </si>
  <si>
    <t>www.lixinger.com/analytics/company/sz/002017/2017/detail</t>
  </si>
  <si>
    <t>华信退</t>
  </si>
  <si>
    <t>www.lixinger.com/analytics/company/sz/002018/2018/detail</t>
  </si>
  <si>
    <t>亿帆医药</t>
  </si>
  <si>
    <t>www.lixinger.com/analytics/company/sz/002019/2019/detail</t>
  </si>
  <si>
    <t>京新药业</t>
  </si>
  <si>
    <t>www.lixinger.com/analytics/company/sz/002020/2020/detail</t>
  </si>
  <si>
    <t>ST中捷</t>
  </si>
  <si>
    <t>www.lixinger.com/analytics/company/sz/002021/2021/detail</t>
  </si>
  <si>
    <t>科华生物</t>
  </si>
  <si>
    <t>www.lixinger.com/analytics/company/sz/002022/2022/detail</t>
  </si>
  <si>
    <t>海特高新</t>
  </si>
  <si>
    <t>www.lixinger.com/analytics/company/sz/002023/2023/detail</t>
  </si>
  <si>
    <t>苏宁易购</t>
  </si>
  <si>
    <t>www.lixinger.com/analytics/company/sz/002024/2024/detail</t>
  </si>
  <si>
    <t>航天电器</t>
  </si>
  <si>
    <t>www.lixinger.com/analytics/company/sz/002025/2025/detail</t>
  </si>
  <si>
    <t>山东威达</t>
  </si>
  <si>
    <t>www.lixinger.com/analytics/company/sz/002026/2026/detail</t>
  </si>
  <si>
    <t>分众传媒</t>
  </si>
  <si>
    <t>www.lixinger.com/analytics/company/sz/002027/2027/detail</t>
  </si>
  <si>
    <t>思源电气</t>
  </si>
  <si>
    <t>www.lixinger.com/analytics/company/sz/002028/2028/detail</t>
  </si>
  <si>
    <t>七匹狼</t>
  </si>
  <si>
    <t>www.lixinger.com/analytics/company/sz/002029/2029/detail</t>
  </si>
  <si>
    <t>达安基因</t>
  </si>
  <si>
    <t>www.lixinger.com/analytics/company/sz/002030/2030/detail</t>
  </si>
  <si>
    <t>巨轮智能</t>
  </si>
  <si>
    <t>www.lixinger.com/analytics/company/sz/002031/2031/detail</t>
  </si>
  <si>
    <t>苏泊尔</t>
  </si>
  <si>
    <t>www.lixinger.com/analytics/company/sz/002032/2032/detail</t>
  </si>
  <si>
    <t>丽江股份</t>
  </si>
  <si>
    <t>www.lixinger.com/analytics/company/sz/002033/2033/detail</t>
  </si>
  <si>
    <t>旺能环境</t>
  </si>
  <si>
    <t>www.lixinger.com/analytics/company/sz/002034/2034/detail</t>
  </si>
  <si>
    <t>华帝股份</t>
  </si>
  <si>
    <t>www.lixinger.com/analytics/company/sz/002035/2035/detail</t>
  </si>
  <si>
    <t>联创电子</t>
  </si>
  <si>
    <t>www.lixinger.com/analytics/company/sz/002036/2036/detail</t>
  </si>
  <si>
    <t>保利联合</t>
  </si>
  <si>
    <t>www.lixinger.com/analytics/company/sz/002037/2037/detail</t>
  </si>
  <si>
    <t>双鹭药业</t>
  </si>
  <si>
    <t>www.lixinger.com/analytics/company/sz/002038/2038/detail</t>
  </si>
  <si>
    <t>黔源电力</t>
  </si>
  <si>
    <t>www.lixinger.com/analytics/company/sz/002039/2039/detail</t>
  </si>
  <si>
    <t>南京港</t>
  </si>
  <si>
    <t>www.lixinger.com/analytics/company/sz/002040/2040/detail</t>
  </si>
  <si>
    <t>登海种业</t>
  </si>
  <si>
    <t>www.lixinger.com/analytics/company/sz/002041/2041/detail</t>
  </si>
  <si>
    <t>华孚时尚</t>
  </si>
  <si>
    <t>www.lixinger.com/analytics/company/sz/002042/2042/detail</t>
  </si>
  <si>
    <t>兔宝宝</t>
  </si>
  <si>
    <t>www.lixinger.com/analytics/company/sz/002043/2043/detail</t>
  </si>
  <si>
    <t>美年健康</t>
  </si>
  <si>
    <t>www.lixinger.com/analytics/company/sz/002044/2044/detail</t>
  </si>
  <si>
    <t>国光电器</t>
  </si>
  <si>
    <t>www.lixinger.com/analytics/company/sz/002045/2045/detail</t>
  </si>
  <si>
    <t>国机精工</t>
  </si>
  <si>
    <t>www.lixinger.com/analytics/company/sz/002046/2046/detail</t>
  </si>
  <si>
    <t>宝鹰股份</t>
  </si>
  <si>
    <t>www.lixinger.com/analytics/company/sz/002047/2047/detail</t>
  </si>
  <si>
    <t>宁波华翔</t>
  </si>
  <si>
    <t>www.lixinger.com/analytics/company/sz/002048/2048/detail</t>
  </si>
  <si>
    <t>紫光国微</t>
  </si>
  <si>
    <t>www.lixinger.com/analytics/company/sz/002049/2049/detail</t>
  </si>
  <si>
    <t>三花智控</t>
  </si>
  <si>
    <t>www.lixinger.com/analytics/company/sz/002050/2050/detail</t>
  </si>
  <si>
    <t>中工国际</t>
  </si>
  <si>
    <t>www.lixinger.com/analytics/company/sz/002051/2051/detail</t>
  </si>
  <si>
    <t>*ST同洲</t>
  </si>
  <si>
    <t>www.lixinger.com/analytics/company/sz/002052/2052/detail</t>
  </si>
  <si>
    <t>云南能投</t>
  </si>
  <si>
    <t>www.lixinger.com/analytics/company/sz/002053/2053/detail</t>
  </si>
  <si>
    <t>德美化工</t>
  </si>
  <si>
    <t>www.lixinger.com/analytics/company/sz/002054/2054/detail</t>
  </si>
  <si>
    <t>得润电子</t>
  </si>
  <si>
    <t>www.lixinger.com/analytics/company/sz/002055/2055/detail</t>
  </si>
  <si>
    <t>横店东磁</t>
  </si>
  <si>
    <t>www.lixinger.com/analytics/company/sz/002056/2056/detail</t>
  </si>
  <si>
    <t>中钢天源</t>
  </si>
  <si>
    <t>www.lixinger.com/analytics/company/sz/002057/2057/detail</t>
  </si>
  <si>
    <t>*ST威尔</t>
  </si>
  <si>
    <t>www.lixinger.com/analytics/company/sz/002058/2058/detail</t>
  </si>
  <si>
    <t>云南旅游</t>
  </si>
  <si>
    <t>www.lixinger.com/analytics/company/sz/002059/2059/detail</t>
  </si>
  <si>
    <t>粤水电</t>
  </si>
  <si>
    <t>www.lixinger.com/analytics/company/sz/002060/2060/detail</t>
  </si>
  <si>
    <t>浙江交科</t>
  </si>
  <si>
    <t>www.lixinger.com/analytics/company/sz/002061/2061/detail</t>
  </si>
  <si>
    <t>宏润建设</t>
  </si>
  <si>
    <t>www.lixinger.com/analytics/company/sz/002062/2062/detail</t>
  </si>
  <si>
    <t>远光软件</t>
  </si>
  <si>
    <t>www.lixinger.com/analytics/company/sz/002063/2063/detail</t>
  </si>
  <si>
    <t>华峰化学</t>
  </si>
  <si>
    <t>www.lixinger.com/analytics/company/sz/002064/2064/detail</t>
  </si>
  <si>
    <t>东华软件</t>
  </si>
  <si>
    <t>www.lixinger.com/analytics/company/sz/002065/2065/detail</t>
  </si>
  <si>
    <t>瑞泰科技</t>
  </si>
  <si>
    <t>耐火材料</t>
  </si>
  <si>
    <t>www.lixinger.com/analytics/company/sz/002066/2066/detail</t>
  </si>
  <si>
    <t>景兴纸业</t>
  </si>
  <si>
    <t>www.lixinger.com/analytics/company/sz/002067/2067/detail</t>
  </si>
  <si>
    <t>黑猫股份</t>
  </si>
  <si>
    <t>www.lixinger.com/analytics/company/sz/002068/2068/detail</t>
  </si>
  <si>
    <t>獐子岛</t>
  </si>
  <si>
    <t>www.lixinger.com/analytics/company/sz/002069/2069/detail</t>
  </si>
  <si>
    <t>众和退</t>
  </si>
  <si>
    <t>www.lixinger.com/analytics/company/sz/002070/2070/detail</t>
  </si>
  <si>
    <t>长城退</t>
  </si>
  <si>
    <t>www.lixinger.com/analytics/company/sz/002071/2071/detail</t>
  </si>
  <si>
    <t>*ST凯瑞</t>
  </si>
  <si>
    <t>www.lixinger.com/analytics/company/sz/002072/2072/detail</t>
  </si>
  <si>
    <t>软控股份</t>
  </si>
  <si>
    <t>www.lixinger.com/analytics/company/sz/002073/2073/detail</t>
  </si>
  <si>
    <t>国轩高科</t>
  </si>
  <si>
    <t>www.lixinger.com/analytics/company/sz/002074/2074/detail</t>
  </si>
  <si>
    <t>沙钢股份</t>
  </si>
  <si>
    <t>www.lixinger.com/analytics/company/sz/002075/2075/detail</t>
  </si>
  <si>
    <t>*ST雪莱</t>
  </si>
  <si>
    <t>www.lixinger.com/analytics/company/sz/002076/2076/detail</t>
  </si>
  <si>
    <t>大港股份</t>
  </si>
  <si>
    <t>www.lixinger.com/analytics/company/sz/002077/2077/detail</t>
  </si>
  <si>
    <t>太阳纸业</t>
  </si>
  <si>
    <t>www.lixinger.com/analytics/company/sz/002078/2078/detail</t>
  </si>
  <si>
    <t>苏州固锝</t>
  </si>
  <si>
    <t>www.lixinger.com/analytics/company/sz/002079/2079/detail</t>
  </si>
  <si>
    <t>中材科技</t>
  </si>
  <si>
    <t>www.lixinger.com/analytics/company/sz/002080/2080/detail</t>
  </si>
  <si>
    <t>金螳螂</t>
  </si>
  <si>
    <t>www.lixinger.com/analytics/company/sz/002081/2081/detail</t>
  </si>
  <si>
    <t>万邦德</t>
  </si>
  <si>
    <t>www.lixinger.com/analytics/company/sz/002082/2082/detail</t>
  </si>
  <si>
    <t>孚日股份</t>
  </si>
  <si>
    <t>www.lixinger.com/analytics/company/sz/002083/2083/detail</t>
  </si>
  <si>
    <t>海鸥住工</t>
  </si>
  <si>
    <t>www.lixinger.com/analytics/company/sz/002084/2084/detail</t>
  </si>
  <si>
    <t>万丰奥威</t>
  </si>
  <si>
    <t>www.lixinger.com/analytics/company/sz/002085/2085/detail</t>
  </si>
  <si>
    <t>ST东洋</t>
  </si>
  <si>
    <t>www.lixinger.com/analytics/company/sz/002086/2086/detail</t>
  </si>
  <si>
    <t>新野纺织</t>
  </si>
  <si>
    <t>www.lixinger.com/analytics/company/sz/002087/2087/detail</t>
  </si>
  <si>
    <t>鲁阳节能</t>
  </si>
  <si>
    <t>www.lixinger.com/analytics/company/sz/002088/2088/detail</t>
  </si>
  <si>
    <t>ST新海</t>
  </si>
  <si>
    <t>www.lixinger.com/analytics/company/sz/002089/2089/detail</t>
  </si>
  <si>
    <t>金智科技</t>
  </si>
  <si>
    <t>www.lixinger.com/analytics/company/sz/002090/2090/detail</t>
  </si>
  <si>
    <t>江苏国泰</t>
  </si>
  <si>
    <t>www.lixinger.com/analytics/company/sz/002091/2091/detail</t>
  </si>
  <si>
    <t>中泰化学</t>
  </si>
  <si>
    <t>www.lixinger.com/analytics/company/sz/002092/2092/detail</t>
  </si>
  <si>
    <t>国脉科技</t>
  </si>
  <si>
    <t>www.lixinger.com/analytics/company/sz/002093/2093/detail</t>
  </si>
  <si>
    <t>青岛金王</t>
  </si>
  <si>
    <t>化妆品制造及其他</t>
  </si>
  <si>
    <t>www.lixinger.com/analytics/company/sz/002094/2094/detail</t>
  </si>
  <si>
    <t>生意宝</t>
  </si>
  <si>
    <t>www.lixinger.com/analytics/company/sz/002095/2095/detail</t>
  </si>
  <si>
    <t>南岭民爆</t>
  </si>
  <si>
    <t>www.lixinger.com/analytics/company/sz/002096/2096/detail</t>
  </si>
  <si>
    <t>山河智能</t>
  </si>
  <si>
    <t>www.lixinger.com/analytics/company/sz/002097/2097/detail</t>
  </si>
  <si>
    <t>浔兴股份</t>
  </si>
  <si>
    <t>www.lixinger.com/analytics/company/sz/002098/2098/detail</t>
  </si>
  <si>
    <t>海翔药业</t>
  </si>
  <si>
    <t>www.lixinger.com/analytics/company/sz/002099/2099/detail</t>
  </si>
  <si>
    <t>天康生物</t>
  </si>
  <si>
    <t>www.lixinger.com/analytics/company/sz/002100/2100/detail</t>
  </si>
  <si>
    <t>广东鸿图</t>
  </si>
  <si>
    <t>www.lixinger.com/analytics/company/sz/002101/2101/detail</t>
  </si>
  <si>
    <t>ST冠福</t>
  </si>
  <si>
    <t>www.lixinger.com/analytics/company/sz/002102/2102/detail</t>
  </si>
  <si>
    <t>广博股份</t>
  </si>
  <si>
    <t>www.lixinger.com/analytics/company/sz/002103/2103/detail</t>
  </si>
  <si>
    <t>恒宝股份</t>
  </si>
  <si>
    <t>www.lixinger.com/analytics/company/sz/002104/2104/detail</t>
  </si>
  <si>
    <t>信隆健康</t>
  </si>
  <si>
    <t>www.lixinger.com/analytics/company/sz/002105/2105/detail</t>
  </si>
  <si>
    <t>莱宝高科</t>
  </si>
  <si>
    <t>www.lixinger.com/analytics/company/sz/002106/2106/detail</t>
  </si>
  <si>
    <t>沃华医药</t>
  </si>
  <si>
    <t>www.lixinger.com/analytics/company/sz/002107/2107/detail</t>
  </si>
  <si>
    <t>沧州明珠</t>
  </si>
  <si>
    <t>www.lixinger.com/analytics/company/sz/002108/2108/detail</t>
  </si>
  <si>
    <t>兴化股份</t>
  </si>
  <si>
    <t>www.lixinger.com/analytics/company/sz/002109/2109/detail</t>
  </si>
  <si>
    <t>三钢闽光</t>
  </si>
  <si>
    <t>www.lixinger.com/analytics/company/sz/002110/2110/detail</t>
  </si>
  <si>
    <t>威海广泰</t>
  </si>
  <si>
    <t>www.lixinger.com/analytics/company/sz/002111/2111/detail</t>
  </si>
  <si>
    <t>三变科技</t>
  </si>
  <si>
    <t>www.lixinger.com/analytics/company/sz/002112/2112/detail</t>
  </si>
  <si>
    <t>ST天润</t>
  </si>
  <si>
    <t>www.lixinger.com/analytics/company/sz/002113/2113/detail</t>
  </si>
  <si>
    <t>罗平锌电</t>
  </si>
  <si>
    <t>www.lixinger.com/analytics/company/sz/002114/2114/detail</t>
  </si>
  <si>
    <t>三维通信</t>
  </si>
  <si>
    <t>www.lixinger.com/analytics/company/sz/002115/2115/detail</t>
  </si>
  <si>
    <t>中国海诚</t>
  </si>
  <si>
    <t>www.lixinger.com/analytics/company/sz/002116/2116/detail</t>
  </si>
  <si>
    <t>东港股份</t>
  </si>
  <si>
    <t>www.lixinger.com/analytics/company/sz/002117/2117/detail</t>
  </si>
  <si>
    <t>紫鑫药业</t>
  </si>
  <si>
    <t>www.lixinger.com/analytics/company/sz/002118/2118/detail</t>
  </si>
  <si>
    <t>康强电子</t>
  </si>
  <si>
    <t>www.lixinger.com/analytics/company/sz/002119/2119/detail</t>
  </si>
  <si>
    <t>韵达股份</t>
  </si>
  <si>
    <t>www.lixinger.com/analytics/company/sz/002120/2120/detail</t>
  </si>
  <si>
    <t>科陆电子</t>
  </si>
  <si>
    <t>www.lixinger.com/analytics/company/sz/002121/2121/detail</t>
  </si>
  <si>
    <t>ST天马</t>
  </si>
  <si>
    <t>www.lixinger.com/analytics/company/sz/002122/2122/detail</t>
  </si>
  <si>
    <t>梦网科技</t>
  </si>
  <si>
    <t>www.lixinger.com/analytics/company/sz/002123/2123/detail</t>
  </si>
  <si>
    <t>天邦股份</t>
  </si>
  <si>
    <t>www.lixinger.com/analytics/company/sz/002124/2124/detail</t>
  </si>
  <si>
    <t>湘潭电化</t>
  </si>
  <si>
    <t>www.lixinger.com/analytics/company/sz/002125/2125/detail</t>
  </si>
  <si>
    <t>银轮股份</t>
  </si>
  <si>
    <t>www.lixinger.com/analytics/company/sz/002126/2126/detail</t>
  </si>
  <si>
    <t>南极电商</t>
  </si>
  <si>
    <t>www.lixinger.com/analytics/company/sz/002127/2127/detail</t>
  </si>
  <si>
    <t>电投能源</t>
  </si>
  <si>
    <t>www.lixinger.com/analytics/company/sz/002128/2128/detail</t>
  </si>
  <si>
    <t>中环股份</t>
  </si>
  <si>
    <t>www.lixinger.com/analytics/company/sz/002129/2129/detail</t>
  </si>
  <si>
    <t>沃尔核材</t>
  </si>
  <si>
    <t>www.lixinger.com/analytics/company/sz/002130/2130/detail</t>
  </si>
  <si>
    <t>利欧股份</t>
  </si>
  <si>
    <t>www.lixinger.com/analytics/company/sz/002131/2131/detail</t>
  </si>
  <si>
    <t>恒星科技</t>
  </si>
  <si>
    <t>www.lixinger.com/analytics/company/sz/002132/2132/detail</t>
  </si>
  <si>
    <t>广宇集团</t>
  </si>
  <si>
    <t>www.lixinger.com/analytics/company/sz/002133/2133/detail</t>
  </si>
  <si>
    <t>天津普林</t>
  </si>
  <si>
    <t>www.lixinger.com/analytics/company/sz/002134/2134/detail</t>
  </si>
  <si>
    <t>东南网架</t>
  </si>
  <si>
    <t>www.lixinger.com/analytics/company/sz/002135/2135/detail</t>
  </si>
  <si>
    <t>安纳达</t>
  </si>
  <si>
    <t>www.lixinger.com/analytics/company/sz/002136/2136/detail</t>
  </si>
  <si>
    <t>实益达</t>
  </si>
  <si>
    <t>www.lixinger.com/analytics/company/sz/002137/2137/detail</t>
  </si>
  <si>
    <t>顺络电子</t>
  </si>
  <si>
    <t>www.lixinger.com/analytics/company/sz/002138/2138/detail</t>
  </si>
  <si>
    <t>拓邦股份</t>
  </si>
  <si>
    <t>www.lixinger.com/analytics/company/sz/002139/2139/detail</t>
  </si>
  <si>
    <t>东华科技</t>
  </si>
  <si>
    <t>www.lixinger.com/analytics/company/sz/002140/2140/detail</t>
  </si>
  <si>
    <t>贤丰控股</t>
  </si>
  <si>
    <t>www.lixinger.com/analytics/company/sz/002141/2141/detail</t>
  </si>
  <si>
    <t>宁波银行</t>
  </si>
  <si>
    <t>www.lixinger.com/analytics/company/sz/002142/2142/detail</t>
  </si>
  <si>
    <t>印纪退</t>
  </si>
  <si>
    <t>www.lixinger.com/analytics/company/sz/002143/2143/detail</t>
  </si>
  <si>
    <t>宏达高科</t>
  </si>
  <si>
    <t>www.lixinger.com/analytics/company/sz/002144/2144/detail</t>
  </si>
  <si>
    <t>中核钛白</t>
  </si>
  <si>
    <t>www.lixinger.com/analytics/company/sz/002145/2145/detail</t>
  </si>
  <si>
    <t>荣盛发展</t>
  </si>
  <si>
    <t>www.lixinger.com/analytics/company/sz/002146/2146/detail</t>
  </si>
  <si>
    <t>*ST新光</t>
  </si>
  <si>
    <t>www.lixinger.com/analytics/company/sz/002147/2147/detail</t>
  </si>
  <si>
    <t>北纬科技</t>
  </si>
  <si>
    <t>www.lixinger.com/analytics/company/sz/002148/2148/detail</t>
  </si>
  <si>
    <t>西部材料</t>
  </si>
  <si>
    <t>www.lixinger.com/analytics/company/sz/002149/2149/detail</t>
  </si>
  <si>
    <t>通润装备</t>
  </si>
  <si>
    <t>www.lixinger.com/analytics/company/sz/002150/2150/detail</t>
  </si>
  <si>
    <t>北斗星通</t>
  </si>
  <si>
    <t>www.lixinger.com/analytics/company/sz/002151/2151/detail</t>
  </si>
  <si>
    <t>广电运通</t>
  </si>
  <si>
    <t>www.lixinger.com/analytics/company/sz/002152/2152/detail</t>
  </si>
  <si>
    <t>石基信息</t>
  </si>
  <si>
    <t>www.lixinger.com/analytics/company/sz/002153/2153/detail</t>
  </si>
  <si>
    <t>报喜鸟</t>
  </si>
  <si>
    <t>www.lixinger.com/analytics/company/sz/002154/2154/detail</t>
  </si>
  <si>
    <t>湖南黄金</t>
  </si>
  <si>
    <t>www.lixinger.com/analytics/company/sz/002155/2155/detail</t>
  </si>
  <si>
    <t>通富微电</t>
  </si>
  <si>
    <t>www.lixinger.com/analytics/company/sz/002156/2156/detail</t>
  </si>
  <si>
    <t>正邦科技</t>
  </si>
  <si>
    <t>www.lixinger.com/analytics/company/sz/002157/2157/detail</t>
  </si>
  <si>
    <t>汉钟精机</t>
  </si>
  <si>
    <t>www.lixinger.com/analytics/company/sz/002158/2158/detail</t>
  </si>
  <si>
    <t>三特索道</t>
  </si>
  <si>
    <t>www.lixinger.com/analytics/company/sz/002159/2159/detail</t>
  </si>
  <si>
    <t>常铝股份</t>
  </si>
  <si>
    <t>www.lixinger.com/analytics/company/sz/002160/2160/detail</t>
  </si>
  <si>
    <t>远望谷</t>
  </si>
  <si>
    <t>www.lixinger.com/analytics/company/sz/002161/2161/detail</t>
  </si>
  <si>
    <t>悦心健康</t>
  </si>
  <si>
    <t>www.lixinger.com/analytics/company/sz/002162/2162/detail</t>
  </si>
  <si>
    <t>海南发展</t>
  </si>
  <si>
    <t>www.lixinger.com/analytics/company/sz/002163/2163/detail</t>
  </si>
  <si>
    <t>宁波东力</t>
  </si>
  <si>
    <t>www.lixinger.com/analytics/company/sz/002164/2164/detail</t>
  </si>
  <si>
    <t>红宝丽</t>
  </si>
  <si>
    <t>www.lixinger.com/analytics/company/sz/002165/2165/detail</t>
  </si>
  <si>
    <t>莱茵生物</t>
  </si>
  <si>
    <t>www.lixinger.com/analytics/company/sz/002166/2166/detail</t>
  </si>
  <si>
    <t>东方锆业</t>
  </si>
  <si>
    <t>www.lixinger.com/analytics/company/sz/002167/2167/detail</t>
  </si>
  <si>
    <t>惠程科技</t>
  </si>
  <si>
    <t>www.lixinger.com/analytics/company/sz/002168/2168/detail</t>
  </si>
  <si>
    <t>智光电气</t>
  </si>
  <si>
    <t>www.lixinger.com/analytics/company/sz/002169/2169/detail</t>
  </si>
  <si>
    <t>芭田股份</t>
  </si>
  <si>
    <t>www.lixinger.com/analytics/company/sz/002170/2170/detail</t>
  </si>
  <si>
    <t>楚江新材</t>
  </si>
  <si>
    <t>www.lixinger.com/analytics/company/sz/002171/2171/detail</t>
  </si>
  <si>
    <t>澳洋健康</t>
  </si>
  <si>
    <t>www.lixinger.com/analytics/company/sz/002172/2172/detail</t>
  </si>
  <si>
    <t>创新医疗</t>
  </si>
  <si>
    <t>www.lixinger.com/analytics/company/sz/002173/2173/detail</t>
  </si>
  <si>
    <t>游族网络</t>
  </si>
  <si>
    <t>www.lixinger.com/analytics/company/sz/002174/2174/detail</t>
  </si>
  <si>
    <t>东方网络</t>
  </si>
  <si>
    <t>www.lixinger.com/analytics/company/sz/002175/2175/detail</t>
  </si>
  <si>
    <t>江特电机</t>
  </si>
  <si>
    <t>www.lixinger.com/analytics/company/sz/002176/2176/detail</t>
  </si>
  <si>
    <t>御银股份</t>
  </si>
  <si>
    <t>www.lixinger.com/analytics/company/sz/002177/2177/detail</t>
  </si>
  <si>
    <t>延华智能</t>
  </si>
  <si>
    <t>www.lixinger.com/analytics/company/sz/002178/2178/detail</t>
  </si>
  <si>
    <t>中航光电</t>
  </si>
  <si>
    <t>www.lixinger.com/analytics/company/sz/002179/2179/detail</t>
  </si>
  <si>
    <t>纳思达</t>
  </si>
  <si>
    <t>www.lixinger.com/analytics/company/sz/002180/2180/detail</t>
  </si>
  <si>
    <t>粤传媒</t>
  </si>
  <si>
    <t>www.lixinger.com/analytics/company/sz/002181/2181/detail</t>
  </si>
  <si>
    <t>云海金属</t>
  </si>
  <si>
    <t>www.lixinger.com/analytics/company/sz/002182/2182/detail</t>
  </si>
  <si>
    <t>怡亚通</t>
  </si>
  <si>
    <t>www.lixinger.com/analytics/company/sz/002183/2183/detail</t>
  </si>
  <si>
    <t>海得控制</t>
  </si>
  <si>
    <t>www.lixinger.com/analytics/company/sz/002184/2184/detail</t>
  </si>
  <si>
    <t>华天科技</t>
  </si>
  <si>
    <t>www.lixinger.com/analytics/company/sz/002185/2185/detail</t>
  </si>
  <si>
    <t>全聚德</t>
  </si>
  <si>
    <t>www.lixinger.com/analytics/company/sz/002186/2186/detail</t>
  </si>
  <si>
    <t>广百股份</t>
  </si>
  <si>
    <t>www.lixinger.com/analytics/company/sz/002187/2187/detail</t>
  </si>
  <si>
    <t>*ST巴士</t>
  </si>
  <si>
    <t>www.lixinger.com/analytics/company/sz/002188/2188/detail</t>
  </si>
  <si>
    <t>中光学</t>
  </si>
  <si>
    <t>www.lixinger.com/analytics/company/sz/002189/2189/detail</t>
  </si>
  <si>
    <t>成飞集成</t>
  </si>
  <si>
    <t>www.lixinger.com/analytics/company/sz/002190/2190/detail</t>
  </si>
  <si>
    <t>劲嘉股份</t>
  </si>
  <si>
    <t>www.lixinger.com/analytics/company/sz/002191/2191/detail</t>
  </si>
  <si>
    <t>融捷股份</t>
  </si>
  <si>
    <t>www.lixinger.com/analytics/company/sz/002192/2192/detail</t>
  </si>
  <si>
    <t>如意集团</t>
  </si>
  <si>
    <t>www.lixinger.com/analytics/company/sz/002193/2193/detail</t>
  </si>
  <si>
    <t>武汉凡谷</t>
  </si>
  <si>
    <t>www.lixinger.com/analytics/company/sz/002194/2194/detail</t>
  </si>
  <si>
    <t>二三四五</t>
  </si>
  <si>
    <t>www.lixinger.com/analytics/company/sz/002195/2195/detail</t>
  </si>
  <si>
    <t>方正电机</t>
  </si>
  <si>
    <t>www.lixinger.com/analytics/company/sz/002196/2196/detail</t>
  </si>
  <si>
    <t>证通电子</t>
  </si>
  <si>
    <t>www.lixinger.com/analytics/company/sz/002197/2197/detail</t>
  </si>
  <si>
    <t>嘉应制药</t>
  </si>
  <si>
    <t>www.lixinger.com/analytics/company/sz/002198/2198/detail</t>
  </si>
  <si>
    <t>东晶电子</t>
  </si>
  <si>
    <t>www.lixinger.com/analytics/company/sz/002199/2199/detail</t>
  </si>
  <si>
    <t>ST云投</t>
  </si>
  <si>
    <t>www.lixinger.com/analytics/company/sz/002200/2200/detail</t>
  </si>
  <si>
    <t>正威新材</t>
  </si>
  <si>
    <t>www.lixinger.com/analytics/company/sz/002201/2201/detail</t>
  </si>
  <si>
    <t>金风科技</t>
  </si>
  <si>
    <t>www.lixinger.com/analytics/company/sz/002202/2202/detail</t>
  </si>
  <si>
    <t>海亮股份</t>
  </si>
  <si>
    <t>www.lixinger.com/analytics/company/sz/002203/2203/detail</t>
  </si>
  <si>
    <t>大连重工</t>
  </si>
  <si>
    <t>www.lixinger.com/analytics/company/sz/002204/2204/detail</t>
  </si>
  <si>
    <t>国统股份</t>
  </si>
  <si>
    <t>www.lixinger.com/analytics/company/sz/002205/2205/detail</t>
  </si>
  <si>
    <t>海利得</t>
  </si>
  <si>
    <t>www.lixinger.com/analytics/company/sz/002206/2206/detail</t>
  </si>
  <si>
    <t>准油股份</t>
  </si>
  <si>
    <t>www.lixinger.com/analytics/company/sz/002207/2207/detail</t>
  </si>
  <si>
    <t>合肥城建</t>
  </si>
  <si>
    <t>www.lixinger.com/analytics/company/sz/002208/2208/detail</t>
  </si>
  <si>
    <t>达意隆</t>
  </si>
  <si>
    <t>www.lixinger.com/analytics/company/sz/002209/2209/detail</t>
  </si>
  <si>
    <t>飞马国际</t>
  </si>
  <si>
    <t>www.lixinger.com/analytics/company/sz/002210/2210/detail</t>
  </si>
  <si>
    <t>宏达新材</t>
  </si>
  <si>
    <t>www.lixinger.com/analytics/company/sz/002211/2211/detail</t>
  </si>
  <si>
    <t>天融信</t>
  </si>
  <si>
    <t>www.lixinger.com/analytics/company/sz/002212/2212/detail</t>
  </si>
  <si>
    <t>大为股份</t>
  </si>
  <si>
    <t>www.lixinger.com/analytics/company/sz/002213/2213/detail</t>
  </si>
  <si>
    <t>大立科技</t>
  </si>
  <si>
    <t>www.lixinger.com/analytics/company/sz/002214/2214/detail</t>
  </si>
  <si>
    <t>诺普信</t>
  </si>
  <si>
    <t>www.lixinger.com/analytics/company/sz/002215/2215/detail</t>
  </si>
  <si>
    <t>三全食品</t>
  </si>
  <si>
    <t>www.lixinger.com/analytics/company/sz/002216/2216/detail</t>
  </si>
  <si>
    <t>合力泰</t>
  </si>
  <si>
    <t>www.lixinger.com/analytics/company/sz/002217/2217/detail</t>
  </si>
  <si>
    <t>拓日新能</t>
  </si>
  <si>
    <t>www.lixinger.com/analytics/company/sz/002218/2218/detail</t>
  </si>
  <si>
    <t>*ST恒康</t>
  </si>
  <si>
    <t>www.lixinger.com/analytics/company/sz/002219/2219/detail</t>
  </si>
  <si>
    <t>天宝退</t>
  </si>
  <si>
    <t>www.lixinger.com/analytics/company/sz/002220/2220/detail</t>
  </si>
  <si>
    <t>东华能源</t>
  </si>
  <si>
    <t>www.lixinger.com/analytics/company/sz/002221/2221/detail</t>
  </si>
  <si>
    <t>福晶科技</t>
  </si>
  <si>
    <t>www.lixinger.com/analytics/company/sz/002222/2222/detail</t>
  </si>
  <si>
    <t>鱼跃医疗</t>
  </si>
  <si>
    <t>www.lixinger.com/analytics/company/sz/002223/2223/detail</t>
  </si>
  <si>
    <t>三力士</t>
  </si>
  <si>
    <t>www.lixinger.com/analytics/company/sz/002224/2224/detail</t>
  </si>
  <si>
    <t>濮耐股份</t>
  </si>
  <si>
    <t>www.lixinger.com/analytics/company/sz/002225/2225/detail</t>
  </si>
  <si>
    <t>江南化工</t>
  </si>
  <si>
    <t>www.lixinger.com/analytics/company/sz/002226/2226/detail</t>
  </si>
  <si>
    <t>奥特迅</t>
  </si>
  <si>
    <t>www.lixinger.com/analytics/company/sz/002227/2227/detail</t>
  </si>
  <si>
    <t>合兴包装</t>
  </si>
  <si>
    <t>www.lixinger.com/analytics/company/sz/002228/2228/detail</t>
  </si>
  <si>
    <t>鸿博股份</t>
  </si>
  <si>
    <t>www.lixinger.com/analytics/company/sz/002229/2229/detail</t>
  </si>
  <si>
    <t>科大讯飞</t>
  </si>
  <si>
    <t>www.lixinger.com/analytics/company/sz/002230/2230/detail</t>
  </si>
  <si>
    <t>奥维通信</t>
  </si>
  <si>
    <t>www.lixinger.com/analytics/company/sz/002231/2231/detail</t>
  </si>
  <si>
    <t>启明信息</t>
  </si>
  <si>
    <t>www.lixinger.com/analytics/company/sz/002232/2232/detail</t>
  </si>
  <si>
    <t>塔牌集团</t>
  </si>
  <si>
    <t>www.lixinger.com/analytics/company/sz/002233/2233/detail</t>
  </si>
  <si>
    <t>民和股份</t>
  </si>
  <si>
    <t>肉鸡养殖</t>
  </si>
  <si>
    <t>www.lixinger.com/analytics/company/sz/002234/2234/detail</t>
  </si>
  <si>
    <t>安妮股份</t>
  </si>
  <si>
    <t>www.lixinger.com/analytics/company/sz/002235/2235/detail</t>
  </si>
  <si>
    <t>大华股份</t>
  </si>
  <si>
    <t>www.lixinger.com/analytics/company/sz/002236/2236/detail</t>
  </si>
  <si>
    <t>恒邦股份</t>
  </si>
  <si>
    <t>www.lixinger.com/analytics/company/sz/002237/2237/detail</t>
  </si>
  <si>
    <t>天威视讯</t>
  </si>
  <si>
    <t>www.lixinger.com/analytics/company/sz/002238/2238/detail</t>
  </si>
  <si>
    <t>奥特佳</t>
  </si>
  <si>
    <t>www.lixinger.com/analytics/company/sz/002239/2239/detail</t>
  </si>
  <si>
    <t>盛新锂能</t>
  </si>
  <si>
    <t>www.lixinger.com/analytics/company/sz/002240/2240/detail</t>
  </si>
  <si>
    <t>歌尔股份</t>
  </si>
  <si>
    <t>www.lixinger.com/analytics/company/sz/002241/2241/detail</t>
  </si>
  <si>
    <t>九阳股份</t>
  </si>
  <si>
    <t>www.lixinger.com/analytics/company/sz/002242/2242/detail</t>
  </si>
  <si>
    <t>力合科创</t>
  </si>
  <si>
    <t>www.lixinger.com/analytics/company/sz/002243/2243/detail</t>
  </si>
  <si>
    <t>滨江集团</t>
  </si>
  <si>
    <t>www.lixinger.com/analytics/company/sz/002244/2244/detail</t>
  </si>
  <si>
    <t>蔚蓝锂芯</t>
  </si>
  <si>
    <t>www.lixinger.com/analytics/company/sz/002245/2245/detail</t>
  </si>
  <si>
    <t>北化股份</t>
  </si>
  <si>
    <t>www.lixinger.com/analytics/company/sz/002246/2246/detail</t>
  </si>
  <si>
    <t>聚力文化</t>
  </si>
  <si>
    <t>www.lixinger.com/analytics/company/sz/002247/2247/detail</t>
  </si>
  <si>
    <t>华东数控</t>
  </si>
  <si>
    <t>www.lixinger.com/analytics/company/sz/002248/2248/detail</t>
  </si>
  <si>
    <t>大洋电机</t>
  </si>
  <si>
    <t>www.lixinger.com/analytics/company/sz/002249/2249/detail</t>
  </si>
  <si>
    <t>联化科技</t>
  </si>
  <si>
    <t>www.lixinger.com/analytics/company/sz/002250/2250/detail</t>
  </si>
  <si>
    <t>步步高</t>
  </si>
  <si>
    <t>www.lixinger.com/analytics/company/sz/002251/2251/detail</t>
  </si>
  <si>
    <t>上海莱士</t>
  </si>
  <si>
    <t>www.lixinger.com/analytics/company/sz/002252/2252/detail</t>
  </si>
  <si>
    <t>川大智胜</t>
  </si>
  <si>
    <t>www.lixinger.com/analytics/company/sz/002253/2253/detail</t>
  </si>
  <si>
    <t>泰和新材</t>
  </si>
  <si>
    <t>www.lixinger.com/analytics/company/sz/002254/2254/detail</t>
  </si>
  <si>
    <t>海陆重工</t>
  </si>
  <si>
    <t>www.lixinger.com/analytics/company/sz/002255/2255/detail</t>
  </si>
  <si>
    <t>兆新股份</t>
  </si>
  <si>
    <t>www.lixinger.com/analytics/company/sz/002256/2256/detail</t>
  </si>
  <si>
    <t>利尔化学</t>
  </si>
  <si>
    <t>www.lixinger.com/analytics/company/sz/002258/2258/detail</t>
  </si>
  <si>
    <t>ST升达</t>
  </si>
  <si>
    <t>www.lixinger.com/analytics/company/sz/002259/2259/detail</t>
  </si>
  <si>
    <t>*ST德奥</t>
  </si>
  <si>
    <t>www.lixinger.com/analytics/company/sz/002260/2260/detail</t>
  </si>
  <si>
    <t>拓维信息</t>
  </si>
  <si>
    <t>www.lixinger.com/analytics/company/sz/002261/2261/detail</t>
  </si>
  <si>
    <t>恩华药业</t>
  </si>
  <si>
    <t>www.lixinger.com/analytics/company/sz/002262/2262/detail</t>
  </si>
  <si>
    <t>大东南</t>
  </si>
  <si>
    <t>www.lixinger.com/analytics/company/sz/002263/2263/detail</t>
  </si>
  <si>
    <t>新华都</t>
  </si>
  <si>
    <t>www.lixinger.com/analytics/company/sz/002264/2264/detail</t>
  </si>
  <si>
    <t>西仪股份</t>
  </si>
  <si>
    <t>www.lixinger.com/analytics/company/sz/002265/2265/detail</t>
  </si>
  <si>
    <t>浙富控股</t>
  </si>
  <si>
    <t>www.lixinger.com/analytics/company/sz/002266/2266/detail</t>
  </si>
  <si>
    <t>陕天然气</t>
  </si>
  <si>
    <t>www.lixinger.com/analytics/company/sz/002267/2267/detail</t>
  </si>
  <si>
    <t>卫士通</t>
  </si>
  <si>
    <t>www.lixinger.com/analytics/company/sz/002268/2268/detail</t>
  </si>
  <si>
    <t>美邦服饰</t>
  </si>
  <si>
    <t>www.lixinger.com/analytics/company/sz/002269/2269/detail</t>
  </si>
  <si>
    <t>华明装备</t>
  </si>
  <si>
    <t>www.lixinger.com/analytics/company/sz/002270/2270/detail</t>
  </si>
  <si>
    <t>东方雨虹</t>
  </si>
  <si>
    <t>防水材料</t>
  </si>
  <si>
    <t>www.lixinger.com/analytics/company/sz/002271/2271/detail</t>
  </si>
  <si>
    <t>川润股份</t>
  </si>
  <si>
    <t>www.lixinger.com/analytics/company/sz/002272/2272/detail</t>
  </si>
  <si>
    <t>水晶光电</t>
  </si>
  <si>
    <t>www.lixinger.com/analytics/company/sz/002273/2273/detail</t>
  </si>
  <si>
    <t>华昌化工</t>
  </si>
  <si>
    <t>www.lixinger.com/analytics/company/sz/002274/2274/detail</t>
  </si>
  <si>
    <t>桂林三金</t>
  </si>
  <si>
    <t>www.lixinger.com/analytics/company/sz/002275/2275/detail</t>
  </si>
  <si>
    <t>万马股份</t>
  </si>
  <si>
    <t>www.lixinger.com/analytics/company/sz/002276/2276/detail</t>
  </si>
  <si>
    <t>友阿股份</t>
  </si>
  <si>
    <t>www.lixinger.com/analytics/company/sz/002277/2277/detail</t>
  </si>
  <si>
    <t>神开股份</t>
  </si>
  <si>
    <t>www.lixinger.com/analytics/company/sz/002278/2278/detail</t>
  </si>
  <si>
    <t>久其软件</t>
  </si>
  <si>
    <t>www.lixinger.com/analytics/company/sz/002279/2279/detail</t>
  </si>
  <si>
    <t>联络互动</t>
  </si>
  <si>
    <t>www.lixinger.com/analytics/company/sz/002280/2280/detail</t>
  </si>
  <si>
    <t>光迅科技</t>
  </si>
  <si>
    <t>www.lixinger.com/analytics/company/sz/002281/2281/detail</t>
  </si>
  <si>
    <t>博深股份</t>
  </si>
  <si>
    <t>www.lixinger.com/analytics/company/sz/002282/2282/detail</t>
  </si>
  <si>
    <t>天润工业</t>
  </si>
  <si>
    <t>www.lixinger.com/analytics/company/sz/002283/2283/detail</t>
  </si>
  <si>
    <t>亚太股份</t>
  </si>
  <si>
    <t>www.lixinger.com/analytics/company/sz/002284/2284/detail</t>
  </si>
  <si>
    <t>世联行</t>
  </si>
  <si>
    <t>www.lixinger.com/analytics/company/sz/002285/2285/detail</t>
  </si>
  <si>
    <t>保龄宝</t>
  </si>
  <si>
    <t>www.lixinger.com/analytics/company/sz/002286/2286/detail</t>
  </si>
  <si>
    <t>奇正藏药</t>
  </si>
  <si>
    <t>www.lixinger.com/analytics/company/sz/002287/2287/detail</t>
  </si>
  <si>
    <t>超华科技</t>
  </si>
  <si>
    <t>www.lixinger.com/analytics/company/sz/002288/2288/detail</t>
  </si>
  <si>
    <t>宇顺电子</t>
  </si>
  <si>
    <t>www.lixinger.com/analytics/company/sz/002289/2289/detail</t>
  </si>
  <si>
    <t>禾盛新材</t>
  </si>
  <si>
    <t>www.lixinger.com/analytics/company/sz/002290/2290/detail</t>
  </si>
  <si>
    <t>星期六</t>
  </si>
  <si>
    <t>www.lixinger.com/analytics/company/sz/002291/2291/detail</t>
  </si>
  <si>
    <t>奥飞娱乐</t>
  </si>
  <si>
    <t>www.lixinger.com/analytics/company/sz/002292/2292/detail</t>
  </si>
  <si>
    <t>罗莱生活</t>
  </si>
  <si>
    <t>www.lixinger.com/analytics/company/sz/002293/2293/detail</t>
  </si>
  <si>
    <t>信立泰</t>
  </si>
  <si>
    <t>www.lixinger.com/analytics/company/sz/002294/2294/detail</t>
  </si>
  <si>
    <t>精艺股份</t>
  </si>
  <si>
    <t>www.lixinger.com/analytics/company/sz/002295/2295/detail</t>
  </si>
  <si>
    <t>辉煌科技</t>
  </si>
  <si>
    <t>www.lixinger.com/analytics/company/sz/002296/2296/detail</t>
  </si>
  <si>
    <t>博云新材</t>
  </si>
  <si>
    <t>www.lixinger.com/analytics/company/sz/002297/2297/detail</t>
  </si>
  <si>
    <t>中电兴发</t>
  </si>
  <si>
    <t>www.lixinger.com/analytics/company/sz/002298/2298/detail</t>
  </si>
  <si>
    <t>圣农发展</t>
  </si>
  <si>
    <t>www.lixinger.com/analytics/company/sz/002299/2299/detail</t>
  </si>
  <si>
    <t>太阳电缆</t>
  </si>
  <si>
    <t>www.lixinger.com/analytics/company/sz/002300/2300/detail</t>
  </si>
  <si>
    <t>齐心集团</t>
  </si>
  <si>
    <t>www.lixinger.com/analytics/company/sz/002301/2301/detail</t>
  </si>
  <si>
    <t>西部建设</t>
  </si>
  <si>
    <t>www.lixinger.com/analytics/company/sz/002302/2302/detail</t>
  </si>
  <si>
    <t>美盈森</t>
  </si>
  <si>
    <t>www.lixinger.com/analytics/company/sz/002303/2303/detail</t>
  </si>
  <si>
    <t>洋河股份</t>
  </si>
  <si>
    <t>www.lixinger.com/analytics/company/sz/002304/2304/detail</t>
  </si>
  <si>
    <t>南国置业</t>
  </si>
  <si>
    <t>www.lixinger.com/analytics/company/sz/002305/2305/detail</t>
  </si>
  <si>
    <t>中科云网</t>
  </si>
  <si>
    <t>www.lixinger.com/analytics/company/sz/002306/2306/detail</t>
  </si>
  <si>
    <t>北新路桥</t>
  </si>
  <si>
    <t>www.lixinger.com/analytics/company/sz/002307/2307/detail</t>
  </si>
  <si>
    <t>威创股份</t>
  </si>
  <si>
    <t>www.lixinger.com/analytics/company/sz/002308/2308/detail</t>
  </si>
  <si>
    <t>中利集团</t>
  </si>
  <si>
    <t>www.lixinger.com/analytics/company/sz/002309/2309/detail</t>
  </si>
  <si>
    <t>东方园林</t>
  </si>
  <si>
    <t>www.lixinger.com/analytics/company/sz/002310/2310/detail</t>
  </si>
  <si>
    <t>海大集团</t>
  </si>
  <si>
    <t>www.lixinger.com/analytics/company/sz/002311/2311/detail</t>
  </si>
  <si>
    <t>川发龙蟒</t>
  </si>
  <si>
    <t>www.lixinger.com/analytics/company/sz/002312/2312/detail</t>
  </si>
  <si>
    <t>日海智能</t>
  </si>
  <si>
    <t>www.lixinger.com/analytics/company/sz/002313/2313/detail</t>
  </si>
  <si>
    <t>南山控股</t>
  </si>
  <si>
    <t>www.lixinger.com/analytics/company/sz/002314/2314/detail</t>
  </si>
  <si>
    <t>焦点科技</t>
  </si>
  <si>
    <t>www.lixinger.com/analytics/company/sz/002315/2315/detail</t>
  </si>
  <si>
    <t>亚联发展</t>
  </si>
  <si>
    <t>金融信息服务</t>
  </si>
  <si>
    <t>www.lixinger.com/analytics/company/sz/002316/2316/detail</t>
  </si>
  <si>
    <t>众生药业</t>
  </si>
  <si>
    <t>www.lixinger.com/analytics/company/sz/002317/2317/detail</t>
  </si>
  <si>
    <t>久立特材</t>
  </si>
  <si>
    <t>www.lixinger.com/analytics/company/sz/002318/2318/detail</t>
  </si>
  <si>
    <t>乐通股份</t>
  </si>
  <si>
    <t>www.lixinger.com/analytics/company/sz/002319/2319/detail</t>
  </si>
  <si>
    <t>海峡股份</t>
  </si>
  <si>
    <t>www.lixinger.com/analytics/company/sz/002320/2320/detail</t>
  </si>
  <si>
    <t>*ST华英</t>
  </si>
  <si>
    <t>www.lixinger.com/analytics/company/sz/002321/2321/detail</t>
  </si>
  <si>
    <t>理工能科</t>
  </si>
  <si>
    <t>www.lixinger.com/analytics/company/sz/002322/2322/detail</t>
  </si>
  <si>
    <t>*ST雅博</t>
  </si>
  <si>
    <t>www.lixinger.com/analytics/company/sz/002323/2323/detail</t>
  </si>
  <si>
    <t>普利特</t>
  </si>
  <si>
    <t>www.lixinger.com/analytics/company/sz/002324/2324/detail</t>
  </si>
  <si>
    <t>洪涛股份</t>
  </si>
  <si>
    <t>www.lixinger.com/analytics/company/sz/002325/2325/detail</t>
  </si>
  <si>
    <t>永太科技</t>
  </si>
  <si>
    <t>www.lixinger.com/analytics/company/sz/002326/2326/detail</t>
  </si>
  <si>
    <t>富安娜</t>
  </si>
  <si>
    <t>www.lixinger.com/analytics/company/sz/002327/2327/detail</t>
  </si>
  <si>
    <t>新朋股份</t>
  </si>
  <si>
    <t>www.lixinger.com/analytics/company/sz/002328/2328/detail</t>
  </si>
  <si>
    <t>皇氏集团</t>
  </si>
  <si>
    <t>www.lixinger.com/analytics/company/sz/002329/2329/detail</t>
  </si>
  <si>
    <t>得利斯</t>
  </si>
  <si>
    <t>www.lixinger.com/analytics/company/sz/002330/2330/detail</t>
  </si>
  <si>
    <t>皖通科技</t>
  </si>
  <si>
    <t>www.lixinger.com/analytics/company/sz/002331/2331/detail</t>
  </si>
  <si>
    <t>仙琚制药</t>
  </si>
  <si>
    <t>www.lixinger.com/analytics/company/sz/002332/2332/detail</t>
  </si>
  <si>
    <t>罗普斯金</t>
  </si>
  <si>
    <t>www.lixinger.com/analytics/company/sz/002333/2333/detail</t>
  </si>
  <si>
    <t>英威腾</t>
  </si>
  <si>
    <t>www.lixinger.com/analytics/company/sz/002334/2334/detail</t>
  </si>
  <si>
    <t>科华数据</t>
  </si>
  <si>
    <t>www.lixinger.com/analytics/company/sz/002335/2335/detail</t>
  </si>
  <si>
    <t>人人乐</t>
  </si>
  <si>
    <t>www.lixinger.com/analytics/company/sz/002336/2336/detail</t>
  </si>
  <si>
    <t>赛象科技</t>
  </si>
  <si>
    <t>www.lixinger.com/analytics/company/sz/002337/2337/detail</t>
  </si>
  <si>
    <t>奥普光电</t>
  </si>
  <si>
    <t>www.lixinger.com/analytics/company/sz/002338/2338/detail</t>
  </si>
  <si>
    <t>积成电子</t>
  </si>
  <si>
    <t>www.lixinger.com/analytics/company/sz/002339/2339/detail</t>
  </si>
  <si>
    <t>格林美</t>
  </si>
  <si>
    <t>www.lixinger.com/analytics/company/sz/002340/2340/detail</t>
  </si>
  <si>
    <t>新纶新材</t>
  </si>
  <si>
    <t>www.lixinger.com/analytics/company/sz/002341/2341/detail</t>
  </si>
  <si>
    <t>巨力索具</t>
  </si>
  <si>
    <t>www.lixinger.com/analytics/company/sz/002342/2342/detail</t>
  </si>
  <si>
    <t>慈文传媒</t>
  </si>
  <si>
    <t>www.lixinger.com/analytics/company/sz/002343/2343/detail</t>
  </si>
  <si>
    <t>海宁皮城</t>
  </si>
  <si>
    <t>www.lixinger.com/analytics/company/sz/002344/2344/detail</t>
  </si>
  <si>
    <t>潮宏基</t>
  </si>
  <si>
    <t>www.lixinger.com/analytics/company/sz/002345/2345/detail</t>
  </si>
  <si>
    <t>柘中股份</t>
  </si>
  <si>
    <t>www.lixinger.com/analytics/company/sz/002346/2346/detail</t>
  </si>
  <si>
    <t>泰尔股份</t>
  </si>
  <si>
    <t>www.lixinger.com/analytics/company/sz/002347/2347/detail</t>
  </si>
  <si>
    <t>高乐股份</t>
  </si>
  <si>
    <t>www.lixinger.com/analytics/company/sz/002348/2348/detail</t>
  </si>
  <si>
    <t>精华制药</t>
  </si>
  <si>
    <t>www.lixinger.com/analytics/company/sz/002349/2349/detail</t>
  </si>
  <si>
    <t>北京科锐</t>
  </si>
  <si>
    <t>www.lixinger.com/analytics/company/sz/002350/2350/detail</t>
  </si>
  <si>
    <t>漫步者</t>
  </si>
  <si>
    <t>www.lixinger.com/analytics/company/sz/002351/2351/detail</t>
  </si>
  <si>
    <t>顺丰控股</t>
  </si>
  <si>
    <t>www.lixinger.com/analytics/company/sz/002352/2352/detail</t>
  </si>
  <si>
    <t>杰瑞股份</t>
  </si>
  <si>
    <t>www.lixinger.com/analytics/company/sz/002353/2353/detail</t>
  </si>
  <si>
    <t>天娱数科</t>
  </si>
  <si>
    <t>www.lixinger.com/analytics/company/sz/002354/2354/detail</t>
  </si>
  <si>
    <t>兴民智通</t>
  </si>
  <si>
    <t>www.lixinger.com/analytics/company/sz/002355/2355/detail</t>
  </si>
  <si>
    <t>*ST赫美</t>
  </si>
  <si>
    <t>www.lixinger.com/analytics/company/sz/002356/2356/detail</t>
  </si>
  <si>
    <t>富临运业</t>
  </si>
  <si>
    <t>www.lixinger.com/analytics/company/sz/002357/2357/detail</t>
  </si>
  <si>
    <t>ST森源</t>
  </si>
  <si>
    <t>www.lixinger.com/analytics/company/sz/002358/2358/detail</t>
  </si>
  <si>
    <t>北讯退</t>
  </si>
  <si>
    <t>www.lixinger.com/analytics/company/sz/002359/2359/detail</t>
  </si>
  <si>
    <t>同德化工</t>
  </si>
  <si>
    <t>www.lixinger.com/analytics/company/sz/002360/2360/detail</t>
  </si>
  <si>
    <t>神剑股份</t>
  </si>
  <si>
    <t>www.lixinger.com/analytics/company/sz/002361/2361/detail</t>
  </si>
  <si>
    <t>汉王科技</t>
  </si>
  <si>
    <t>www.lixinger.com/analytics/company/sz/002362/2362/detail</t>
  </si>
  <si>
    <t>隆基机械</t>
  </si>
  <si>
    <t>www.lixinger.com/analytics/company/sz/002363/2363/detail</t>
  </si>
  <si>
    <t>中恒电气</t>
  </si>
  <si>
    <t>www.lixinger.com/analytics/company/sz/002364/2364/detail</t>
  </si>
  <si>
    <t>永安药业</t>
  </si>
  <si>
    <t>www.lixinger.com/analytics/company/sz/002365/2365/detail</t>
  </si>
  <si>
    <t>台海核电</t>
  </si>
  <si>
    <t>www.lixinger.com/analytics/company/sz/002366/2366/detail</t>
  </si>
  <si>
    <t>康力电梯</t>
  </si>
  <si>
    <t>www.lixinger.com/analytics/company/sz/002367/2367/detail</t>
  </si>
  <si>
    <t>太极股份</t>
  </si>
  <si>
    <t>www.lixinger.com/analytics/company/sz/002368/2368/detail</t>
  </si>
  <si>
    <t>卓翼科技</t>
  </si>
  <si>
    <t>www.lixinger.com/analytics/company/sz/002369/2369/detail</t>
  </si>
  <si>
    <t>亚太药业</t>
  </si>
  <si>
    <t>www.lixinger.com/analytics/company/sz/002370/2370/detail</t>
  </si>
  <si>
    <t>北方华创</t>
  </si>
  <si>
    <t>www.lixinger.com/analytics/company/sz/002371/2371/detail</t>
  </si>
  <si>
    <t>伟星新材</t>
  </si>
  <si>
    <t>www.lixinger.com/analytics/company/sz/002372/2372/detail</t>
  </si>
  <si>
    <t>千方科技</t>
  </si>
  <si>
    <t>www.lixinger.com/analytics/company/sz/002373/2373/detail</t>
  </si>
  <si>
    <t>中锐股份</t>
  </si>
  <si>
    <t>www.lixinger.com/analytics/company/sz/002374/2374/detail</t>
  </si>
  <si>
    <t>亚厦股份</t>
  </si>
  <si>
    <t>www.lixinger.com/analytics/company/sz/002375/2375/detail</t>
  </si>
  <si>
    <t>新北洋</t>
  </si>
  <si>
    <t>www.lixinger.com/analytics/company/sz/002376/2376/detail</t>
  </si>
  <si>
    <t>国创高新</t>
  </si>
  <si>
    <t>www.lixinger.com/analytics/company/sz/002377/2377/detail</t>
  </si>
  <si>
    <t>章源钨业</t>
  </si>
  <si>
    <t>www.lixinger.com/analytics/company/sz/002378/2378/detail</t>
  </si>
  <si>
    <t>宏创控股</t>
  </si>
  <si>
    <t>www.lixinger.com/analytics/company/sz/002379/2379/detail</t>
  </si>
  <si>
    <t>科远智慧</t>
  </si>
  <si>
    <t>www.lixinger.com/analytics/company/sz/002380/2380/detail</t>
  </si>
  <si>
    <t>双箭股份</t>
  </si>
  <si>
    <t>www.lixinger.com/analytics/company/sz/002381/2381/detail</t>
  </si>
  <si>
    <t>蓝帆医疗</t>
  </si>
  <si>
    <t>www.lixinger.com/analytics/company/sz/002382/2382/detail</t>
  </si>
  <si>
    <t>合众思壮</t>
  </si>
  <si>
    <t>www.lixinger.com/analytics/company/sz/002383/2383/detail</t>
  </si>
  <si>
    <t>东山精密</t>
  </si>
  <si>
    <t>www.lixinger.com/analytics/company/sz/002384/2384/detail</t>
  </si>
  <si>
    <t>大北农</t>
  </si>
  <si>
    <t>www.lixinger.com/analytics/company/sz/002385/2385/detail</t>
  </si>
  <si>
    <t>天原股份</t>
  </si>
  <si>
    <t>www.lixinger.com/analytics/company/sz/002386/2386/detail</t>
  </si>
  <si>
    <t>维信诺</t>
  </si>
  <si>
    <t>www.lixinger.com/analytics/company/sz/002387/2387/detail</t>
  </si>
  <si>
    <t>新亚制程</t>
  </si>
  <si>
    <t>www.lixinger.com/analytics/company/sz/002388/2388/detail</t>
  </si>
  <si>
    <t>航天彩虹</t>
  </si>
  <si>
    <t>www.lixinger.com/analytics/company/sz/002389/2389/detail</t>
  </si>
  <si>
    <t>信邦制药</t>
  </si>
  <si>
    <t>www.lixinger.com/analytics/company/sz/002390/2390/detail</t>
  </si>
  <si>
    <t>长青股份</t>
  </si>
  <si>
    <t>www.lixinger.com/analytics/company/sz/002391/2391/detail</t>
  </si>
  <si>
    <t>北京利尔</t>
  </si>
  <si>
    <t>www.lixinger.com/analytics/company/sz/002392/2392/detail</t>
  </si>
  <si>
    <t>力生制药</t>
  </si>
  <si>
    <t>www.lixinger.com/analytics/company/sz/002393/2393/detail</t>
  </si>
  <si>
    <t>联发股份</t>
  </si>
  <si>
    <t>www.lixinger.com/analytics/company/sz/002394/2394/detail</t>
  </si>
  <si>
    <t>双象股份</t>
  </si>
  <si>
    <t>www.lixinger.com/analytics/company/sz/002395/2395/detail</t>
  </si>
  <si>
    <t>星网锐捷</t>
  </si>
  <si>
    <t>www.lixinger.com/analytics/company/sz/002396/2396/detail</t>
  </si>
  <si>
    <t>梦洁股份</t>
  </si>
  <si>
    <t>www.lixinger.com/analytics/company/sz/002397/2397/detail</t>
  </si>
  <si>
    <t>垒知集团</t>
  </si>
  <si>
    <t>www.lixinger.com/analytics/company/sz/002398/2398/detail</t>
  </si>
  <si>
    <t>海普瑞</t>
  </si>
  <si>
    <t>www.lixinger.com/analytics/company/sz/002399/2399/detail</t>
  </si>
  <si>
    <t>省广集团</t>
  </si>
  <si>
    <t>www.lixinger.com/analytics/company/sz/002400/2400/detail</t>
  </si>
  <si>
    <t>中远海科</t>
  </si>
  <si>
    <t>www.lixinger.com/analytics/company/sz/002401/2401/detail</t>
  </si>
  <si>
    <t>和而泰</t>
  </si>
  <si>
    <t>www.lixinger.com/analytics/company/sz/002402/2402/detail</t>
  </si>
  <si>
    <t>爱仕达</t>
  </si>
  <si>
    <t>www.lixinger.com/analytics/company/sz/002403/2403/detail</t>
  </si>
  <si>
    <t>嘉欣丝绸</t>
  </si>
  <si>
    <t>www.lixinger.com/analytics/company/sz/002404/2404/detail</t>
  </si>
  <si>
    <t>四维图新</t>
  </si>
  <si>
    <t>www.lixinger.com/analytics/company/sz/002405/2405/detail</t>
  </si>
  <si>
    <t>远东传动</t>
  </si>
  <si>
    <t>www.lixinger.com/analytics/company/sz/002406/2406/detail</t>
  </si>
  <si>
    <t>多氟多</t>
  </si>
  <si>
    <t>www.lixinger.com/analytics/company/sz/002407/2407/detail</t>
  </si>
  <si>
    <t>齐翔腾达</t>
  </si>
  <si>
    <t>www.lixinger.com/analytics/company/sz/002408/2408/detail</t>
  </si>
  <si>
    <t>雅克科技</t>
  </si>
  <si>
    <t>www.lixinger.com/analytics/company/sz/002409/2409/detail</t>
  </si>
  <si>
    <t>广联达</t>
  </si>
  <si>
    <t>www.lixinger.com/analytics/company/sz/002410/2410/detail</t>
  </si>
  <si>
    <t>延安必康</t>
  </si>
  <si>
    <t>www.lixinger.com/analytics/company/sz/002411/2411/detail</t>
  </si>
  <si>
    <t>汉森制药</t>
  </si>
  <si>
    <t>www.lixinger.com/analytics/company/sz/002412/2412/detail</t>
  </si>
  <si>
    <t>雷科防务</t>
  </si>
  <si>
    <t>www.lixinger.com/analytics/company/sz/002413/2413/detail</t>
  </si>
  <si>
    <t>高德红外</t>
  </si>
  <si>
    <t>www.lixinger.com/analytics/company/sz/002414/2414/detail</t>
  </si>
  <si>
    <t>海康威视</t>
  </si>
  <si>
    <t>www.lixinger.com/analytics/company/sz/002415/2415/detail</t>
  </si>
  <si>
    <t>爱施德</t>
  </si>
  <si>
    <t>www.lixinger.com/analytics/company/sz/002416/2416/detail</t>
  </si>
  <si>
    <t>*ST深南</t>
  </si>
  <si>
    <t>www.lixinger.com/analytics/company/sz/002417/2417/detail</t>
  </si>
  <si>
    <t>康盛股份</t>
  </si>
  <si>
    <t>www.lixinger.com/analytics/company/sz/002418/2418/detail</t>
  </si>
  <si>
    <t>天虹股份</t>
  </si>
  <si>
    <t>www.lixinger.com/analytics/company/sz/002419/2419/detail</t>
  </si>
  <si>
    <t>毅昌科技</t>
  </si>
  <si>
    <t>www.lixinger.com/analytics/company/sz/002420/2420/detail</t>
  </si>
  <si>
    <t>达实智能</t>
  </si>
  <si>
    <t>www.lixinger.com/analytics/company/sz/002421/2421/detail</t>
  </si>
  <si>
    <t>科伦药业</t>
  </si>
  <si>
    <t>www.lixinger.com/analytics/company/sz/002422/2422/detail</t>
  </si>
  <si>
    <t>中粮资本</t>
  </si>
  <si>
    <t>www.lixinger.com/analytics/company/sz/002423/2423/detail</t>
  </si>
  <si>
    <t>贵州百灵</t>
  </si>
  <si>
    <t>www.lixinger.com/analytics/company/sz/002424/2424/detail</t>
  </si>
  <si>
    <t>凯撒文化</t>
  </si>
  <si>
    <t>www.lixinger.com/analytics/company/sz/002425/2425/detail</t>
  </si>
  <si>
    <t>胜利精密</t>
  </si>
  <si>
    <t>www.lixinger.com/analytics/company/sz/002426/2426/detail</t>
  </si>
  <si>
    <t>*ST尤夫</t>
  </si>
  <si>
    <t>www.lixinger.com/analytics/company/sz/002427/2427/detail</t>
  </si>
  <si>
    <t>云南锗业</t>
  </si>
  <si>
    <t>www.lixinger.com/analytics/company/sz/002428/2428/detail</t>
  </si>
  <si>
    <t>兆驰股份</t>
  </si>
  <si>
    <t>www.lixinger.com/analytics/company/sz/002429/2429/detail</t>
  </si>
  <si>
    <t>杭氧股份</t>
  </si>
  <si>
    <t>www.lixinger.com/analytics/company/sz/002430/2430/detail</t>
  </si>
  <si>
    <t>棕榈股份</t>
  </si>
  <si>
    <t>www.lixinger.com/analytics/company/sz/002431/2431/detail</t>
  </si>
  <si>
    <t>九安医疗</t>
  </si>
  <si>
    <t>www.lixinger.com/analytics/company/sz/002432/2432/detail</t>
  </si>
  <si>
    <t>太安堂</t>
  </si>
  <si>
    <t>www.lixinger.com/analytics/company/sz/002433/2433/detail</t>
  </si>
  <si>
    <t>万里扬</t>
  </si>
  <si>
    <t>www.lixinger.com/analytics/company/sz/002434/2434/detail</t>
  </si>
  <si>
    <t>长江健康</t>
  </si>
  <si>
    <t>www.lixinger.com/analytics/company/sz/002435/2435/detail</t>
  </si>
  <si>
    <t>兴森科技</t>
  </si>
  <si>
    <t>www.lixinger.com/analytics/company/sz/002436/2436/detail</t>
  </si>
  <si>
    <t>誉衡药业</t>
  </si>
  <si>
    <t>www.lixinger.com/analytics/company/sz/002437/2437/detail</t>
  </si>
  <si>
    <t>江苏神通</t>
  </si>
  <si>
    <t>www.lixinger.com/analytics/company/sz/002438/2438/detail</t>
  </si>
  <si>
    <t>启明星辰</t>
  </si>
  <si>
    <t>www.lixinger.com/analytics/company/sz/002439/2439/detail</t>
  </si>
  <si>
    <t>闰土股份</t>
  </si>
  <si>
    <t>www.lixinger.com/analytics/company/sz/002440/2440/detail</t>
  </si>
  <si>
    <t>众业达</t>
  </si>
  <si>
    <t>www.lixinger.com/analytics/company/sz/002441/2441/detail</t>
  </si>
  <si>
    <t>龙星化工</t>
  </si>
  <si>
    <t>www.lixinger.com/analytics/company/sz/002442/2442/detail</t>
  </si>
  <si>
    <t>金洲管道</t>
  </si>
  <si>
    <t>www.lixinger.com/analytics/company/sz/002443/2443/detail</t>
  </si>
  <si>
    <t>巨星科技</t>
  </si>
  <si>
    <t>www.lixinger.com/analytics/company/sz/002444/2444/detail</t>
  </si>
  <si>
    <t>中南文化</t>
  </si>
  <si>
    <t>www.lixinger.com/analytics/company/sz/002445/2445/detail</t>
  </si>
  <si>
    <t>盛路通信</t>
  </si>
  <si>
    <t>www.lixinger.com/analytics/company/sz/002446/2446/detail</t>
  </si>
  <si>
    <t>*ST晨鑫</t>
  </si>
  <si>
    <t>www.lixinger.com/analytics/company/sz/002447/2447/detail</t>
  </si>
  <si>
    <t>中原内配</t>
  </si>
  <si>
    <t>www.lixinger.com/analytics/company/sz/002448/2448/detail</t>
  </si>
  <si>
    <t>国星光电</t>
  </si>
  <si>
    <t>www.lixinger.com/analytics/company/sz/002449/2449/detail</t>
  </si>
  <si>
    <t>康得退</t>
  </si>
  <si>
    <t>www.lixinger.com/analytics/company/sz/002450/2450/detail</t>
  </si>
  <si>
    <t>摩恩电气</t>
  </si>
  <si>
    <t>www.lixinger.com/analytics/company/sz/002451/2451/detail</t>
  </si>
  <si>
    <t>长高集团</t>
  </si>
  <si>
    <t>www.lixinger.com/analytics/company/sz/002452/2452/detail</t>
  </si>
  <si>
    <t>华软科技</t>
  </si>
  <si>
    <t>www.lixinger.com/analytics/company/sz/002453/2453/detail</t>
  </si>
  <si>
    <t>松芝股份</t>
  </si>
  <si>
    <t>www.lixinger.com/analytics/company/sz/002454/2454/detail</t>
  </si>
  <si>
    <t>百川股份</t>
  </si>
  <si>
    <t>www.lixinger.com/analytics/company/sz/002455/2455/detail</t>
  </si>
  <si>
    <t>欧菲光</t>
  </si>
  <si>
    <t>www.lixinger.com/analytics/company/sz/002456/2456/detail</t>
  </si>
  <si>
    <t>青龙管业</t>
  </si>
  <si>
    <t>www.lixinger.com/analytics/company/sz/002457/2457/detail</t>
  </si>
  <si>
    <t>益生股份</t>
  </si>
  <si>
    <t>www.lixinger.com/analytics/company/sz/002458/2458/detail</t>
  </si>
  <si>
    <t>晶澳科技</t>
  </si>
  <si>
    <t>www.lixinger.com/analytics/company/sz/002459/2459/detail</t>
  </si>
  <si>
    <t>赣锋锂业</t>
  </si>
  <si>
    <t>www.lixinger.com/analytics/company/sz/002460/2460/detail</t>
  </si>
  <si>
    <t>珠江啤酒</t>
  </si>
  <si>
    <t>www.lixinger.com/analytics/company/sz/002461/2461/detail</t>
  </si>
  <si>
    <t>嘉事堂</t>
  </si>
  <si>
    <t>www.lixinger.com/analytics/company/sz/002462/2462/detail</t>
  </si>
  <si>
    <t>沪电股份</t>
  </si>
  <si>
    <t>www.lixinger.com/analytics/company/sz/002463/2463/detail</t>
  </si>
  <si>
    <t>*ST众应</t>
  </si>
  <si>
    <t>www.lixinger.com/analytics/company/sz/002464/2464/detail</t>
  </si>
  <si>
    <t>海格通信</t>
  </si>
  <si>
    <t>www.lixinger.com/analytics/company/sz/002465/2465/detail</t>
  </si>
  <si>
    <t>天齐锂业</t>
  </si>
  <si>
    <t>www.lixinger.com/analytics/company/sz/002466/2466/detail</t>
  </si>
  <si>
    <t>二六三</t>
  </si>
  <si>
    <t>www.lixinger.com/analytics/company/sz/002467/2467/detail</t>
  </si>
  <si>
    <t>申通快递</t>
  </si>
  <si>
    <t>www.lixinger.com/analytics/company/sz/002468/2468/detail</t>
  </si>
  <si>
    <t>三维化学</t>
  </si>
  <si>
    <t>www.lixinger.com/analytics/company/sz/002469/2469/detail</t>
  </si>
  <si>
    <t>ST金正</t>
  </si>
  <si>
    <t>www.lixinger.com/analytics/company/sz/002470/2470/detail</t>
  </si>
  <si>
    <t>中超控股</t>
  </si>
  <si>
    <t>www.lixinger.com/analytics/company/sz/002471/2471/detail</t>
  </si>
  <si>
    <t>双环传动</t>
  </si>
  <si>
    <t>www.lixinger.com/analytics/company/sz/002472/2472/detail</t>
  </si>
  <si>
    <t>*ST圣莱</t>
  </si>
  <si>
    <t>www.lixinger.com/analytics/company/sz/002473/2473/detail</t>
  </si>
  <si>
    <t>榕基软件</t>
  </si>
  <si>
    <t>www.lixinger.com/analytics/company/sz/002474/2474/detail</t>
  </si>
  <si>
    <t>立讯精密</t>
  </si>
  <si>
    <t>www.lixinger.com/analytics/company/sz/002475/2475/detail</t>
  </si>
  <si>
    <t>宝莫股份</t>
  </si>
  <si>
    <t>www.lixinger.com/analytics/company/sz/002476/2476/detail</t>
  </si>
  <si>
    <t>雏鹰退</t>
  </si>
  <si>
    <t>www.lixinger.com/analytics/company/sz/002477/2477/detail</t>
  </si>
  <si>
    <t>常宝股份</t>
  </si>
  <si>
    <t>www.lixinger.com/analytics/company/sz/002478/2478/detail</t>
  </si>
  <si>
    <t>富春环保</t>
  </si>
  <si>
    <t>www.lixinger.com/analytics/company/sz/002479/2479/detail</t>
  </si>
  <si>
    <t>新筑股份</t>
  </si>
  <si>
    <t>www.lixinger.com/analytics/company/sz/002480/2480/detail</t>
  </si>
  <si>
    <t>双塔食品</t>
  </si>
  <si>
    <t>www.lixinger.com/analytics/company/sz/002481/2481/detail</t>
  </si>
  <si>
    <t>广田集团</t>
  </si>
  <si>
    <t>www.lixinger.com/analytics/company/sz/002482/2482/detail</t>
  </si>
  <si>
    <t>润邦股份</t>
  </si>
  <si>
    <t>www.lixinger.com/analytics/company/sz/002483/2483/detail</t>
  </si>
  <si>
    <t>江海股份</t>
  </si>
  <si>
    <t>www.lixinger.com/analytics/company/sz/002484/2484/detail</t>
  </si>
  <si>
    <t>雪松发展</t>
  </si>
  <si>
    <t>www.lixinger.com/analytics/company/sz/002485/2485/detail</t>
  </si>
  <si>
    <t>嘉麟杰</t>
  </si>
  <si>
    <t>www.lixinger.com/analytics/company/sz/002486/2486/detail</t>
  </si>
  <si>
    <t>大金重工</t>
  </si>
  <si>
    <t>www.lixinger.com/analytics/company/sz/002487/2487/detail</t>
  </si>
  <si>
    <t>金固股份</t>
  </si>
  <si>
    <t>www.lixinger.com/analytics/company/sz/002488/2488/detail</t>
  </si>
  <si>
    <t>浙江永强</t>
  </si>
  <si>
    <t>www.lixinger.com/analytics/company/sz/002489/2489/detail</t>
  </si>
  <si>
    <t>山东墨龙</t>
  </si>
  <si>
    <t>www.lixinger.com/analytics/company/sz/002490/2490/detail</t>
  </si>
  <si>
    <t>通鼎互联</t>
  </si>
  <si>
    <t>www.lixinger.com/analytics/company/sz/002491/2491/detail</t>
  </si>
  <si>
    <t>恒基达鑫</t>
  </si>
  <si>
    <t>www.lixinger.com/analytics/company/sz/002492/2492/detail</t>
  </si>
  <si>
    <t>荣盛石化</t>
  </si>
  <si>
    <t>www.lixinger.com/analytics/company/sz/002493/2493/detail</t>
  </si>
  <si>
    <t>华斯股份</t>
  </si>
  <si>
    <t>www.lixinger.com/analytics/company/sz/002494/2494/detail</t>
  </si>
  <si>
    <t>佳隆股份</t>
  </si>
  <si>
    <t>www.lixinger.com/analytics/company/sz/002495/2495/detail</t>
  </si>
  <si>
    <t>ST辉丰</t>
  </si>
  <si>
    <t>www.lixinger.com/analytics/company/sz/002496/2496/detail</t>
  </si>
  <si>
    <t>雅化集团</t>
  </si>
  <si>
    <t>www.lixinger.com/analytics/company/sz/002497/2497/detail</t>
  </si>
  <si>
    <t>汉缆股份</t>
  </si>
  <si>
    <t>www.lixinger.com/analytics/company/sz/002498/2498/detail</t>
  </si>
  <si>
    <t>*ST科林</t>
  </si>
  <si>
    <t>www.lixinger.com/analytics/company/sz/002499/2499/detail</t>
  </si>
  <si>
    <t>山西证券</t>
  </si>
  <si>
    <t>www.lixinger.com/analytics/company/sz/002500/2500/detail</t>
  </si>
  <si>
    <t>*ST利源</t>
  </si>
  <si>
    <t>www.lixinger.com/analytics/company/sz/002501/2501/detail</t>
  </si>
  <si>
    <t>鼎龙文化</t>
  </si>
  <si>
    <t>www.lixinger.com/analytics/company/sz/002502/2502/detail</t>
  </si>
  <si>
    <t>搜于特</t>
  </si>
  <si>
    <t>www.lixinger.com/analytics/company/sz/002503/2503/detail</t>
  </si>
  <si>
    <t>ST弘高</t>
  </si>
  <si>
    <t>www.lixinger.com/analytics/company/sz/002504/2504/detail</t>
  </si>
  <si>
    <t>鹏都农牧</t>
  </si>
  <si>
    <t>www.lixinger.com/analytics/company/sz/002505/2505/detail</t>
  </si>
  <si>
    <t>协鑫集成</t>
  </si>
  <si>
    <t>www.lixinger.com/analytics/company/sz/002506/2506/detail</t>
  </si>
  <si>
    <t>涪陵榨菜</t>
  </si>
  <si>
    <t>www.lixinger.com/analytics/company/sz/002507/2507/detail</t>
  </si>
  <si>
    <t>老板电器</t>
  </si>
  <si>
    <t>www.lixinger.com/analytics/company/sz/002508/2508/detail</t>
  </si>
  <si>
    <t>天茂退</t>
  </si>
  <si>
    <t>www.lixinger.com/analytics/company/sz/002509/2509/detail</t>
  </si>
  <si>
    <t>天汽模</t>
  </si>
  <si>
    <t>www.lixinger.com/analytics/company/sz/002510/2510/detail</t>
  </si>
  <si>
    <t>中顺洁柔</t>
  </si>
  <si>
    <t>www.lixinger.com/analytics/company/sz/002511/2511/detail</t>
  </si>
  <si>
    <t>达华智能</t>
  </si>
  <si>
    <t>www.lixinger.com/analytics/company/sz/002512/2512/detail</t>
  </si>
  <si>
    <t>蓝丰生化</t>
  </si>
  <si>
    <t>www.lixinger.com/analytics/company/sz/002513/2513/detail</t>
  </si>
  <si>
    <t>宝馨科技</t>
  </si>
  <si>
    <t>www.lixinger.com/analytics/company/sz/002514/2514/detail</t>
  </si>
  <si>
    <t>金字火腿</t>
  </si>
  <si>
    <t>www.lixinger.com/analytics/company/sz/002515/2515/detail</t>
  </si>
  <si>
    <t>旷达科技</t>
  </si>
  <si>
    <t>www.lixinger.com/analytics/company/sz/002516/2516/detail</t>
  </si>
  <si>
    <t>恺英网络</t>
  </si>
  <si>
    <t>www.lixinger.com/analytics/company/sz/002517/2517/detail</t>
  </si>
  <si>
    <t>科士达</t>
  </si>
  <si>
    <t>www.lixinger.com/analytics/company/sz/002518/2518/detail</t>
  </si>
  <si>
    <t>银河电子</t>
  </si>
  <si>
    <t>www.lixinger.com/analytics/company/sz/002519/2519/detail</t>
  </si>
  <si>
    <t>日发精机</t>
  </si>
  <si>
    <t>www.lixinger.com/analytics/company/sz/002520/2520/detail</t>
  </si>
  <si>
    <t>齐峰新材</t>
  </si>
  <si>
    <t>www.lixinger.com/analytics/company/sz/002521/2521/detail</t>
  </si>
  <si>
    <t>浙江众成</t>
  </si>
  <si>
    <t>www.lixinger.com/analytics/company/sz/002522/2522/detail</t>
  </si>
  <si>
    <t>天桥起重</t>
  </si>
  <si>
    <t>www.lixinger.com/analytics/company/sz/002523/2523/detail</t>
  </si>
  <si>
    <t>光正眼科</t>
  </si>
  <si>
    <t>www.lixinger.com/analytics/company/sz/002524/2524/detail</t>
  </si>
  <si>
    <t>山东矿机</t>
  </si>
  <si>
    <t>www.lixinger.com/analytics/company/sz/002526/2526/detail</t>
  </si>
  <si>
    <t>新时达</t>
  </si>
  <si>
    <t>www.lixinger.com/analytics/company/sz/002527/2527/detail</t>
  </si>
  <si>
    <t>英飞拓</t>
  </si>
  <si>
    <t>www.lixinger.com/analytics/company/sz/002528/2528/detail</t>
  </si>
  <si>
    <t>海源复材</t>
  </si>
  <si>
    <t>www.lixinger.com/analytics/company/sz/002529/2529/detail</t>
  </si>
  <si>
    <t>金财互联</t>
  </si>
  <si>
    <t>www.lixinger.com/analytics/company/sz/002530/2530/detail</t>
  </si>
  <si>
    <t>天顺风能</t>
  </si>
  <si>
    <t>www.lixinger.com/analytics/company/sz/002531/2531/detail</t>
  </si>
  <si>
    <t>天山铝业</t>
  </si>
  <si>
    <t>www.lixinger.com/analytics/company/sz/002532/2532/detail</t>
  </si>
  <si>
    <t>金杯电工</t>
  </si>
  <si>
    <t>www.lixinger.com/analytics/company/sz/002533/2533/detail</t>
  </si>
  <si>
    <t>西子洁能</t>
  </si>
  <si>
    <t>www.lixinger.com/analytics/company/sz/002534/2534/detail</t>
  </si>
  <si>
    <t>ST林重</t>
  </si>
  <si>
    <t>www.lixinger.com/analytics/company/sz/002535/2535/detail</t>
  </si>
  <si>
    <t>飞龙股份</t>
  </si>
  <si>
    <t>www.lixinger.com/analytics/company/sz/002536/2536/detail</t>
  </si>
  <si>
    <t>海联金汇</t>
  </si>
  <si>
    <t>www.lixinger.com/analytics/company/sz/002537/2537/detail</t>
  </si>
  <si>
    <t>司尔特</t>
  </si>
  <si>
    <t>www.lixinger.com/analytics/company/sz/002538/2538/detail</t>
  </si>
  <si>
    <t>云图控股</t>
  </si>
  <si>
    <t>www.lixinger.com/analytics/company/sz/002539/2539/detail</t>
  </si>
  <si>
    <t>亚太科技</t>
  </si>
  <si>
    <t>www.lixinger.com/analytics/company/sz/002540/2540/detail</t>
  </si>
  <si>
    <t>鸿路钢构</t>
  </si>
  <si>
    <t>www.lixinger.com/analytics/company/sz/002541/2541/detail</t>
  </si>
  <si>
    <t>中化岩土</t>
  </si>
  <si>
    <t>www.lixinger.com/analytics/company/sz/002542/2542/detail</t>
  </si>
  <si>
    <t>万和电气</t>
  </si>
  <si>
    <t>www.lixinger.com/analytics/company/sz/002543/2543/detail</t>
  </si>
  <si>
    <t>杰赛科技</t>
  </si>
  <si>
    <t>www.lixinger.com/analytics/company/sz/002544/2544/detail</t>
  </si>
  <si>
    <t>东方铁塔</t>
  </si>
  <si>
    <t>www.lixinger.com/analytics/company/sz/002545/2545/detail</t>
  </si>
  <si>
    <t>新联电子</t>
  </si>
  <si>
    <t>www.lixinger.com/analytics/company/sz/002546/2546/detail</t>
  </si>
  <si>
    <t>春兴精工</t>
  </si>
  <si>
    <t>www.lixinger.com/analytics/company/sz/002547/2547/detail</t>
  </si>
  <si>
    <t>金新农</t>
  </si>
  <si>
    <t>www.lixinger.com/analytics/company/sz/002548/2548/detail</t>
  </si>
  <si>
    <t>凯美特气</t>
  </si>
  <si>
    <t>www.lixinger.com/analytics/company/sz/002549/2549/detail</t>
  </si>
  <si>
    <t>千红制药</t>
  </si>
  <si>
    <t>www.lixinger.com/analytics/company/sz/002550/2550/detail</t>
  </si>
  <si>
    <t>尚荣医疗</t>
  </si>
  <si>
    <t>www.lixinger.com/analytics/company/sz/002551/2551/detail</t>
  </si>
  <si>
    <t>宝鼎科技</t>
  </si>
  <si>
    <t>www.lixinger.com/analytics/company/sz/002552/2552/detail</t>
  </si>
  <si>
    <t>南方精工</t>
  </si>
  <si>
    <t>www.lixinger.com/analytics/company/sz/002553/2553/detail</t>
  </si>
  <si>
    <t>惠博普</t>
  </si>
  <si>
    <t>www.lixinger.com/analytics/company/sz/002554/2554/detail</t>
  </si>
  <si>
    <t>三七互娱</t>
  </si>
  <si>
    <t>www.lixinger.com/analytics/company/sz/002555/2555/detail</t>
  </si>
  <si>
    <t>辉隆股份</t>
  </si>
  <si>
    <t>农业综合</t>
  </si>
  <si>
    <t>www.lixinger.com/analytics/company/sz/002556/2556/detail</t>
  </si>
  <si>
    <t>洽洽食品</t>
  </si>
  <si>
    <t>www.lixinger.com/analytics/company/sz/002557/2557/detail</t>
  </si>
  <si>
    <t>巨人网络</t>
  </si>
  <si>
    <t>www.lixinger.com/analytics/company/sz/002558/2558/detail</t>
  </si>
  <si>
    <t>亚威股份</t>
  </si>
  <si>
    <t>www.lixinger.com/analytics/company/sz/002559/2559/detail</t>
  </si>
  <si>
    <t>通达股份</t>
  </si>
  <si>
    <t>www.lixinger.com/analytics/company/sz/002560/2560/detail</t>
  </si>
  <si>
    <t>徐家汇</t>
  </si>
  <si>
    <t>www.lixinger.com/analytics/company/sz/002561/2561/detail</t>
  </si>
  <si>
    <t>兄弟科技</t>
  </si>
  <si>
    <t>www.lixinger.com/analytics/company/sz/002562/2562/detail</t>
  </si>
  <si>
    <t>森马服饰</t>
  </si>
  <si>
    <t>www.lixinger.com/analytics/company/sz/002563/2563/detail</t>
  </si>
  <si>
    <t>天沃科技</t>
  </si>
  <si>
    <t>www.lixinger.com/analytics/company/sz/002564/2564/detail</t>
  </si>
  <si>
    <t>顺灏股份</t>
  </si>
  <si>
    <t>www.lixinger.com/analytics/company/sz/002565/2565/detail</t>
  </si>
  <si>
    <t>益盛药业</t>
  </si>
  <si>
    <t>www.lixinger.com/analytics/company/sz/002566/2566/detail</t>
  </si>
  <si>
    <t>唐人神</t>
  </si>
  <si>
    <t>www.lixinger.com/analytics/company/sz/002567/2567/detail</t>
  </si>
  <si>
    <t>百润股份</t>
  </si>
  <si>
    <t>www.lixinger.com/analytics/company/sz/002568/2568/detail</t>
  </si>
  <si>
    <t>ST步森</t>
  </si>
  <si>
    <t>www.lixinger.com/analytics/company/sz/002569/2569/detail</t>
  </si>
  <si>
    <t>贝因美</t>
  </si>
  <si>
    <t>www.lixinger.com/analytics/company/sz/002570/2570/detail</t>
  </si>
  <si>
    <t>德力股份</t>
  </si>
  <si>
    <t>www.lixinger.com/analytics/company/sz/002571/2571/detail</t>
  </si>
  <si>
    <t>索菲亚</t>
  </si>
  <si>
    <t>www.lixinger.com/analytics/company/sz/002572/2572/detail</t>
  </si>
  <si>
    <t>清新环境</t>
  </si>
  <si>
    <t>www.lixinger.com/analytics/company/sz/002573/2573/detail</t>
  </si>
  <si>
    <t>明牌珠宝</t>
  </si>
  <si>
    <t>www.lixinger.com/analytics/company/sz/002574/2574/detail</t>
  </si>
  <si>
    <t>*ST群兴</t>
  </si>
  <si>
    <t>www.lixinger.com/analytics/company/sz/002575/2575/detail</t>
  </si>
  <si>
    <t>通达动力</t>
  </si>
  <si>
    <t>www.lixinger.com/analytics/company/sz/002576/2576/detail</t>
  </si>
  <si>
    <t>雷柏科技</t>
  </si>
  <si>
    <t>www.lixinger.com/analytics/company/sz/002577/2577/detail</t>
  </si>
  <si>
    <t>闽发铝业</t>
  </si>
  <si>
    <t>www.lixinger.com/analytics/company/sz/002578/2578/detail</t>
  </si>
  <si>
    <t>中京电子</t>
  </si>
  <si>
    <t>www.lixinger.com/analytics/company/sz/002579/2579/detail</t>
  </si>
  <si>
    <t>圣阳股份</t>
  </si>
  <si>
    <t>www.lixinger.com/analytics/company/sz/002580/2580/detail</t>
  </si>
  <si>
    <t>未名医药</t>
  </si>
  <si>
    <t>www.lixinger.com/analytics/company/sz/002581/2581/detail</t>
  </si>
  <si>
    <t>好想你</t>
  </si>
  <si>
    <t>www.lixinger.com/analytics/company/sz/002582/2582/detail</t>
  </si>
  <si>
    <t>海能达</t>
  </si>
  <si>
    <t>www.lixinger.com/analytics/company/sz/002583/2583/detail</t>
  </si>
  <si>
    <t>西陇科学</t>
  </si>
  <si>
    <t>www.lixinger.com/analytics/company/sz/002584/2584/detail</t>
  </si>
  <si>
    <t>双星新材</t>
  </si>
  <si>
    <t>www.lixinger.com/analytics/company/sz/002585/2585/detail</t>
  </si>
  <si>
    <t>*ST围海</t>
  </si>
  <si>
    <t>www.lixinger.com/analytics/company/sz/002586/2586/detail</t>
  </si>
  <si>
    <t>奥拓电子</t>
  </si>
  <si>
    <t>www.lixinger.com/analytics/company/sz/002587/2587/detail</t>
  </si>
  <si>
    <t>史丹利</t>
  </si>
  <si>
    <t>www.lixinger.com/analytics/company/sz/002588/2588/detail</t>
  </si>
  <si>
    <t>瑞康医药</t>
  </si>
  <si>
    <t>www.lixinger.com/analytics/company/sz/002589/2589/detail</t>
  </si>
  <si>
    <t>万安科技</t>
  </si>
  <si>
    <t>www.lixinger.com/analytics/company/sz/002590/2590/detail</t>
  </si>
  <si>
    <t>恒大高新</t>
  </si>
  <si>
    <t>www.lixinger.com/analytics/company/sz/002591/2591/detail</t>
  </si>
  <si>
    <t>ST八菱</t>
  </si>
  <si>
    <t>www.lixinger.com/analytics/company/sz/002592/2592/detail</t>
  </si>
  <si>
    <t>日上集团</t>
  </si>
  <si>
    <t>www.lixinger.com/analytics/company/sz/002593/2593/detail</t>
  </si>
  <si>
    <t>比亚迪</t>
  </si>
  <si>
    <t>电动乘用车</t>
  </si>
  <si>
    <t>www.lixinger.com/analytics/company/sz/002594/2594/detail</t>
  </si>
  <si>
    <t>豪迈科技</t>
  </si>
  <si>
    <t>www.lixinger.com/analytics/company/sz/002595/2595/detail</t>
  </si>
  <si>
    <t>海南瑞泽</t>
  </si>
  <si>
    <t>www.lixinger.com/analytics/company/sz/002596/2596/detail</t>
  </si>
  <si>
    <t>金禾实业</t>
  </si>
  <si>
    <t>www.lixinger.com/analytics/company/sz/002597/2597/detail</t>
  </si>
  <si>
    <t>山东章鼓</t>
  </si>
  <si>
    <t>www.lixinger.com/analytics/company/sz/002598/2598/detail</t>
  </si>
  <si>
    <t>盛通股份</t>
  </si>
  <si>
    <t>www.lixinger.com/analytics/company/sz/002599/2599/detail</t>
  </si>
  <si>
    <t>领益智造</t>
  </si>
  <si>
    <t>www.lixinger.com/analytics/company/sz/002600/2600/detail</t>
  </si>
  <si>
    <t>龙佰集团</t>
  </si>
  <si>
    <t>www.lixinger.com/analytics/company/sz/002601/2601/detail</t>
  </si>
  <si>
    <t>世纪华通</t>
  </si>
  <si>
    <t>www.lixinger.com/analytics/company/sz/002602/2602/detail</t>
  </si>
  <si>
    <t>以岭药业</t>
  </si>
  <si>
    <t>www.lixinger.com/analytics/company/sz/002603/2603/detail</t>
  </si>
  <si>
    <t>龙力退</t>
  </si>
  <si>
    <t>www.lixinger.com/analytics/company/sz/002604/2604/detail</t>
  </si>
  <si>
    <t>姚记科技</t>
  </si>
  <si>
    <t>www.lixinger.com/analytics/company/sz/002605/2605/detail</t>
  </si>
  <si>
    <t>大连电瓷</t>
  </si>
  <si>
    <t>www.lixinger.com/analytics/company/sz/002606/2606/detail</t>
  </si>
  <si>
    <t>中公教育</t>
  </si>
  <si>
    <t>www.lixinger.com/analytics/company/sz/002607/2607/detail</t>
  </si>
  <si>
    <t>江苏国信</t>
  </si>
  <si>
    <t>www.lixinger.com/analytics/company/sz/002608/2608/detail</t>
  </si>
  <si>
    <t>捷顺科技</t>
  </si>
  <si>
    <t>www.lixinger.com/analytics/company/sz/002609/2609/detail</t>
  </si>
  <si>
    <t>爱康科技</t>
  </si>
  <si>
    <t>www.lixinger.com/analytics/company/sz/002610/2610/detail</t>
  </si>
  <si>
    <t>东方精工</t>
  </si>
  <si>
    <t>www.lixinger.com/analytics/company/sz/002611/2611/detail</t>
  </si>
  <si>
    <t>朗姿股份</t>
  </si>
  <si>
    <t>www.lixinger.com/analytics/company/sz/002612/2612/detail</t>
  </si>
  <si>
    <t>北玻股份</t>
  </si>
  <si>
    <t>www.lixinger.com/analytics/company/sz/002613/2613/detail</t>
  </si>
  <si>
    <t>奥佳华</t>
  </si>
  <si>
    <t>www.lixinger.com/analytics/company/sz/002614/2614/detail</t>
  </si>
  <si>
    <t>哈尔斯</t>
  </si>
  <si>
    <t>www.lixinger.com/analytics/company/sz/002615/2615/detail</t>
  </si>
  <si>
    <t>长青集团</t>
  </si>
  <si>
    <t>其他能源发电</t>
  </si>
  <si>
    <t>www.lixinger.com/analytics/company/sz/002616/2616/detail</t>
  </si>
  <si>
    <t>露笑科技</t>
  </si>
  <si>
    <t>www.lixinger.com/analytics/company/sz/002617/2617/detail</t>
  </si>
  <si>
    <t>*ST丹邦</t>
  </si>
  <si>
    <t>www.lixinger.com/analytics/company/sz/002618/2618/detail</t>
  </si>
  <si>
    <t>*ST艾格</t>
  </si>
  <si>
    <t>www.lixinger.com/analytics/company/sz/002619/2619/detail</t>
  </si>
  <si>
    <t>瑞和股份</t>
  </si>
  <si>
    <t>www.lixinger.com/analytics/company/sz/002620/2620/detail</t>
  </si>
  <si>
    <t>美吉姆</t>
  </si>
  <si>
    <t>www.lixinger.com/analytics/company/sz/002621/2621/detail</t>
  </si>
  <si>
    <t>融钰集团</t>
  </si>
  <si>
    <t>www.lixinger.com/analytics/company/sz/002622/2622/detail</t>
  </si>
  <si>
    <t>亚玛顿</t>
  </si>
  <si>
    <t>www.lixinger.com/analytics/company/sz/002623/2623/detail</t>
  </si>
  <si>
    <t>完美世界</t>
  </si>
  <si>
    <t>www.lixinger.com/analytics/company/sz/002624/2624/detail</t>
  </si>
  <si>
    <t>光启技术</t>
  </si>
  <si>
    <t>www.lixinger.com/analytics/company/sz/002625/2625/detail</t>
  </si>
  <si>
    <t>金达威</t>
  </si>
  <si>
    <t>www.lixinger.com/analytics/company/sz/002626/2626/detail</t>
  </si>
  <si>
    <t>三峡旅游</t>
  </si>
  <si>
    <t>www.lixinger.com/analytics/company/sz/002627/2627/detail</t>
  </si>
  <si>
    <t>成都路桥</t>
  </si>
  <si>
    <t>www.lixinger.com/analytics/company/sz/002628/2628/detail</t>
  </si>
  <si>
    <t>仁智股份</t>
  </si>
  <si>
    <t>www.lixinger.com/analytics/company/sz/002629/2629/detail</t>
  </si>
  <si>
    <t>华西能源</t>
  </si>
  <si>
    <t>www.lixinger.com/analytics/company/sz/002630/2630/detail</t>
  </si>
  <si>
    <t>德尔未来</t>
  </si>
  <si>
    <t>www.lixinger.com/analytics/company/sz/002631/2631/detail</t>
  </si>
  <si>
    <t>道明光学</t>
  </si>
  <si>
    <t>www.lixinger.com/analytics/company/sz/002632/2632/detail</t>
  </si>
  <si>
    <t>申科股份</t>
  </si>
  <si>
    <t>www.lixinger.com/analytics/company/sz/002633/2633/detail</t>
  </si>
  <si>
    <t>棒杰股份</t>
  </si>
  <si>
    <t>www.lixinger.com/analytics/company/sz/002634/2634/detail</t>
  </si>
  <si>
    <t>安洁科技</t>
  </si>
  <si>
    <t>www.lixinger.com/analytics/company/sz/002635/2635/detail</t>
  </si>
  <si>
    <t>金安国纪</t>
  </si>
  <si>
    <t>www.lixinger.com/analytics/company/sz/002636/2636/detail</t>
  </si>
  <si>
    <t>赞宇科技</t>
  </si>
  <si>
    <t>www.lixinger.com/analytics/company/sz/002637/2637/detail</t>
  </si>
  <si>
    <t>勤上股份</t>
  </si>
  <si>
    <t>www.lixinger.com/analytics/company/sz/002638/2638/detail</t>
  </si>
  <si>
    <t>雪人股份</t>
  </si>
  <si>
    <t>www.lixinger.com/analytics/company/sz/002639/2639/detail</t>
  </si>
  <si>
    <t>*ST跨境</t>
  </si>
  <si>
    <t>www.lixinger.com/analytics/company/sz/002640/2640/detail</t>
  </si>
  <si>
    <t>公元股份</t>
  </si>
  <si>
    <t>www.lixinger.com/analytics/company/sz/002641/2641/detail</t>
  </si>
  <si>
    <t>荣联科技</t>
  </si>
  <si>
    <t>www.lixinger.com/analytics/company/sz/002642/2642/detail</t>
  </si>
  <si>
    <t>万润股份</t>
  </si>
  <si>
    <t>www.lixinger.com/analytics/company/sz/002643/2643/detail</t>
  </si>
  <si>
    <t>佛慈制药</t>
  </si>
  <si>
    <t>www.lixinger.com/analytics/company/sz/002644/2644/detail</t>
  </si>
  <si>
    <t>华宏科技</t>
  </si>
  <si>
    <t>www.lixinger.com/analytics/company/sz/002645/2645/detail</t>
  </si>
  <si>
    <t>天佑德酒</t>
  </si>
  <si>
    <t>www.lixinger.com/analytics/company/sz/002646/2646/detail</t>
  </si>
  <si>
    <t>仁东控股</t>
  </si>
  <si>
    <t>www.lixinger.com/analytics/company/sz/002647/2647/detail</t>
  </si>
  <si>
    <t>卫星化学</t>
  </si>
  <si>
    <t>www.lixinger.com/analytics/company/sz/002648/2648/detail</t>
  </si>
  <si>
    <t>博彦科技</t>
  </si>
  <si>
    <t>www.lixinger.com/analytics/company/sz/002649/2649/detail</t>
  </si>
  <si>
    <t>加加食品</t>
  </si>
  <si>
    <t>www.lixinger.com/analytics/company/sz/002650/2650/detail</t>
  </si>
  <si>
    <t>利君股份</t>
  </si>
  <si>
    <t>www.lixinger.com/analytics/company/sz/002651/2651/detail</t>
  </si>
  <si>
    <t>扬子新材</t>
  </si>
  <si>
    <t>www.lixinger.com/analytics/company/sz/002652/2652/detail</t>
  </si>
  <si>
    <t>海思科</t>
  </si>
  <si>
    <t>www.lixinger.com/analytics/company/sz/002653/2653/detail</t>
  </si>
  <si>
    <t>万润科技</t>
  </si>
  <si>
    <t>www.lixinger.com/analytics/company/sz/002654/2654/detail</t>
  </si>
  <si>
    <t>共达电声</t>
  </si>
  <si>
    <t>www.lixinger.com/analytics/company/sz/002655/2655/detail</t>
  </si>
  <si>
    <t>ST摩登</t>
  </si>
  <si>
    <t>www.lixinger.com/analytics/company/sz/002656/2656/detail</t>
  </si>
  <si>
    <t>中科金财</t>
  </si>
  <si>
    <t>www.lixinger.com/analytics/company/sz/002657/2657/detail</t>
  </si>
  <si>
    <t>雪迪龙</t>
  </si>
  <si>
    <t>www.lixinger.com/analytics/company/sz/002658/2658/detail</t>
  </si>
  <si>
    <t>凯文教育</t>
  </si>
  <si>
    <t>www.lixinger.com/analytics/company/sz/002659/2659/detail</t>
  </si>
  <si>
    <t>茂硕电源</t>
  </si>
  <si>
    <t>www.lixinger.com/analytics/company/sz/002660/2660/detail</t>
  </si>
  <si>
    <t>克明食品</t>
  </si>
  <si>
    <t>www.lixinger.com/analytics/company/sz/002661/2661/detail</t>
  </si>
  <si>
    <t>京威股份</t>
  </si>
  <si>
    <t>www.lixinger.com/analytics/company/sz/002662/2662/detail</t>
  </si>
  <si>
    <t>普邦股份</t>
  </si>
  <si>
    <t>www.lixinger.com/analytics/company/sz/002663/2663/detail</t>
  </si>
  <si>
    <t>长鹰信质</t>
  </si>
  <si>
    <t>www.lixinger.com/analytics/company/sz/002664/2664/detail</t>
  </si>
  <si>
    <t>首航高科</t>
  </si>
  <si>
    <t>www.lixinger.com/analytics/company/sz/002665/2665/detail</t>
  </si>
  <si>
    <t>德联集团</t>
  </si>
  <si>
    <t>www.lixinger.com/analytics/company/sz/002666/2666/detail</t>
  </si>
  <si>
    <t>鞍重股份</t>
  </si>
  <si>
    <t>www.lixinger.com/analytics/company/sz/002667/2667/detail</t>
  </si>
  <si>
    <t>ST奥马</t>
  </si>
  <si>
    <t>www.lixinger.com/analytics/company/sz/002668/2668/detail</t>
  </si>
  <si>
    <t>康达新材</t>
  </si>
  <si>
    <t>www.lixinger.com/analytics/company/sz/002669/2669/detail</t>
  </si>
  <si>
    <t>国盛金控</t>
  </si>
  <si>
    <t>www.lixinger.com/analytics/company/sz/002670/2670/detail</t>
  </si>
  <si>
    <t>龙泉股份</t>
  </si>
  <si>
    <t>www.lixinger.com/analytics/company/sz/002671/2671/detail</t>
  </si>
  <si>
    <t>东江环保</t>
  </si>
  <si>
    <t>www.lixinger.com/analytics/company/sz/002672/2672/detail</t>
  </si>
  <si>
    <t>西部证券</t>
  </si>
  <si>
    <t>www.lixinger.com/analytics/company/sz/002673/2673/detail</t>
  </si>
  <si>
    <t>兴业科技</t>
  </si>
  <si>
    <t>www.lixinger.com/analytics/company/sz/002674/2674/detail</t>
  </si>
  <si>
    <t>东诚药业</t>
  </si>
  <si>
    <t>www.lixinger.com/analytics/company/sz/002675/2675/detail</t>
  </si>
  <si>
    <t>顺威股份</t>
  </si>
  <si>
    <t>www.lixinger.com/analytics/company/sz/002676/2676/detail</t>
  </si>
  <si>
    <t>浙江美大</t>
  </si>
  <si>
    <t>www.lixinger.com/analytics/company/sz/002677/2677/detail</t>
  </si>
  <si>
    <t>珠江钢琴</t>
  </si>
  <si>
    <t>www.lixinger.com/analytics/company/sz/002678/2678/detail</t>
  </si>
  <si>
    <t>福建金森</t>
  </si>
  <si>
    <t>www.lixinger.com/analytics/company/sz/002679/2679/detail</t>
  </si>
  <si>
    <t>长生退</t>
  </si>
  <si>
    <t>www.lixinger.com/analytics/company/sz/002680/2680/detail</t>
  </si>
  <si>
    <t>奋达科技</t>
  </si>
  <si>
    <t>www.lixinger.com/analytics/company/sz/002681/2681/detail</t>
  </si>
  <si>
    <t>龙洲股份</t>
  </si>
  <si>
    <t>www.lixinger.com/analytics/company/sz/002682/2682/detail</t>
  </si>
  <si>
    <t>广东宏大</t>
  </si>
  <si>
    <t>www.lixinger.com/analytics/company/sz/002683/2683/detail</t>
  </si>
  <si>
    <t>*ST猛狮</t>
  </si>
  <si>
    <t>www.lixinger.com/analytics/company/sz/002684/2684/detail</t>
  </si>
  <si>
    <t>华东重机</t>
  </si>
  <si>
    <t>www.lixinger.com/analytics/company/sz/002685/2685/detail</t>
  </si>
  <si>
    <t>亿利达</t>
  </si>
  <si>
    <t>www.lixinger.com/analytics/company/sz/002686/2686/detail</t>
  </si>
  <si>
    <t>乔治白</t>
  </si>
  <si>
    <t>www.lixinger.com/analytics/company/sz/002687/2687/detail</t>
  </si>
  <si>
    <t>金河生物</t>
  </si>
  <si>
    <t>www.lixinger.com/analytics/company/sz/002688/2688/detail</t>
  </si>
  <si>
    <t>远大智能</t>
  </si>
  <si>
    <t>www.lixinger.com/analytics/company/sz/002689/2689/detail</t>
  </si>
  <si>
    <t>美亚光电</t>
  </si>
  <si>
    <t>www.lixinger.com/analytics/company/sz/002690/2690/detail</t>
  </si>
  <si>
    <t>冀凯股份</t>
  </si>
  <si>
    <t>www.lixinger.com/analytics/company/sz/002691/2691/detail</t>
  </si>
  <si>
    <t>ST远程</t>
  </si>
  <si>
    <t>www.lixinger.com/analytics/company/sz/002692/2692/detail</t>
  </si>
  <si>
    <t>双成药业</t>
  </si>
  <si>
    <t>www.lixinger.com/analytics/company/sz/002693/2693/detail</t>
  </si>
  <si>
    <t>顾地科技</t>
  </si>
  <si>
    <t>www.lixinger.com/analytics/company/sz/002694/2694/detail</t>
  </si>
  <si>
    <t>煌上煌</t>
  </si>
  <si>
    <t>www.lixinger.com/analytics/company/sz/002695/2695/detail</t>
  </si>
  <si>
    <t>百洋股份</t>
  </si>
  <si>
    <t>www.lixinger.com/analytics/company/sz/002696/2696/detail</t>
  </si>
  <si>
    <t>红旗连锁</t>
  </si>
  <si>
    <t>www.lixinger.com/analytics/company/sz/002697/2697/detail</t>
  </si>
  <si>
    <t>博实股份</t>
  </si>
  <si>
    <t>www.lixinger.com/analytics/company/sz/002698/2698/detail</t>
  </si>
  <si>
    <t>美盛文化</t>
  </si>
  <si>
    <t>www.lixinger.com/analytics/company/sz/002699/2699/detail</t>
  </si>
  <si>
    <t>ST浩源</t>
  </si>
  <si>
    <t>www.lixinger.com/analytics/company/sz/002700/2700/detail</t>
  </si>
  <si>
    <t>奥瑞金</t>
  </si>
  <si>
    <t>www.lixinger.com/analytics/company/sz/002701/2701/detail</t>
  </si>
  <si>
    <t>海欣食品</t>
  </si>
  <si>
    <t>www.lixinger.com/analytics/company/sz/002702/2702/detail</t>
  </si>
  <si>
    <t>浙江世宝</t>
  </si>
  <si>
    <t>www.lixinger.com/analytics/company/sz/002703/2703/detail</t>
  </si>
  <si>
    <t>新宝股份</t>
  </si>
  <si>
    <t>www.lixinger.com/analytics/company/sz/002705/2705/detail</t>
  </si>
  <si>
    <t>良信股份</t>
  </si>
  <si>
    <t>www.lixinger.com/analytics/company/sz/002706/2706/detail</t>
  </si>
  <si>
    <t>众信旅游</t>
  </si>
  <si>
    <t>www.lixinger.com/analytics/company/sz/002707/2707/detail</t>
  </si>
  <si>
    <t>光洋股份</t>
  </si>
  <si>
    <t>www.lixinger.com/analytics/company/sz/002708/2708/detail</t>
  </si>
  <si>
    <t>天赐材料</t>
  </si>
  <si>
    <t>www.lixinger.com/analytics/company/sz/002709/2709/detail</t>
  </si>
  <si>
    <t>慈铭体检</t>
  </si>
  <si>
    <t>医疗服务</t>
  </si>
  <si>
    <t>www.lixinger.com/analytics/company/sz/002710/2710/detail</t>
  </si>
  <si>
    <t>欧浦退</t>
  </si>
  <si>
    <t>www.lixinger.com/analytics/company/sz/002711/2711/detail</t>
  </si>
  <si>
    <t>思美传媒</t>
  </si>
  <si>
    <t>www.lixinger.com/analytics/company/sz/002712/2712/detail</t>
  </si>
  <si>
    <t>东易日盛</t>
  </si>
  <si>
    <t>www.lixinger.com/analytics/company/sz/002713/2713/detail</t>
  </si>
  <si>
    <t>牧原股份</t>
  </si>
  <si>
    <t>www.lixinger.com/analytics/company/sz/002714/2714/detail</t>
  </si>
  <si>
    <t>登云股份</t>
  </si>
  <si>
    <t>www.lixinger.com/analytics/company/sz/002715/2715/detail</t>
  </si>
  <si>
    <t>金贵银业</t>
  </si>
  <si>
    <t>www.lixinger.com/analytics/company/sz/002716/2716/detail</t>
  </si>
  <si>
    <t>岭南股份</t>
  </si>
  <si>
    <t>www.lixinger.com/analytics/company/sz/002717/2717/detail</t>
  </si>
  <si>
    <t>友邦吊顶</t>
  </si>
  <si>
    <t>www.lixinger.com/analytics/company/sz/002718/2718/detail</t>
  </si>
  <si>
    <t>麦趣尔</t>
  </si>
  <si>
    <t>www.lixinger.com/analytics/company/sz/002719/2719/detail</t>
  </si>
  <si>
    <t>宏良股份</t>
  </si>
  <si>
    <t>www.lixinger.com/analytics/company/sz/002720/2720/detail</t>
  </si>
  <si>
    <t>金一文化</t>
  </si>
  <si>
    <t>www.lixinger.com/analytics/company/sz/002721/2721/detail</t>
  </si>
  <si>
    <t>金轮股份</t>
  </si>
  <si>
    <t>www.lixinger.com/analytics/company/sz/002722/2722/detail</t>
  </si>
  <si>
    <t>金莱特</t>
  </si>
  <si>
    <t>www.lixinger.com/analytics/company/sz/002723/2723/detail</t>
  </si>
  <si>
    <t>海洋王</t>
  </si>
  <si>
    <t>www.lixinger.com/analytics/company/sz/002724/2724/detail</t>
  </si>
  <si>
    <t>跃岭股份</t>
  </si>
  <si>
    <t>www.lixinger.com/analytics/company/sz/002725/2725/detail</t>
  </si>
  <si>
    <t>龙大美食</t>
  </si>
  <si>
    <t>www.lixinger.com/analytics/company/sz/002726/2726/detail</t>
  </si>
  <si>
    <t>一心堂</t>
  </si>
  <si>
    <t>www.lixinger.com/analytics/company/sz/002727/2727/detail</t>
  </si>
  <si>
    <t>特一药业</t>
  </si>
  <si>
    <t>www.lixinger.com/analytics/company/sz/002728/2728/detail</t>
  </si>
  <si>
    <t>好利科技</t>
  </si>
  <si>
    <t>www.lixinger.com/analytics/company/sz/002729/2729/detail</t>
  </si>
  <si>
    <t>电光科技</t>
  </si>
  <si>
    <t>www.lixinger.com/analytics/company/sz/002730/2730/detail</t>
  </si>
  <si>
    <t>萃华珠宝</t>
  </si>
  <si>
    <t>www.lixinger.com/analytics/company/sz/002731/2731/detail</t>
  </si>
  <si>
    <t>燕塘乳业</t>
  </si>
  <si>
    <t>www.lixinger.com/analytics/company/sz/002732/2732/detail</t>
  </si>
  <si>
    <t>雄韬股份</t>
  </si>
  <si>
    <t>www.lixinger.com/analytics/company/sz/002733/2733/detail</t>
  </si>
  <si>
    <t>利民股份</t>
  </si>
  <si>
    <t>www.lixinger.com/analytics/company/sz/002734/2734/detail</t>
  </si>
  <si>
    <t>王子新材</t>
  </si>
  <si>
    <t>www.lixinger.com/analytics/company/sz/002735/2735/detail</t>
  </si>
  <si>
    <t>国信证券</t>
  </si>
  <si>
    <t>www.lixinger.com/analytics/company/sz/002736/2736/detail</t>
  </si>
  <si>
    <t>葵花药业</t>
  </si>
  <si>
    <t>www.lixinger.com/analytics/company/sz/002737/2737/detail</t>
  </si>
  <si>
    <t>中矿资源</t>
  </si>
  <si>
    <t>www.lixinger.com/analytics/company/sz/002738/2738/detail</t>
  </si>
  <si>
    <t>万达电影</t>
  </si>
  <si>
    <t>www.lixinger.com/analytics/company/sz/002739/2739/detail</t>
  </si>
  <si>
    <t>爱迪尔</t>
  </si>
  <si>
    <t>www.lixinger.com/analytics/company/sz/002740/2740/detail</t>
  </si>
  <si>
    <t>光华科技</t>
  </si>
  <si>
    <t>www.lixinger.com/analytics/company/sz/002741/2741/detail</t>
  </si>
  <si>
    <t>三圣股份</t>
  </si>
  <si>
    <t>www.lixinger.com/analytics/company/sz/002742/2742/detail</t>
  </si>
  <si>
    <t>富煌钢构</t>
  </si>
  <si>
    <t>www.lixinger.com/analytics/company/sz/002743/2743/detail</t>
  </si>
  <si>
    <t>木林森</t>
  </si>
  <si>
    <t>www.lixinger.com/analytics/company/sz/002745/2745/detail</t>
  </si>
  <si>
    <t>仙坛股份</t>
  </si>
  <si>
    <t>www.lixinger.com/analytics/company/sz/002746/2746/detail</t>
  </si>
  <si>
    <t>埃斯顿</t>
  </si>
  <si>
    <t>www.lixinger.com/analytics/company/sz/002747/2747/detail</t>
  </si>
  <si>
    <t>世龙实业</t>
  </si>
  <si>
    <t>www.lixinger.com/analytics/company/sz/002748/2748/detail</t>
  </si>
  <si>
    <t>国光股份</t>
  </si>
  <si>
    <t>www.lixinger.com/analytics/company/sz/002749/2749/detail</t>
  </si>
  <si>
    <t>龙津药业</t>
  </si>
  <si>
    <t>www.lixinger.com/analytics/company/sz/002750/2750/detail</t>
  </si>
  <si>
    <t>易尚展示</t>
  </si>
  <si>
    <t>www.lixinger.com/analytics/company/sz/002751/2751/detail</t>
  </si>
  <si>
    <t>昇兴股份</t>
  </si>
  <si>
    <t>www.lixinger.com/analytics/company/sz/002752/2752/detail</t>
  </si>
  <si>
    <t>永东股份</t>
  </si>
  <si>
    <t>www.lixinger.com/analytics/company/sz/002753/2753/detail</t>
  </si>
  <si>
    <t>奥赛康</t>
  </si>
  <si>
    <t>www.lixinger.com/analytics/company/sz/002755/2755/detail</t>
  </si>
  <si>
    <t>永兴材料</t>
  </si>
  <si>
    <t>www.lixinger.com/analytics/company/sz/002756/2756/detail</t>
  </si>
  <si>
    <t>南兴股份</t>
  </si>
  <si>
    <t>www.lixinger.com/analytics/company/sz/002757/2757/detail</t>
  </si>
  <si>
    <t>浙农股份</t>
  </si>
  <si>
    <t>www.lixinger.com/analytics/company/sz/002758/2758/detail</t>
  </si>
  <si>
    <t>天际股份</t>
  </si>
  <si>
    <t>www.lixinger.com/analytics/company/sz/002759/2759/detail</t>
  </si>
  <si>
    <t>凤形股份</t>
  </si>
  <si>
    <t>www.lixinger.com/analytics/company/sz/002760/2760/detail</t>
  </si>
  <si>
    <t>浙江建投</t>
  </si>
  <si>
    <t>www.lixinger.com/analytics/company/sz/002761/2761/detail</t>
  </si>
  <si>
    <t>金发拉比</t>
  </si>
  <si>
    <t>www.lixinger.com/analytics/company/sz/002762/2762/detail</t>
  </si>
  <si>
    <t>汇洁股份</t>
  </si>
  <si>
    <t>www.lixinger.com/analytics/company/sz/002763/2763/detail</t>
  </si>
  <si>
    <t>蓝黛科技</t>
  </si>
  <si>
    <t>www.lixinger.com/analytics/company/sz/002765/2765/detail</t>
  </si>
  <si>
    <t>*ST索菱</t>
  </si>
  <si>
    <t>www.lixinger.com/analytics/company/sz/002766/2766/detail</t>
  </si>
  <si>
    <t>先锋电子</t>
  </si>
  <si>
    <t>www.lixinger.com/analytics/company/sz/002767/2767/detail</t>
  </si>
  <si>
    <t>国恩股份</t>
  </si>
  <si>
    <t>www.lixinger.com/analytics/company/sz/002768/2768/detail</t>
  </si>
  <si>
    <t>普路通</t>
  </si>
  <si>
    <t>www.lixinger.com/analytics/company/sz/002769/2769/detail</t>
  </si>
  <si>
    <t>*ST科迪</t>
  </si>
  <si>
    <t>www.lixinger.com/analytics/company/sz/002770/2770/detail</t>
  </si>
  <si>
    <t>真视通</t>
  </si>
  <si>
    <t>www.lixinger.com/analytics/company/sz/002771/2771/detail</t>
  </si>
  <si>
    <t>众兴菌业</t>
  </si>
  <si>
    <t>食用菌</t>
  </si>
  <si>
    <t>www.lixinger.com/analytics/company/sz/002772/2772/detail</t>
  </si>
  <si>
    <t>康弘药业</t>
  </si>
  <si>
    <t>www.lixinger.com/analytics/company/sz/002773/2773/detail</t>
  </si>
  <si>
    <t>快意电梯</t>
  </si>
  <si>
    <t>www.lixinger.com/analytics/company/sz/002774/2774/detail</t>
  </si>
  <si>
    <t>文科园林</t>
  </si>
  <si>
    <t>www.lixinger.com/analytics/company/sz/002775/2775/detail</t>
  </si>
  <si>
    <t>ST柏龙</t>
  </si>
  <si>
    <t>www.lixinger.com/analytics/company/sz/002776/2776/detail</t>
  </si>
  <si>
    <t>久远银海</t>
  </si>
  <si>
    <t>www.lixinger.com/analytics/company/sz/002777/2777/detail</t>
  </si>
  <si>
    <t>中晟高科</t>
  </si>
  <si>
    <t>www.lixinger.com/analytics/company/sz/002778/2778/detail</t>
  </si>
  <si>
    <t>中坚科技</t>
  </si>
  <si>
    <t>www.lixinger.com/analytics/company/sz/002779/2779/detail</t>
  </si>
  <si>
    <t>三夫户外</t>
  </si>
  <si>
    <t>www.lixinger.com/analytics/company/sz/002780/2780/detail</t>
  </si>
  <si>
    <t>ST奇信</t>
  </si>
  <si>
    <t>www.lixinger.com/analytics/company/sz/002781/2781/detail</t>
  </si>
  <si>
    <t>可立克</t>
  </si>
  <si>
    <t>www.lixinger.com/analytics/company/sz/002782/2782/detail</t>
  </si>
  <si>
    <t>凯龙股份</t>
  </si>
  <si>
    <t>www.lixinger.com/analytics/company/sz/002783/2783/detail</t>
  </si>
  <si>
    <t>万里石</t>
  </si>
  <si>
    <t>www.lixinger.com/analytics/company/sz/002785/2785/detail</t>
  </si>
  <si>
    <t>银宝山新</t>
  </si>
  <si>
    <t>www.lixinger.com/analytics/company/sz/002786/2786/detail</t>
  </si>
  <si>
    <t>华源控股</t>
  </si>
  <si>
    <t>www.lixinger.com/analytics/company/sz/002787/2787/detail</t>
  </si>
  <si>
    <t>鹭燕医药</t>
  </si>
  <si>
    <t>www.lixinger.com/analytics/company/sz/002788/2788/detail</t>
  </si>
  <si>
    <t>建艺集团</t>
  </si>
  <si>
    <t>www.lixinger.com/analytics/company/sz/002789/2789/detail</t>
  </si>
  <si>
    <t>瑞尔特</t>
  </si>
  <si>
    <t>www.lixinger.com/analytics/company/sz/002790/2790/detail</t>
  </si>
  <si>
    <t>坚朗五金</t>
  </si>
  <si>
    <t>www.lixinger.com/analytics/company/sz/002791/2791/detail</t>
  </si>
  <si>
    <t>通宇通讯</t>
  </si>
  <si>
    <t>www.lixinger.com/analytics/company/sz/002792/2792/detail</t>
  </si>
  <si>
    <t>罗欣药业</t>
  </si>
  <si>
    <t>www.lixinger.com/analytics/company/sz/002793/2793/detail</t>
  </si>
  <si>
    <t>永和智控</t>
  </si>
  <si>
    <t>www.lixinger.com/analytics/company/sz/002795/2795/detail</t>
  </si>
  <si>
    <t>世嘉科技</t>
  </si>
  <si>
    <t>www.lixinger.com/analytics/company/sz/002796/2796/detail</t>
  </si>
  <si>
    <t>第一创业</t>
  </si>
  <si>
    <t>www.lixinger.com/analytics/company/sz/002797/2797/detail</t>
  </si>
  <si>
    <t>帝欧家居</t>
  </si>
  <si>
    <t>www.lixinger.com/analytics/company/sz/002798/2798/detail</t>
  </si>
  <si>
    <t>环球印务</t>
  </si>
  <si>
    <t>www.lixinger.com/analytics/company/sz/002799/2799/detail</t>
  </si>
  <si>
    <t>天顺股份</t>
  </si>
  <si>
    <t>www.lixinger.com/analytics/company/sz/002800/2800/detail</t>
  </si>
  <si>
    <t>微光股份</t>
  </si>
  <si>
    <t>www.lixinger.com/analytics/company/sz/002801/2801/detail</t>
  </si>
  <si>
    <t>洪汇新材</t>
  </si>
  <si>
    <t>www.lixinger.com/analytics/company/sz/002802/2802/detail</t>
  </si>
  <si>
    <t>吉宏股份</t>
  </si>
  <si>
    <t>www.lixinger.com/analytics/company/sz/002803/2803/detail</t>
  </si>
  <si>
    <t>丰元股份</t>
  </si>
  <si>
    <t>www.lixinger.com/analytics/company/sz/002805/2805/detail</t>
  </si>
  <si>
    <t>华锋股份</t>
  </si>
  <si>
    <t>www.lixinger.com/analytics/company/sz/002806/2806/detail</t>
  </si>
  <si>
    <t>江阴银行</t>
  </si>
  <si>
    <t>www.lixinger.com/analytics/company/sz/002807/2807/detail</t>
  </si>
  <si>
    <t>恒久科技</t>
  </si>
  <si>
    <t>www.lixinger.com/analytics/company/sz/002808/2808/detail</t>
  </si>
  <si>
    <t>红墙股份</t>
  </si>
  <si>
    <t>www.lixinger.com/analytics/company/sz/002809/2809/detail</t>
  </si>
  <si>
    <t>山东赫达</t>
  </si>
  <si>
    <t>www.lixinger.com/analytics/company/sz/002810/2810/detail</t>
  </si>
  <si>
    <t>郑中设计</t>
  </si>
  <si>
    <t>www.lixinger.com/analytics/company/sz/002811/2811/detail</t>
  </si>
  <si>
    <t>恩捷股份</t>
  </si>
  <si>
    <t>www.lixinger.com/analytics/company/sz/002812/2812/detail</t>
  </si>
  <si>
    <t>路畅科技</t>
  </si>
  <si>
    <t>www.lixinger.com/analytics/company/sz/002813/2813/detail</t>
  </si>
  <si>
    <t>崇达技术</t>
  </si>
  <si>
    <t>www.lixinger.com/analytics/company/sz/002815/2815/detail</t>
  </si>
  <si>
    <t>和科达</t>
  </si>
  <si>
    <t>www.lixinger.com/analytics/company/sz/002816/2816/detail</t>
  </si>
  <si>
    <t>黄山胶囊</t>
  </si>
  <si>
    <t>www.lixinger.com/analytics/company/sz/002817/2817/detail</t>
  </si>
  <si>
    <t>富森美</t>
  </si>
  <si>
    <t>www.lixinger.com/analytics/company/sz/002818/2818/detail</t>
  </si>
  <si>
    <t>东方中科</t>
  </si>
  <si>
    <t>www.lixinger.com/analytics/company/sz/002819/2819/detail</t>
  </si>
  <si>
    <t>桂发祥</t>
  </si>
  <si>
    <t>www.lixinger.com/analytics/company/sz/002820/2820/detail</t>
  </si>
  <si>
    <t>凯莱英</t>
  </si>
  <si>
    <t>www.lixinger.com/analytics/company/sz/002821/2821/detail</t>
  </si>
  <si>
    <t>中装建设</t>
  </si>
  <si>
    <t>www.lixinger.com/analytics/company/sz/002822/2822/detail</t>
  </si>
  <si>
    <t>凯中精密</t>
  </si>
  <si>
    <t>www.lixinger.com/analytics/company/sz/002823/2823/detail</t>
  </si>
  <si>
    <t>和胜股份</t>
  </si>
  <si>
    <t>www.lixinger.com/analytics/company/sz/002824/2824/detail</t>
  </si>
  <si>
    <t>纳尔股份</t>
  </si>
  <si>
    <t>www.lixinger.com/analytics/company/sz/002825/2825/detail</t>
  </si>
  <si>
    <t>易明医药</t>
  </si>
  <si>
    <t>www.lixinger.com/analytics/company/sz/002826/2826/detail</t>
  </si>
  <si>
    <t>高争民爆</t>
  </si>
  <si>
    <t>www.lixinger.com/analytics/company/sz/002827/2827/detail</t>
  </si>
  <si>
    <t>贝肯能源</t>
  </si>
  <si>
    <t>www.lixinger.com/analytics/company/sz/002828/2828/detail</t>
  </si>
  <si>
    <t>星网宇达</t>
  </si>
  <si>
    <t>www.lixinger.com/analytics/company/sz/002829/2829/detail</t>
  </si>
  <si>
    <t>名雕股份</t>
  </si>
  <si>
    <t>www.lixinger.com/analytics/company/sz/002830/2830/detail</t>
  </si>
  <si>
    <t>裕同科技</t>
  </si>
  <si>
    <t>www.lixinger.com/analytics/company/sz/002831/2831/detail</t>
  </si>
  <si>
    <t>比音勒芬</t>
  </si>
  <si>
    <t>www.lixinger.com/analytics/company/sz/002832/2832/detail</t>
  </si>
  <si>
    <t>弘亚数控</t>
  </si>
  <si>
    <t>www.lixinger.com/analytics/company/sz/002833/2833/detail</t>
  </si>
  <si>
    <t>同为股份</t>
  </si>
  <si>
    <t>www.lixinger.com/analytics/company/sz/002835/2835/detail</t>
  </si>
  <si>
    <t>新宏泽</t>
  </si>
  <si>
    <t>www.lixinger.com/analytics/company/sz/002836/2836/detail</t>
  </si>
  <si>
    <t>英维克</t>
  </si>
  <si>
    <t>www.lixinger.com/analytics/company/sz/002837/2837/detail</t>
  </si>
  <si>
    <t>道恩股份</t>
  </si>
  <si>
    <t>www.lixinger.com/analytics/company/sz/002838/2838/detail</t>
  </si>
  <si>
    <t>张家港行</t>
  </si>
  <si>
    <t>www.lixinger.com/analytics/company/sz/002839/2839/detail</t>
  </si>
  <si>
    <t>华统股份</t>
  </si>
  <si>
    <t>www.lixinger.com/analytics/company/sz/002840/2840/detail</t>
  </si>
  <si>
    <t>视源股份</t>
  </si>
  <si>
    <t>www.lixinger.com/analytics/company/sz/002841/2841/detail</t>
  </si>
  <si>
    <t>翔鹭钨业</t>
  </si>
  <si>
    <t>www.lixinger.com/analytics/company/sz/002842/2842/detail</t>
  </si>
  <si>
    <t>泰嘉股份</t>
  </si>
  <si>
    <t>www.lixinger.com/analytics/company/sz/002843/2843/detail</t>
  </si>
  <si>
    <t>同兴达</t>
  </si>
  <si>
    <t>www.lixinger.com/analytics/company/sz/002845/2845/detail</t>
  </si>
  <si>
    <t>英联股份</t>
  </si>
  <si>
    <t>www.lixinger.com/analytics/company/sz/002846/2846/detail</t>
  </si>
  <si>
    <t>盐津铺子</t>
  </si>
  <si>
    <t>www.lixinger.com/analytics/company/sz/002847/2847/detail</t>
  </si>
  <si>
    <t>高斯贝尔</t>
  </si>
  <si>
    <t>www.lixinger.com/analytics/company/sz/002848/2848/detail</t>
  </si>
  <si>
    <t>威星智能</t>
  </si>
  <si>
    <t>www.lixinger.com/analytics/company/sz/002849/2849/detail</t>
  </si>
  <si>
    <t>科达利</t>
  </si>
  <si>
    <t>www.lixinger.com/analytics/company/sz/002850/2850/detail</t>
  </si>
  <si>
    <t>麦格米特</t>
  </si>
  <si>
    <t>www.lixinger.com/analytics/company/sz/002851/2851/detail</t>
  </si>
  <si>
    <t>道道全</t>
  </si>
  <si>
    <t>www.lixinger.com/analytics/company/sz/002852/2852/detail</t>
  </si>
  <si>
    <t>皮阿诺</t>
  </si>
  <si>
    <t>www.lixinger.com/analytics/company/sz/002853/2853/detail</t>
  </si>
  <si>
    <t>捷荣技术</t>
  </si>
  <si>
    <t>www.lixinger.com/analytics/company/sz/002855/2855/detail</t>
  </si>
  <si>
    <t>美芝股份</t>
  </si>
  <si>
    <t>www.lixinger.com/analytics/company/sz/002856/2856/detail</t>
  </si>
  <si>
    <t>三晖电气</t>
  </si>
  <si>
    <t>www.lixinger.com/analytics/company/sz/002857/2857/detail</t>
  </si>
  <si>
    <t>力盛赛车</t>
  </si>
  <si>
    <t>www.lixinger.com/analytics/company/sz/002858/2858/detail</t>
  </si>
  <si>
    <t>洁美科技</t>
  </si>
  <si>
    <t>www.lixinger.com/analytics/company/sz/002859/2859/detail</t>
  </si>
  <si>
    <t>星帅尔</t>
  </si>
  <si>
    <t>www.lixinger.com/analytics/company/sz/002860/2860/detail</t>
  </si>
  <si>
    <t>瀛通通讯</t>
  </si>
  <si>
    <t>www.lixinger.com/analytics/company/sz/002861/2861/detail</t>
  </si>
  <si>
    <t>实丰文化</t>
  </si>
  <si>
    <t>www.lixinger.com/analytics/company/sz/002862/2862/detail</t>
  </si>
  <si>
    <t>今飞凯达</t>
  </si>
  <si>
    <t>www.lixinger.com/analytics/company/sz/002863/2863/detail</t>
  </si>
  <si>
    <t>盘龙药业</t>
  </si>
  <si>
    <t>www.lixinger.com/analytics/company/sz/002864/2864/detail</t>
  </si>
  <si>
    <t>钧达股份</t>
  </si>
  <si>
    <t>www.lixinger.com/analytics/company/sz/002865/2865/detail</t>
  </si>
  <si>
    <t>传艺科技</t>
  </si>
  <si>
    <t>www.lixinger.com/analytics/company/sz/002866/2866/detail</t>
  </si>
  <si>
    <t>周大生</t>
  </si>
  <si>
    <t>www.lixinger.com/analytics/company/sz/002867/2867/detail</t>
  </si>
  <si>
    <t>绿康生化</t>
  </si>
  <si>
    <t>www.lixinger.com/analytics/company/sz/002868/2868/detail</t>
  </si>
  <si>
    <t>金溢科技</t>
  </si>
  <si>
    <t>www.lixinger.com/analytics/company/sz/002869/2869/detail</t>
  </si>
  <si>
    <t>香山股份</t>
  </si>
  <si>
    <t>www.lixinger.com/analytics/company/sz/002870/2870/detail</t>
  </si>
  <si>
    <t>伟隆股份</t>
  </si>
  <si>
    <t>www.lixinger.com/analytics/company/sz/002871/2871/detail</t>
  </si>
  <si>
    <t>ST天圣</t>
  </si>
  <si>
    <t>www.lixinger.com/analytics/company/sz/002872/2872/detail</t>
  </si>
  <si>
    <t>新天药业</t>
  </si>
  <si>
    <t>www.lixinger.com/analytics/company/sz/002873/2873/detail</t>
  </si>
  <si>
    <t>安奈儿</t>
  </si>
  <si>
    <t>www.lixinger.com/analytics/company/sz/002875/2875/detail</t>
  </si>
  <si>
    <t>三利谱</t>
  </si>
  <si>
    <t>www.lixinger.com/analytics/company/sz/002876/2876/detail</t>
  </si>
  <si>
    <t>智能自控</t>
  </si>
  <si>
    <t>www.lixinger.com/analytics/company/sz/002877/2877/detail</t>
  </si>
  <si>
    <t>元隆雅图</t>
  </si>
  <si>
    <t>www.lixinger.com/analytics/company/sz/002878/2878/detail</t>
  </si>
  <si>
    <t>长缆科技</t>
  </si>
  <si>
    <t>www.lixinger.com/analytics/company/sz/002879/2879/detail</t>
  </si>
  <si>
    <t>卫光生物</t>
  </si>
  <si>
    <t>www.lixinger.com/analytics/company/sz/002880/2880/detail</t>
  </si>
  <si>
    <t>美格智能</t>
  </si>
  <si>
    <t>www.lixinger.com/analytics/company/sz/002881/2881/detail</t>
  </si>
  <si>
    <t>金龙羽</t>
  </si>
  <si>
    <t>www.lixinger.com/analytics/company/sz/002882/2882/detail</t>
  </si>
  <si>
    <t>中设股份</t>
  </si>
  <si>
    <t>www.lixinger.com/analytics/company/sz/002883/2883/detail</t>
  </si>
  <si>
    <t>凌霄泵业</t>
  </si>
  <si>
    <t>www.lixinger.com/analytics/company/sz/002884/2884/detail</t>
  </si>
  <si>
    <t>京泉华</t>
  </si>
  <si>
    <t>www.lixinger.com/analytics/company/sz/002885/2885/detail</t>
  </si>
  <si>
    <t>沃特股份</t>
  </si>
  <si>
    <t>www.lixinger.com/analytics/company/sz/002886/2886/detail</t>
  </si>
  <si>
    <t>绿茵生态</t>
  </si>
  <si>
    <t>www.lixinger.com/analytics/company/sz/002887/2887/detail</t>
  </si>
  <si>
    <t>惠威科技</t>
  </si>
  <si>
    <t>www.lixinger.com/analytics/company/sz/002888/2888/detail</t>
  </si>
  <si>
    <t>东方嘉盛</t>
  </si>
  <si>
    <t>www.lixinger.com/analytics/company/sz/002889/2889/detail</t>
  </si>
  <si>
    <t>弘宇股份</t>
  </si>
  <si>
    <t>www.lixinger.com/analytics/company/sz/002890/2890/detail</t>
  </si>
  <si>
    <t>中宠股份</t>
  </si>
  <si>
    <t>宠物食品</t>
  </si>
  <si>
    <t>www.lixinger.com/analytics/company/sz/002891/2891/detail</t>
  </si>
  <si>
    <t>科力尔</t>
  </si>
  <si>
    <t>www.lixinger.com/analytics/company/sz/002892/2892/detail</t>
  </si>
  <si>
    <t>华通热力</t>
  </si>
  <si>
    <t>www.lixinger.com/analytics/company/sz/002893/2893/detail</t>
  </si>
  <si>
    <t>川恒股份</t>
  </si>
  <si>
    <t>www.lixinger.com/analytics/company/sz/002895/2895/detail</t>
  </si>
  <si>
    <t>中大力德</t>
  </si>
  <si>
    <t>www.lixinger.com/analytics/company/sz/002896/2896/detail</t>
  </si>
  <si>
    <t>意华股份</t>
  </si>
  <si>
    <t>www.lixinger.com/analytics/company/sz/002897/2897/detail</t>
  </si>
  <si>
    <t>赛隆药业</t>
  </si>
  <si>
    <t>www.lixinger.com/analytics/company/sz/002898/2898/detail</t>
  </si>
  <si>
    <t>英派斯</t>
  </si>
  <si>
    <t>www.lixinger.com/analytics/company/sz/002899/2899/detail</t>
  </si>
  <si>
    <t>哈三联</t>
  </si>
  <si>
    <t>www.lixinger.com/analytics/company/sz/002900/2900/detail</t>
  </si>
  <si>
    <t>大博医疗</t>
  </si>
  <si>
    <t>www.lixinger.com/analytics/company/sz/002901/2901/detail</t>
  </si>
  <si>
    <t>铭普光磁</t>
  </si>
  <si>
    <t>www.lixinger.com/analytics/company/sz/002902/2902/detail</t>
  </si>
  <si>
    <t>宇环数控</t>
  </si>
  <si>
    <t>www.lixinger.com/analytics/company/sz/002903/2903/detail</t>
  </si>
  <si>
    <t>金逸影视</t>
  </si>
  <si>
    <t>www.lixinger.com/analytics/company/sz/002905/2905/detail</t>
  </si>
  <si>
    <t>华阳集团</t>
  </si>
  <si>
    <t>www.lixinger.com/analytics/company/sz/002906/2906/detail</t>
  </si>
  <si>
    <t>华森制药</t>
  </si>
  <si>
    <t>www.lixinger.com/analytics/company/sz/002907/2907/detail</t>
  </si>
  <si>
    <t>德生科技</t>
  </si>
  <si>
    <t>www.lixinger.com/analytics/company/sz/002908/2908/detail</t>
  </si>
  <si>
    <t>集泰股份</t>
  </si>
  <si>
    <t>www.lixinger.com/analytics/company/sz/002909/2909/detail</t>
  </si>
  <si>
    <t>庄园牧场</t>
  </si>
  <si>
    <t>www.lixinger.com/analytics/company/sz/002910/2910/detail</t>
  </si>
  <si>
    <t>佛燃能源</t>
  </si>
  <si>
    <t>www.lixinger.com/analytics/company/sz/002911/2911/detail</t>
  </si>
  <si>
    <t>中新赛克</t>
  </si>
  <si>
    <t>www.lixinger.com/analytics/company/sz/002912/2912/detail</t>
  </si>
  <si>
    <t>奥士康</t>
  </si>
  <si>
    <t>www.lixinger.com/analytics/company/sz/002913/2913/detail</t>
  </si>
  <si>
    <t>中欣氟材</t>
  </si>
  <si>
    <t>www.lixinger.com/analytics/company/sz/002915/2915/detail</t>
  </si>
  <si>
    <t>深南电路</t>
  </si>
  <si>
    <t>www.lixinger.com/analytics/company/sz/002916/2916/detail</t>
  </si>
  <si>
    <t>金奥博</t>
  </si>
  <si>
    <t>www.lixinger.com/analytics/company/sz/002917/2917/detail</t>
  </si>
  <si>
    <t>蒙娜丽莎</t>
  </si>
  <si>
    <t>www.lixinger.com/analytics/company/sz/002918/2918/detail</t>
  </si>
  <si>
    <t>名臣健康</t>
  </si>
  <si>
    <t>www.lixinger.com/analytics/company/sz/002919/2919/detail</t>
  </si>
  <si>
    <t>德赛西威</t>
  </si>
  <si>
    <t>www.lixinger.com/analytics/company/sz/002920/2920/detail</t>
  </si>
  <si>
    <t>联诚精密</t>
  </si>
  <si>
    <t>www.lixinger.com/analytics/company/sz/002921/2921/detail</t>
  </si>
  <si>
    <t>伊戈尔</t>
  </si>
  <si>
    <t>www.lixinger.com/analytics/company/sz/002922/2922/detail</t>
  </si>
  <si>
    <t>润都股份</t>
  </si>
  <si>
    <t>www.lixinger.com/analytics/company/sz/002923/2923/detail</t>
  </si>
  <si>
    <t>盈趣科技</t>
  </si>
  <si>
    <t>www.lixinger.com/analytics/company/sz/002925/2925/detail</t>
  </si>
  <si>
    <t>华西证券</t>
  </si>
  <si>
    <t>www.lixinger.com/analytics/company/sz/002926/2926/detail</t>
  </si>
  <si>
    <t>泰永长征</t>
  </si>
  <si>
    <t>www.lixinger.com/analytics/company/sz/002927/2927/detail</t>
  </si>
  <si>
    <t>华夏航空</t>
  </si>
  <si>
    <t>www.lixinger.com/analytics/company/sz/002928/2928/detail</t>
  </si>
  <si>
    <t>润建股份</t>
  </si>
  <si>
    <t>www.lixinger.com/analytics/company/sz/002929/2929/detail</t>
  </si>
  <si>
    <t>宏川智慧</t>
  </si>
  <si>
    <t>www.lixinger.com/analytics/company/sz/002930/2930/detail</t>
  </si>
  <si>
    <t>锋龙股份</t>
  </si>
  <si>
    <t>www.lixinger.com/analytics/company/sz/002931/2931/detail</t>
  </si>
  <si>
    <t>明德生物</t>
  </si>
  <si>
    <t>www.lixinger.com/analytics/company/sz/002932/2932/detail</t>
  </si>
  <si>
    <t>新兴装备</t>
  </si>
  <si>
    <t>www.lixinger.com/analytics/company/sz/002933/2933/detail</t>
  </si>
  <si>
    <t>天奥电子</t>
  </si>
  <si>
    <t>www.lixinger.com/analytics/company/sz/002935/2935/detail</t>
  </si>
  <si>
    <t>郑州银行</t>
  </si>
  <si>
    <t>www.lixinger.com/analytics/company/sz/002936/2936/detail</t>
  </si>
  <si>
    <t>兴瑞科技</t>
  </si>
  <si>
    <t>www.lixinger.com/analytics/company/sz/002937/2937/detail</t>
  </si>
  <si>
    <t>鹏鼎控股</t>
  </si>
  <si>
    <t>www.lixinger.com/analytics/company/sz/002938/2938/detail</t>
  </si>
  <si>
    <t>长城证券</t>
  </si>
  <si>
    <t>www.lixinger.com/analytics/company/sz/002939/2939/detail</t>
  </si>
  <si>
    <t>昂利康</t>
  </si>
  <si>
    <t>www.lixinger.com/analytics/company/sz/002940/2940/detail</t>
  </si>
  <si>
    <t>新疆交建</t>
  </si>
  <si>
    <t>www.lixinger.com/analytics/company/sz/002941/2941/detail</t>
  </si>
  <si>
    <t>新农股份</t>
  </si>
  <si>
    <t>www.lixinger.com/analytics/company/sz/002942/2942/detail</t>
  </si>
  <si>
    <t>宇晶股份</t>
  </si>
  <si>
    <t>www.lixinger.com/analytics/company/sz/002943/2943/detail</t>
  </si>
  <si>
    <t>华林证券</t>
  </si>
  <si>
    <t>www.lixinger.com/analytics/company/sz/002945/2945/detail</t>
  </si>
  <si>
    <t>新乳业</t>
  </si>
  <si>
    <t>www.lixinger.com/analytics/company/sz/002946/2946/detail</t>
  </si>
  <si>
    <t>恒铭达</t>
  </si>
  <si>
    <t>www.lixinger.com/analytics/company/sz/002947/2947/detail</t>
  </si>
  <si>
    <t>青岛银行</t>
  </si>
  <si>
    <t>www.lixinger.com/analytics/company/sz/002948/2948/detail</t>
  </si>
  <si>
    <t>华阳国际</t>
  </si>
  <si>
    <t>www.lixinger.com/analytics/company/sz/002949/2949/detail</t>
  </si>
  <si>
    <t>奥美医疗</t>
  </si>
  <si>
    <t>www.lixinger.com/analytics/company/sz/002950/2950/detail</t>
  </si>
  <si>
    <t>金时科技</t>
  </si>
  <si>
    <t>www.lixinger.com/analytics/company/sz/002951/2951/detail</t>
  </si>
  <si>
    <t>亚世光电</t>
  </si>
  <si>
    <t>www.lixinger.com/analytics/company/sz/002952/2952/detail</t>
  </si>
  <si>
    <t>日丰股份</t>
  </si>
  <si>
    <t>www.lixinger.com/analytics/company/sz/002953/2953/detail</t>
  </si>
  <si>
    <t>鸿合科技</t>
  </si>
  <si>
    <t>www.lixinger.com/analytics/company/sz/002955/2955/detail</t>
  </si>
  <si>
    <t>西麦食品</t>
  </si>
  <si>
    <t>www.lixinger.com/analytics/company/sz/002956/2956/detail</t>
  </si>
  <si>
    <t>科瑞技术</t>
  </si>
  <si>
    <t>www.lixinger.com/analytics/company/sz/002957/2957/detail</t>
  </si>
  <si>
    <t>青农商行</t>
  </si>
  <si>
    <t>www.lixinger.com/analytics/company/sz/002958/2958/detail</t>
  </si>
  <si>
    <t>小熊电器</t>
  </si>
  <si>
    <t>www.lixinger.com/analytics/company/sz/002959/2959/detail</t>
  </si>
  <si>
    <t>青鸟消防</t>
  </si>
  <si>
    <t>www.lixinger.com/analytics/company/sz/002960/2960/detail</t>
  </si>
  <si>
    <t>瑞达期货</t>
  </si>
  <si>
    <t>www.lixinger.com/analytics/company/sz/002961/2961/detail</t>
  </si>
  <si>
    <t>五方光电</t>
  </si>
  <si>
    <t>www.lixinger.com/analytics/company/sz/002962/2962/detail</t>
  </si>
  <si>
    <t>豪尔赛</t>
  </si>
  <si>
    <t>www.lixinger.com/analytics/company/sz/002963/2963/detail</t>
  </si>
  <si>
    <t>祥鑫科技</t>
  </si>
  <si>
    <t>www.lixinger.com/analytics/company/sz/002965/2965/detail</t>
  </si>
  <si>
    <t>苏州银行</t>
  </si>
  <si>
    <t>www.lixinger.com/analytics/company/sz/002966/2966/detail</t>
  </si>
  <si>
    <t>广电计量</t>
  </si>
  <si>
    <t>www.lixinger.com/analytics/company/sz/002967/2967/detail</t>
  </si>
  <si>
    <t>新大正</t>
  </si>
  <si>
    <t>www.lixinger.com/analytics/company/sz/002968/2968/detail</t>
  </si>
  <si>
    <t>嘉美包装</t>
  </si>
  <si>
    <t>www.lixinger.com/analytics/company/sz/002969/2969/detail</t>
  </si>
  <si>
    <t>锐明技术</t>
  </si>
  <si>
    <t>www.lixinger.com/analytics/company/sz/002970/2970/detail</t>
  </si>
  <si>
    <t>和远气体</t>
  </si>
  <si>
    <t>www.lixinger.com/analytics/company/sz/002971/2971/detail</t>
  </si>
  <si>
    <t>科安达</t>
  </si>
  <si>
    <t>www.lixinger.com/analytics/company/sz/002972/2972/detail</t>
  </si>
  <si>
    <t>侨银股份</t>
  </si>
  <si>
    <t>www.lixinger.com/analytics/company/sz/002973/2973/detail</t>
  </si>
  <si>
    <t>博杰股份</t>
  </si>
  <si>
    <t>www.lixinger.com/analytics/company/sz/002975/2975/detail</t>
  </si>
  <si>
    <t>瑞玛精密</t>
  </si>
  <si>
    <t>www.lixinger.com/analytics/company/sz/002976/2976/detail</t>
  </si>
  <si>
    <t>天箭科技</t>
  </si>
  <si>
    <t>www.lixinger.com/analytics/company/sz/002977/2977/detail</t>
  </si>
  <si>
    <t>安宁股份</t>
  </si>
  <si>
    <t>www.lixinger.com/analytics/company/sz/002978/2978/detail</t>
  </si>
  <si>
    <t>雷赛智能</t>
  </si>
  <si>
    <t>www.lixinger.com/analytics/company/sz/002979/2979/detail</t>
  </si>
  <si>
    <t>华盛昌</t>
  </si>
  <si>
    <t>www.lixinger.com/analytics/company/sz/002980/2980/detail</t>
  </si>
  <si>
    <t>朝阳科技</t>
  </si>
  <si>
    <t>www.lixinger.com/analytics/company/sz/002981/2981/detail</t>
  </si>
  <si>
    <t>湘佳股份</t>
  </si>
  <si>
    <t>www.lixinger.com/analytics/company/sz/002982/2982/detail</t>
  </si>
  <si>
    <t>芯瑞达</t>
  </si>
  <si>
    <t>www.lixinger.com/analytics/company/sz/002983/2983/detail</t>
  </si>
  <si>
    <t>森麒麟</t>
  </si>
  <si>
    <t>www.lixinger.com/analytics/company/sz/002984/2984/detail</t>
  </si>
  <si>
    <t>北摩高科</t>
  </si>
  <si>
    <t>www.lixinger.com/analytics/company/sz/002985/2985/detail</t>
  </si>
  <si>
    <t>宇新股份</t>
  </si>
  <si>
    <t>www.lixinger.com/analytics/company/sz/002986/2986/detail</t>
  </si>
  <si>
    <t>京北方</t>
  </si>
  <si>
    <t>www.lixinger.com/analytics/company/sz/002987/2987/detail</t>
  </si>
  <si>
    <t>豪美新材</t>
  </si>
  <si>
    <t>www.lixinger.com/analytics/company/sz/002988/2988/detail</t>
  </si>
  <si>
    <t>中天精装</t>
  </si>
  <si>
    <t>www.lixinger.com/analytics/company/sz/002989/2989/detail</t>
  </si>
  <si>
    <t>盛视科技</t>
  </si>
  <si>
    <t>www.lixinger.com/analytics/company/sz/002990/2990/detail</t>
  </si>
  <si>
    <t>甘源食品</t>
  </si>
  <si>
    <t>www.lixinger.com/analytics/company/sz/002991/2991/detail</t>
  </si>
  <si>
    <t>宝明科技</t>
  </si>
  <si>
    <t>www.lixinger.com/analytics/company/sz/002992/2992/detail</t>
  </si>
  <si>
    <t>奥海科技</t>
  </si>
  <si>
    <t>www.lixinger.com/analytics/company/sz/002993/2993/detail</t>
  </si>
  <si>
    <t>天地在线</t>
  </si>
  <si>
    <t>www.lixinger.com/analytics/company/sz/002995/2995/detail</t>
  </si>
  <si>
    <t>顺博合金</t>
  </si>
  <si>
    <t>www.lixinger.com/analytics/company/sz/002996/2996/detail</t>
  </si>
  <si>
    <t>瑞鹄模具</t>
  </si>
  <si>
    <t>www.lixinger.com/analytics/company/sz/002997/2997/detail</t>
  </si>
  <si>
    <t>优彩资源</t>
  </si>
  <si>
    <t>www.lixinger.com/analytics/company/sz/002998/2998/detail</t>
  </si>
  <si>
    <t>天禾股份</t>
  </si>
  <si>
    <t>www.lixinger.com/analytics/company/sz/002999/2999/detail</t>
  </si>
  <si>
    <t>劲仔食品</t>
  </si>
  <si>
    <t>www.lixinger.com/analytics/company/sz/003000/3000/detail</t>
  </si>
  <si>
    <t>中岩大地</t>
  </si>
  <si>
    <t>www.lixinger.com/analytics/company/sz/003001/3001/detail</t>
  </si>
  <si>
    <t>壶化股份</t>
  </si>
  <si>
    <t>www.lixinger.com/analytics/company/sz/003002/3002/detail</t>
  </si>
  <si>
    <t>天元股份</t>
  </si>
  <si>
    <t>www.lixinger.com/analytics/company/sz/003003/3003/detail</t>
  </si>
  <si>
    <t>声迅股份</t>
  </si>
  <si>
    <t>www.lixinger.com/analytics/company/sz/003004/3004/detail</t>
  </si>
  <si>
    <t>竞业达</t>
  </si>
  <si>
    <t>www.lixinger.com/analytics/company/sz/003005/3005/detail</t>
  </si>
  <si>
    <t>百亚股份</t>
  </si>
  <si>
    <t>www.lixinger.com/analytics/company/sz/003006/3006/detail</t>
  </si>
  <si>
    <t>直真科技</t>
  </si>
  <si>
    <t>www.lixinger.com/analytics/company/sz/003007/3007/detail</t>
  </si>
  <si>
    <t>开普检测</t>
  </si>
  <si>
    <t>www.lixinger.com/analytics/company/sz/003008/3008/detail</t>
  </si>
  <si>
    <t>中天火箭</t>
  </si>
  <si>
    <t>www.lixinger.com/analytics/company/sz/003009/3009/detail</t>
  </si>
  <si>
    <t>若羽臣</t>
  </si>
  <si>
    <t>www.lixinger.com/analytics/company/sz/003010/3010/detail</t>
  </si>
  <si>
    <t>海象新材</t>
  </si>
  <si>
    <t>www.lixinger.com/analytics/company/sz/003011/3011/detail</t>
  </si>
  <si>
    <t>东鹏控股</t>
  </si>
  <si>
    <t>www.lixinger.com/analytics/company/sz/003012/3012/detail</t>
  </si>
  <si>
    <t>地铁设计</t>
  </si>
  <si>
    <t>www.lixinger.com/analytics/company/sz/003013/3013/detail</t>
  </si>
  <si>
    <t>日久光电</t>
  </si>
  <si>
    <t>www.lixinger.com/analytics/company/sz/003015/3015/detail</t>
  </si>
  <si>
    <t>欣贺股份</t>
  </si>
  <si>
    <t>www.lixinger.com/analytics/company/sz/003016/3016/detail</t>
  </si>
  <si>
    <t>大洋生物</t>
  </si>
  <si>
    <t>www.lixinger.com/analytics/company/sz/003017/3017/detail</t>
  </si>
  <si>
    <t>金富科技</t>
  </si>
  <si>
    <t>www.lixinger.com/analytics/company/sz/003018/3018/detail</t>
  </si>
  <si>
    <t>宸展光电</t>
  </si>
  <si>
    <t>www.lixinger.com/analytics/company/sz/003019/3019/detail</t>
  </si>
  <si>
    <t>立方制药</t>
  </si>
  <si>
    <t>www.lixinger.com/analytics/company/sz/003020/3020/detail</t>
  </si>
  <si>
    <t>兆威机电</t>
  </si>
  <si>
    <t>www.lixinger.com/analytics/company/sz/003021/3021/detail</t>
  </si>
  <si>
    <t>联泓新科</t>
  </si>
  <si>
    <t>www.lixinger.com/analytics/company/sz/003022/3022/detail</t>
  </si>
  <si>
    <t>彩虹集团</t>
  </si>
  <si>
    <t>www.lixinger.com/analytics/company/sz/003023/3023/detail</t>
  </si>
  <si>
    <t>思进智能</t>
  </si>
  <si>
    <t>www.lixinger.com/analytics/company/sz/003025/3025/detail</t>
  </si>
  <si>
    <t>中晶科技</t>
  </si>
  <si>
    <t>www.lixinger.com/analytics/company/sz/003026/3026/detail</t>
  </si>
  <si>
    <t>同兴环保</t>
  </si>
  <si>
    <t>www.lixinger.com/analytics/company/sz/003027/3027/detail</t>
  </si>
  <si>
    <t>振邦智能</t>
  </si>
  <si>
    <t>www.lixinger.com/analytics/company/sz/003028/3028/detail</t>
  </si>
  <si>
    <t>吉大正元</t>
  </si>
  <si>
    <t>www.lixinger.com/analytics/company/sz/003029/3029/detail</t>
  </si>
  <si>
    <t>祖名股份</t>
  </si>
  <si>
    <t>www.lixinger.com/analytics/company/sz/003030/3030/detail</t>
  </si>
  <si>
    <t>中瓷电子</t>
  </si>
  <si>
    <t>www.lixinger.com/analytics/company/sz/003031/3031/detail</t>
  </si>
  <si>
    <t>传智教育</t>
  </si>
  <si>
    <t>www.lixinger.com/analytics/company/sz/003032/3032/detail</t>
  </si>
  <si>
    <t>征和工业</t>
  </si>
  <si>
    <t>www.lixinger.com/analytics/company/sz/003033/3033/detail</t>
  </si>
  <si>
    <t>南网能源</t>
  </si>
  <si>
    <t>www.lixinger.com/analytics/company/sz/003035/3035/detail</t>
  </si>
  <si>
    <t>泰坦股份</t>
  </si>
  <si>
    <t>www.lixinger.com/analytics/company/sz/003036/3036/detail</t>
  </si>
  <si>
    <t>三和管桩</t>
  </si>
  <si>
    <t>www.lixinger.com/analytics/company/sz/003037/3037/detail</t>
  </si>
  <si>
    <t>鑫铂股份</t>
  </si>
  <si>
    <t>www.lixinger.com/analytics/company/sz/003038/3038/detail</t>
  </si>
  <si>
    <t>顺控发展</t>
  </si>
  <si>
    <t>www.lixinger.com/analytics/company/sz/003039/3039/detail</t>
  </si>
  <si>
    <t>楚天龙</t>
  </si>
  <si>
    <t>www.lixinger.com/analytics/company/sz/003040/3040/detail</t>
  </si>
  <si>
    <t>真爱美家</t>
  </si>
  <si>
    <t>www.lixinger.com/analytics/company/sz/003041/3041/detail</t>
  </si>
  <si>
    <t>中农联合</t>
  </si>
  <si>
    <t>www.lixinger.com/analytics/company/sz/003042/3042/detail</t>
  </si>
  <si>
    <t>华亚智能</t>
  </si>
  <si>
    <t>www.lixinger.com/analytics/company/sz/003043/3043/detail</t>
  </si>
  <si>
    <t>中国广核</t>
  </si>
  <si>
    <t>www.lixinger.com/analytics/company/sz/003816/3816/detail</t>
  </si>
  <si>
    <t>万科Ｂ</t>
  </si>
  <si>
    <t>www.lixinger.com/analytics/company/sz/200002/200002/detail</t>
  </si>
  <si>
    <t>PT金田Ｂ</t>
  </si>
  <si>
    <t>www.lixinger.com/analytics/company/sz/200003/200003/detail</t>
  </si>
  <si>
    <t>深物业B</t>
  </si>
  <si>
    <t>www.lixinger.com/analytics/company/sz/200011/200011/detail</t>
  </si>
  <si>
    <t>南玻Ｂ</t>
  </si>
  <si>
    <t>www.lixinger.com/analytics/company/sz/200012/200012/detail</t>
  </si>
  <si>
    <t>PT中浩Ｂ</t>
  </si>
  <si>
    <t>www.lixinger.com/analytics/company/sz/200015/200015/detail</t>
  </si>
  <si>
    <t>深康佳Ｂ</t>
  </si>
  <si>
    <t>www.lixinger.com/analytics/company/sz/200016/200016/detail</t>
  </si>
  <si>
    <t>深中华B</t>
  </si>
  <si>
    <t>www.lixinger.com/analytics/company/sz/200017/200017/detail</t>
  </si>
  <si>
    <t>神城B退</t>
  </si>
  <si>
    <t>www.lixinger.com/analytics/company/sz/200018/200018/detail</t>
  </si>
  <si>
    <t>深粮B</t>
  </si>
  <si>
    <t>www.lixinger.com/analytics/company/sz/200019/200019/detail</t>
  </si>
  <si>
    <t>深华发Ｂ</t>
  </si>
  <si>
    <t>www.lixinger.com/analytics/company/sz/200020/200020/detail</t>
  </si>
  <si>
    <t>深赤湾Ｂ</t>
  </si>
  <si>
    <t>www.lixinger.com/analytics/company/sz/200022/200022/detail</t>
  </si>
  <si>
    <t>招商局Ｂ</t>
  </si>
  <si>
    <t>www.lixinger.com/analytics/company/sz/200024/200024/detail</t>
  </si>
  <si>
    <t>特力Ｂ</t>
  </si>
  <si>
    <t>www.lixinger.com/analytics/company/sz/200025/200025/detail</t>
  </si>
  <si>
    <t>飞亚达Ｂ</t>
  </si>
  <si>
    <t>www.lixinger.com/analytics/company/sz/200026/200026/detail</t>
  </si>
  <si>
    <t>一致Ｂ</t>
  </si>
  <si>
    <t>www.lixinger.com/analytics/company/sz/200028/200028/detail</t>
  </si>
  <si>
    <t>深深房Ｂ</t>
  </si>
  <si>
    <t>www.lixinger.com/analytics/company/sz/200029/200029/detail</t>
  </si>
  <si>
    <t>富奥B</t>
  </si>
  <si>
    <t>www.lixinger.com/analytics/company/sz/200030/200030/detail</t>
  </si>
  <si>
    <t>深南电B</t>
  </si>
  <si>
    <t>www.lixinger.com/analytics/company/sz/200037/200037/detail</t>
  </si>
  <si>
    <t>中集Ｂ</t>
  </si>
  <si>
    <t>www.lixinger.com/analytics/company/sz/200039/200039/detail</t>
  </si>
  <si>
    <t>深纺织Ｂ</t>
  </si>
  <si>
    <t>www.lixinger.com/analytics/company/sz/200045/200045/detail</t>
  </si>
  <si>
    <t>深基地Ｂ</t>
  </si>
  <si>
    <t>www.lixinger.com/analytics/company/sz/200053/200053/detail</t>
  </si>
  <si>
    <t>建车B</t>
  </si>
  <si>
    <t>www.lixinger.com/analytics/company/sz/200054/200054/detail</t>
  </si>
  <si>
    <t>方大Ｂ</t>
  </si>
  <si>
    <t>www.lixinger.com/analytics/company/sz/200055/200055/detail</t>
  </si>
  <si>
    <t>皇庭B</t>
  </si>
  <si>
    <t>www.lixinger.com/analytics/company/sz/200056/200056/detail</t>
  </si>
  <si>
    <t>深赛格B</t>
  </si>
  <si>
    <t>www.lixinger.com/analytics/company/sz/200058/200058/detail</t>
  </si>
  <si>
    <t>*ST山航B</t>
  </si>
  <si>
    <t>www.lixinger.com/analytics/company/sz/200152/200152/detail</t>
  </si>
  <si>
    <t>东沣B退</t>
  </si>
  <si>
    <t>www.lixinger.com/analytics/company/sz/200160/200160/detail</t>
  </si>
  <si>
    <t>*ST舜喆B</t>
  </si>
  <si>
    <t>www.lixinger.com/analytics/company/sz/200168/200168/detail</t>
  </si>
  <si>
    <t>东旭B</t>
  </si>
  <si>
    <t>www.lixinger.com/analytics/company/sz/200413/200413/detail</t>
  </si>
  <si>
    <t>小天鹅Ｂ</t>
  </si>
  <si>
    <t>www.lixinger.com/analytics/company/sz/200418/200418/detail</t>
  </si>
  <si>
    <t>粤高速Ｂ</t>
  </si>
  <si>
    <t>www.lixinger.com/analytics/company/sz/200429/200429/detail</t>
  </si>
  <si>
    <t>宁通信B</t>
  </si>
  <si>
    <t>www.lixinger.com/analytics/company/sz/200468/200468/detail</t>
  </si>
  <si>
    <t>晨鸣Ｂ</t>
  </si>
  <si>
    <t>www.lixinger.com/analytics/company/sz/200488/200488/detail</t>
  </si>
  <si>
    <t>京粮B</t>
  </si>
  <si>
    <t>www.lixinger.com/analytics/company/sz/200505/200505/detail</t>
  </si>
  <si>
    <t>闽灿坤Ｂ</t>
  </si>
  <si>
    <t>www.lixinger.com/analytics/company/sz/200512/200512/detail</t>
  </si>
  <si>
    <t>丽珠Ｂ</t>
  </si>
  <si>
    <t>www.lixinger.com/analytics/company/sz/200513/200513/detail</t>
  </si>
  <si>
    <t>虹美菱B</t>
  </si>
  <si>
    <t>www.lixinger.com/analytics/company/sz/200521/200521/detail</t>
  </si>
  <si>
    <t>冰山B</t>
  </si>
  <si>
    <t>www.lixinger.com/analytics/company/sz/200530/200530/detail</t>
  </si>
  <si>
    <t>粤电力Ｂ</t>
  </si>
  <si>
    <t>www.lixinger.com/analytics/company/sz/200539/200539/detail</t>
  </si>
  <si>
    <t>粤照明Ｂ</t>
  </si>
  <si>
    <t>www.lixinger.com/analytics/company/sz/200541/200541/detail</t>
  </si>
  <si>
    <t>江铃Ｂ</t>
  </si>
  <si>
    <t>www.lixinger.com/analytics/company/sz/200550/200550/detail</t>
  </si>
  <si>
    <t>安道麦B</t>
  </si>
  <si>
    <t>www.lixinger.com/analytics/company/sz/200553/200553/detail</t>
  </si>
  <si>
    <t>苏常柴Ｂ</t>
  </si>
  <si>
    <t>www.lixinger.com/analytics/company/sz/200570/200570/detail</t>
  </si>
  <si>
    <t>苏威孚Ｂ</t>
  </si>
  <si>
    <t>www.lixinger.com/analytics/company/sz/200581/200581/detail</t>
  </si>
  <si>
    <t>古井贡Ｂ</t>
  </si>
  <si>
    <t>www.lixinger.com/analytics/company/sz/200596/200596/detail</t>
  </si>
  <si>
    <t>*ST东海B</t>
  </si>
  <si>
    <t>www.lixinger.com/analytics/company/sz/200613/200613/detail</t>
  </si>
  <si>
    <t>长安Ｂ</t>
  </si>
  <si>
    <t>www.lixinger.com/analytics/company/sz/200625/200625/detail</t>
  </si>
  <si>
    <t>瓦轴B</t>
  </si>
  <si>
    <t>www.lixinger.com/analytics/company/sz/200706/200706/detail</t>
  </si>
  <si>
    <t>京东方Ｂ</t>
  </si>
  <si>
    <t>www.lixinger.com/analytics/company/sz/200725/200725/detail</t>
  </si>
  <si>
    <t>鲁泰Ｂ</t>
  </si>
  <si>
    <t>www.lixinger.com/analytics/company/sz/200726/200726/detail</t>
  </si>
  <si>
    <t>本钢板Ｂ</t>
  </si>
  <si>
    <t>www.lixinger.com/analytics/company/sz/200761/200761/detail</t>
  </si>
  <si>
    <t>武锅B退</t>
  </si>
  <si>
    <t>www.lixinger.com/analytics/company/sz/200770/200770/detail</t>
  </si>
  <si>
    <t>杭汽轮Ｂ</t>
  </si>
  <si>
    <t>www.lixinger.com/analytics/company/sz/200771/200771/detail</t>
  </si>
  <si>
    <t>张裕Ｂ</t>
  </si>
  <si>
    <t>www.lixinger.com/analytics/company/sz/200869/200869/detail</t>
  </si>
  <si>
    <t>粤华包Ｂ</t>
  </si>
  <si>
    <t>www.lixinger.com/analytics/company/sz/200986/200986/detail</t>
  </si>
  <si>
    <t>中鲁Ｂ</t>
  </si>
  <si>
    <t>www.lixinger.com/analytics/company/sz/200992/200992/detail</t>
  </si>
  <si>
    <t>招港B</t>
  </si>
  <si>
    <t>www.lixinger.com/analytics/company/sz/201872/201872/detail</t>
  </si>
  <si>
    <t>特锐德</t>
  </si>
  <si>
    <t>www.lixinger.com/analytics/company/sz/300001/300001/detail</t>
  </si>
  <si>
    <t>神州泰岳</t>
  </si>
  <si>
    <t>www.lixinger.com/analytics/company/sz/300002/300002/detail</t>
  </si>
  <si>
    <t>乐普医疗</t>
  </si>
  <si>
    <t>www.lixinger.com/analytics/company/sz/300003/300003/detail</t>
  </si>
  <si>
    <t>南风股份</t>
  </si>
  <si>
    <t>www.lixinger.com/analytics/company/sz/300004/300004/detail</t>
  </si>
  <si>
    <t>探路者</t>
  </si>
  <si>
    <t>www.lixinger.com/analytics/company/sz/300005/300005/detail</t>
  </si>
  <si>
    <t>莱美药业</t>
  </si>
  <si>
    <t>www.lixinger.com/analytics/company/sz/300006/300006/detail</t>
  </si>
  <si>
    <t>汉威科技</t>
  </si>
  <si>
    <t>www.lixinger.com/analytics/company/sz/300007/300007/detail</t>
  </si>
  <si>
    <t>天海防务</t>
  </si>
  <si>
    <t>www.lixinger.com/analytics/company/sz/300008/300008/detail</t>
  </si>
  <si>
    <t>安科生物</t>
  </si>
  <si>
    <t>www.lixinger.com/analytics/company/sz/300009/300009/detail</t>
  </si>
  <si>
    <t>豆神教育</t>
  </si>
  <si>
    <t>www.lixinger.com/analytics/company/sz/300010/300010/detail</t>
  </si>
  <si>
    <t>鼎汉技术</t>
  </si>
  <si>
    <t>www.lixinger.com/analytics/company/sz/300011/300011/detail</t>
  </si>
  <si>
    <t>华测检测</t>
  </si>
  <si>
    <t>www.lixinger.com/analytics/company/sz/300012/300012/detail</t>
  </si>
  <si>
    <t>新宁物流</t>
  </si>
  <si>
    <t>www.lixinger.com/analytics/company/sz/300013/300013/detail</t>
  </si>
  <si>
    <t>亿纬锂能</t>
  </si>
  <si>
    <t>www.lixinger.com/analytics/company/sz/300014/300014/detail</t>
  </si>
  <si>
    <t>爱尔眼科</t>
  </si>
  <si>
    <t>www.lixinger.com/analytics/company/sz/300015/300015/detail</t>
  </si>
  <si>
    <t>北陆药业</t>
  </si>
  <si>
    <t>www.lixinger.com/analytics/company/sz/300016/300016/detail</t>
  </si>
  <si>
    <t>网宿科技</t>
  </si>
  <si>
    <t>www.lixinger.com/analytics/company/sz/300017/300017/detail</t>
  </si>
  <si>
    <t>中元股份</t>
  </si>
  <si>
    <t>www.lixinger.com/analytics/company/sz/300018/300018/detail</t>
  </si>
  <si>
    <t>硅宝科技</t>
  </si>
  <si>
    <t>www.lixinger.com/analytics/company/sz/300019/300019/detail</t>
  </si>
  <si>
    <t>银江技术</t>
  </si>
  <si>
    <t>www.lixinger.com/analytics/company/sz/300020/300020/detail</t>
  </si>
  <si>
    <t>大禹节水</t>
  </si>
  <si>
    <t>www.lixinger.com/analytics/company/sz/300021/300021/detail</t>
  </si>
  <si>
    <t>吉峰科技</t>
  </si>
  <si>
    <t>www.lixinger.com/analytics/company/sz/300022/300022/detail</t>
  </si>
  <si>
    <t>*ST宝德</t>
  </si>
  <si>
    <t>www.lixinger.com/analytics/company/sz/300023/300023/detail</t>
  </si>
  <si>
    <t>www.lixinger.com/analytics/company/sz/300024/300024/detail</t>
  </si>
  <si>
    <t>华星创业</t>
  </si>
  <si>
    <t>www.lixinger.com/analytics/company/sz/300025/300025/detail</t>
  </si>
  <si>
    <t>红日药业</t>
  </si>
  <si>
    <t>www.lixinger.com/analytics/company/sz/300026/300026/detail</t>
  </si>
  <si>
    <t>华谊兄弟</t>
  </si>
  <si>
    <t>www.lixinger.com/analytics/company/sz/300027/300027/detail</t>
  </si>
  <si>
    <t>金亚退</t>
  </si>
  <si>
    <t>www.lixinger.com/analytics/company/sz/300028/300028/detail</t>
  </si>
  <si>
    <t>*ST天龙</t>
  </si>
  <si>
    <t>www.lixinger.com/analytics/company/sz/300029/300029/detail</t>
  </si>
  <si>
    <t>阳普医疗</t>
  </si>
  <si>
    <t>www.lixinger.com/analytics/company/sz/300030/300030/detail</t>
  </si>
  <si>
    <t>宝通科技</t>
  </si>
  <si>
    <t>www.lixinger.com/analytics/company/sz/300031/300031/detail</t>
  </si>
  <si>
    <t>金龙机电</t>
  </si>
  <si>
    <t>www.lixinger.com/analytics/company/sz/300032/300032/detail</t>
  </si>
  <si>
    <t>同花顺</t>
  </si>
  <si>
    <t>www.lixinger.com/analytics/company/sz/300033/300033/detail</t>
  </si>
  <si>
    <t>钢研高纳</t>
  </si>
  <si>
    <t>www.lixinger.com/analytics/company/sz/300034/300034/detail</t>
  </si>
  <si>
    <t>中科电气</t>
  </si>
  <si>
    <t>www.lixinger.com/analytics/company/sz/300035/300035/detail</t>
  </si>
  <si>
    <t>超图软件</t>
  </si>
  <si>
    <t>www.lixinger.com/analytics/company/sz/300036/300036/detail</t>
  </si>
  <si>
    <t>新宙邦</t>
  </si>
  <si>
    <t>www.lixinger.com/analytics/company/sz/300037/300037/detail</t>
  </si>
  <si>
    <t>*ST数知</t>
  </si>
  <si>
    <t>www.lixinger.com/analytics/company/sz/300038/300038/detail</t>
  </si>
  <si>
    <t>上海凯宝</t>
  </si>
  <si>
    <t>www.lixinger.com/analytics/company/sz/300039/300039/detail</t>
  </si>
  <si>
    <t>九洲集团</t>
  </si>
  <si>
    <t>www.lixinger.com/analytics/company/sz/300040/300040/detail</t>
  </si>
  <si>
    <t>回天新材</t>
  </si>
  <si>
    <t>www.lixinger.com/analytics/company/sz/300041/300041/detail</t>
  </si>
  <si>
    <t>朗科科技</t>
  </si>
  <si>
    <t>www.lixinger.com/analytics/company/sz/300042/300042/detail</t>
  </si>
  <si>
    <t>星辉娱乐</t>
  </si>
  <si>
    <t>www.lixinger.com/analytics/company/sz/300043/300043/detail</t>
  </si>
  <si>
    <t>*ST赛为</t>
  </si>
  <si>
    <t>www.lixinger.com/analytics/company/sz/300044/300044/detail</t>
  </si>
  <si>
    <t>华力创通</t>
  </si>
  <si>
    <t>www.lixinger.com/analytics/company/sz/300045/300045/detail</t>
  </si>
  <si>
    <t>台基股份</t>
  </si>
  <si>
    <t>www.lixinger.com/analytics/company/sz/300046/300046/detail</t>
  </si>
  <si>
    <t>天源迪科</t>
  </si>
  <si>
    <t>www.lixinger.com/analytics/company/sz/300047/300047/detail</t>
  </si>
  <si>
    <t>合康新能</t>
  </si>
  <si>
    <t>www.lixinger.com/analytics/company/sz/300048/300048/detail</t>
  </si>
  <si>
    <t>福瑞股份</t>
  </si>
  <si>
    <t>www.lixinger.com/analytics/company/sz/300049/300049/detail</t>
  </si>
  <si>
    <t>世纪鼎利</t>
  </si>
  <si>
    <t>www.lixinger.com/analytics/company/sz/300050/300050/detail</t>
  </si>
  <si>
    <t>ST三五</t>
  </si>
  <si>
    <t>www.lixinger.com/analytics/company/sz/300051/300051/detail</t>
  </si>
  <si>
    <t>中青宝</t>
  </si>
  <si>
    <t>www.lixinger.com/analytics/company/sz/300052/300052/detail</t>
  </si>
  <si>
    <t>欧比特</t>
  </si>
  <si>
    <t>www.lixinger.com/analytics/company/sz/300053/300053/detail</t>
  </si>
  <si>
    <t>鼎龙股份</t>
  </si>
  <si>
    <t>www.lixinger.com/analytics/company/sz/300054/300054/detail</t>
  </si>
  <si>
    <t>万邦达</t>
  </si>
  <si>
    <t>www.lixinger.com/analytics/company/sz/300055/300055/detail</t>
  </si>
  <si>
    <t>中创环保</t>
  </si>
  <si>
    <t>www.lixinger.com/analytics/company/sz/300056/300056/detail</t>
  </si>
  <si>
    <t>万顺新材</t>
  </si>
  <si>
    <t>www.lixinger.com/analytics/company/sz/300057/300057/detail</t>
  </si>
  <si>
    <t>蓝色光标</t>
  </si>
  <si>
    <t>www.lixinger.com/analytics/company/sz/300058/300058/detail</t>
  </si>
  <si>
    <t>东方财富</t>
  </si>
  <si>
    <t>www.lixinger.com/analytics/company/sz/300059/300059/detail</t>
  </si>
  <si>
    <t>旗天科技</t>
  </si>
  <si>
    <t>www.lixinger.com/analytics/company/sz/300061/300061/detail</t>
  </si>
  <si>
    <t>中能电气</t>
  </si>
  <si>
    <t>www.lixinger.com/analytics/company/sz/300062/300062/detail</t>
  </si>
  <si>
    <t>天龙集团</t>
  </si>
  <si>
    <t>www.lixinger.com/analytics/company/sz/300063/300063/detail</t>
  </si>
  <si>
    <t>*ST金刚</t>
  </si>
  <si>
    <t>www.lixinger.com/analytics/company/sz/300064/300064/detail</t>
  </si>
  <si>
    <t>海兰信</t>
  </si>
  <si>
    <t>www.lixinger.com/analytics/company/sz/300065/300065/detail</t>
  </si>
  <si>
    <t>三川智慧</t>
  </si>
  <si>
    <t>www.lixinger.com/analytics/company/sz/300066/300066/detail</t>
  </si>
  <si>
    <t>安诺其</t>
  </si>
  <si>
    <t>www.lixinger.com/analytics/company/sz/300067/300067/detail</t>
  </si>
  <si>
    <t>南都电源</t>
  </si>
  <si>
    <t>www.lixinger.com/analytics/company/sz/300068/300068/detail</t>
  </si>
  <si>
    <t>金利华电</t>
  </si>
  <si>
    <t>www.lixinger.com/analytics/company/sz/300069/300069/detail</t>
  </si>
  <si>
    <t>碧水源</t>
  </si>
  <si>
    <t>www.lixinger.com/analytics/company/sz/300070/300070/detail</t>
  </si>
  <si>
    <t>*ST嘉信</t>
  </si>
  <si>
    <t>www.lixinger.com/analytics/company/sz/300071/300071/detail</t>
  </si>
  <si>
    <t>三聚环保</t>
  </si>
  <si>
    <t>www.lixinger.com/analytics/company/sz/300072/300072/detail</t>
  </si>
  <si>
    <t>当升科技</t>
  </si>
  <si>
    <t>www.lixinger.com/analytics/company/sz/300073/300073/detail</t>
  </si>
  <si>
    <t>华平股份</t>
  </si>
  <si>
    <t>www.lixinger.com/analytics/company/sz/300074/300074/detail</t>
  </si>
  <si>
    <t>数字政通</t>
  </si>
  <si>
    <t>www.lixinger.com/analytics/company/sz/300075/300075/detail</t>
  </si>
  <si>
    <t>GQY视讯</t>
  </si>
  <si>
    <t>www.lixinger.com/analytics/company/sz/300076/300076/detail</t>
  </si>
  <si>
    <t>国民技术</t>
  </si>
  <si>
    <t>www.lixinger.com/analytics/company/sz/300077/300077/detail</t>
  </si>
  <si>
    <t>思创医惠</t>
  </si>
  <si>
    <t>www.lixinger.com/analytics/company/sz/300078/300078/detail</t>
  </si>
  <si>
    <t>数码视讯</t>
  </si>
  <si>
    <t>www.lixinger.com/analytics/company/sz/300079/300079/detail</t>
  </si>
  <si>
    <t>易成新能</t>
  </si>
  <si>
    <t>www.lixinger.com/analytics/company/sz/300080/300080/detail</t>
  </si>
  <si>
    <t>恒信东方</t>
  </si>
  <si>
    <t>www.lixinger.com/analytics/company/sz/300081/300081/detail</t>
  </si>
  <si>
    <t>奥克股份</t>
  </si>
  <si>
    <t>www.lixinger.com/analytics/company/sz/300082/300082/detail</t>
  </si>
  <si>
    <t>创世纪</t>
  </si>
  <si>
    <t>www.lixinger.com/analytics/company/sz/300083/300083/detail</t>
  </si>
  <si>
    <t>海默科技</t>
  </si>
  <si>
    <t>www.lixinger.com/analytics/company/sz/300084/300084/detail</t>
  </si>
  <si>
    <t>银之杰</t>
  </si>
  <si>
    <t>www.lixinger.com/analytics/company/sz/300085/300085/detail</t>
  </si>
  <si>
    <t>康芝药业</t>
  </si>
  <si>
    <t>www.lixinger.com/analytics/company/sz/300086/300086/detail</t>
  </si>
  <si>
    <t>荃银高科</t>
  </si>
  <si>
    <t>www.lixinger.com/analytics/company/sz/300087/300087/detail</t>
  </si>
  <si>
    <t>长信科技</t>
  </si>
  <si>
    <t>www.lixinger.com/analytics/company/sz/300088/300088/detail</t>
  </si>
  <si>
    <t>ST文化</t>
  </si>
  <si>
    <t>www.lixinger.com/analytics/company/sz/300089/300089/detail</t>
  </si>
  <si>
    <t>盛运退</t>
  </si>
  <si>
    <t>www.lixinger.com/analytics/company/sz/300090/300090/detail</t>
  </si>
  <si>
    <t>金通灵</t>
  </si>
  <si>
    <t>www.lixinger.com/analytics/company/sz/300091/300091/detail</t>
  </si>
  <si>
    <t>科新机电</t>
  </si>
  <si>
    <t>www.lixinger.com/analytics/company/sz/300092/300092/detail</t>
  </si>
  <si>
    <t>金刚玻璃</t>
  </si>
  <si>
    <t>www.lixinger.com/analytics/company/sz/300093/300093/detail</t>
  </si>
  <si>
    <t>国联水产</t>
  </si>
  <si>
    <t>www.lixinger.com/analytics/company/sz/300094/300094/detail</t>
  </si>
  <si>
    <t>华伍股份</t>
  </si>
  <si>
    <t>www.lixinger.com/analytics/company/sz/300095/300095/detail</t>
  </si>
  <si>
    <t>易联众</t>
  </si>
  <si>
    <t>www.lixinger.com/analytics/company/sz/300096/300096/detail</t>
  </si>
  <si>
    <t>智云股份</t>
  </si>
  <si>
    <t>www.lixinger.com/analytics/company/sz/300097/300097/detail</t>
  </si>
  <si>
    <t>高新兴</t>
  </si>
  <si>
    <t>www.lixinger.com/analytics/company/sz/300098/300098/detail</t>
  </si>
  <si>
    <t>精准信息</t>
  </si>
  <si>
    <t>www.lixinger.com/analytics/company/sz/300099/300099/detail</t>
  </si>
  <si>
    <t>双林股份</t>
  </si>
  <si>
    <t>www.lixinger.com/analytics/company/sz/300100/300100/detail</t>
  </si>
  <si>
    <t>振芯科技</t>
  </si>
  <si>
    <t>www.lixinger.com/analytics/company/sz/300101/300101/detail</t>
  </si>
  <si>
    <t>乾照光电</t>
  </si>
  <si>
    <t>www.lixinger.com/analytics/company/sz/300102/300102/detail</t>
  </si>
  <si>
    <t>达刚控股</t>
  </si>
  <si>
    <t>www.lixinger.com/analytics/company/sz/300103/300103/detail</t>
  </si>
  <si>
    <t>乐视退</t>
  </si>
  <si>
    <t>www.lixinger.com/analytics/company/sz/300104/300104/detail</t>
  </si>
  <si>
    <t>龙源技术</t>
  </si>
  <si>
    <t>www.lixinger.com/analytics/company/sz/300105/300105/detail</t>
  </si>
  <si>
    <t>西部牧业</t>
  </si>
  <si>
    <t>www.lixinger.com/analytics/company/sz/300106/300106/detail</t>
  </si>
  <si>
    <t>建新股份</t>
  </si>
  <si>
    <t>www.lixinger.com/analytics/company/sz/300107/300107/detail</t>
  </si>
  <si>
    <t>吉药控股</t>
  </si>
  <si>
    <t>www.lixinger.com/analytics/company/sz/300108/300108/detail</t>
  </si>
  <si>
    <t>新开源</t>
  </si>
  <si>
    <t>www.lixinger.com/analytics/company/sz/300109/300109/detail</t>
  </si>
  <si>
    <t>华仁药业</t>
  </si>
  <si>
    <t>www.lixinger.com/analytics/company/sz/300110/300110/detail</t>
  </si>
  <si>
    <t>向日葵</t>
  </si>
  <si>
    <t>www.lixinger.com/analytics/company/sz/300111/300111/detail</t>
  </si>
  <si>
    <t>万讯自控</t>
  </si>
  <si>
    <t>www.lixinger.com/analytics/company/sz/300112/300112/detail</t>
  </si>
  <si>
    <t>顺网科技</t>
  </si>
  <si>
    <t>www.lixinger.com/analytics/company/sz/300113/300113/detail</t>
  </si>
  <si>
    <t>中航电测</t>
  </si>
  <si>
    <t>www.lixinger.com/analytics/company/sz/300114/300114/detail</t>
  </si>
  <si>
    <t>长盈精密</t>
  </si>
  <si>
    <t>www.lixinger.com/analytics/company/sz/300115/300115/detail</t>
  </si>
  <si>
    <t>保力新</t>
  </si>
  <si>
    <t>www.lixinger.com/analytics/company/sz/300116/300116/detail</t>
  </si>
  <si>
    <t>嘉寓股份</t>
  </si>
  <si>
    <t>www.lixinger.com/analytics/company/sz/300117/300117/detail</t>
  </si>
  <si>
    <t>东方日升</t>
  </si>
  <si>
    <t>www.lixinger.com/analytics/company/sz/300118/300118/detail</t>
  </si>
  <si>
    <t>瑞普生物</t>
  </si>
  <si>
    <t>www.lixinger.com/analytics/company/sz/300119/300119/detail</t>
  </si>
  <si>
    <t>经纬辉开</t>
  </si>
  <si>
    <t>www.lixinger.com/analytics/company/sz/300120/300120/detail</t>
  </si>
  <si>
    <t>阳谷华泰</t>
  </si>
  <si>
    <t>www.lixinger.com/analytics/company/sz/300121/300121/detail</t>
  </si>
  <si>
    <t>智飞生物</t>
  </si>
  <si>
    <t>www.lixinger.com/analytics/company/sz/300122/300122/detail</t>
  </si>
  <si>
    <t>亚光科技</t>
  </si>
  <si>
    <t>www.lixinger.com/analytics/company/sz/300123/300123/detail</t>
  </si>
  <si>
    <t>汇川技术</t>
  </si>
  <si>
    <t>www.lixinger.com/analytics/company/sz/300124/300124/detail</t>
  </si>
  <si>
    <t>聆达股份</t>
  </si>
  <si>
    <t>www.lixinger.com/analytics/company/sz/300125/300125/detail</t>
  </si>
  <si>
    <t>锐奇股份</t>
  </si>
  <si>
    <t>www.lixinger.com/analytics/company/sz/300126/300126/detail</t>
  </si>
  <si>
    <t>银河磁体</t>
  </si>
  <si>
    <t>www.lixinger.com/analytics/company/sz/300127/300127/detail</t>
  </si>
  <si>
    <t>锦富技术</t>
  </si>
  <si>
    <t>www.lixinger.com/analytics/company/sz/300128/300128/detail</t>
  </si>
  <si>
    <t>泰胜风能</t>
  </si>
  <si>
    <t>www.lixinger.com/analytics/company/sz/300129/300129/detail</t>
  </si>
  <si>
    <t>新国都</t>
  </si>
  <si>
    <t>www.lixinger.com/analytics/company/sz/300130/300130/detail</t>
  </si>
  <si>
    <t>英唐智控</t>
  </si>
  <si>
    <t>www.lixinger.com/analytics/company/sz/300131/300131/detail</t>
  </si>
  <si>
    <t>青松股份</t>
  </si>
  <si>
    <t>www.lixinger.com/analytics/company/sz/300132/300132/detail</t>
  </si>
  <si>
    <t>华策影视</t>
  </si>
  <si>
    <t>www.lixinger.com/analytics/company/sz/300133/300133/detail</t>
  </si>
  <si>
    <t>大富科技</t>
  </si>
  <si>
    <t>www.lixinger.com/analytics/company/sz/300134/300134/detail</t>
  </si>
  <si>
    <t>宝利国际</t>
  </si>
  <si>
    <t>www.lixinger.com/analytics/company/sz/300135/300135/detail</t>
  </si>
  <si>
    <t>信维通信</t>
  </si>
  <si>
    <t>www.lixinger.com/analytics/company/sz/300136/300136/detail</t>
  </si>
  <si>
    <t>先河环保</t>
  </si>
  <si>
    <t>www.lixinger.com/analytics/company/sz/300137/300137/detail</t>
  </si>
  <si>
    <t>晨光生物</t>
  </si>
  <si>
    <t>www.lixinger.com/analytics/company/sz/300138/300138/detail</t>
  </si>
  <si>
    <t>晓程科技</t>
  </si>
  <si>
    <t>www.lixinger.com/analytics/company/sz/300139/300139/detail</t>
  </si>
  <si>
    <t>中环装备</t>
  </si>
  <si>
    <t>www.lixinger.com/analytics/company/sz/300140/300140/detail</t>
  </si>
  <si>
    <t>和顺电气</t>
  </si>
  <si>
    <t>www.lixinger.com/analytics/company/sz/300141/300141/detail</t>
  </si>
  <si>
    <t>沃森生物</t>
  </si>
  <si>
    <t>www.lixinger.com/analytics/company/sz/300142/300142/detail</t>
  </si>
  <si>
    <t>盈康生命</t>
  </si>
  <si>
    <t>www.lixinger.com/analytics/company/sz/300143/300143/detail</t>
  </si>
  <si>
    <t>宋城演艺</t>
  </si>
  <si>
    <t>www.lixinger.com/analytics/company/sz/300144/300144/detail</t>
  </si>
  <si>
    <t>中金环境</t>
  </si>
  <si>
    <t>www.lixinger.com/analytics/company/sz/300145/300145/detail</t>
  </si>
  <si>
    <t>汤臣倍健</t>
  </si>
  <si>
    <t>www.lixinger.com/analytics/company/sz/300146/300146/detail</t>
  </si>
  <si>
    <t>香雪制药</t>
  </si>
  <si>
    <t>www.lixinger.com/analytics/company/sz/300147/300147/detail</t>
  </si>
  <si>
    <t>天舟文化</t>
  </si>
  <si>
    <t>www.lixinger.com/analytics/company/sz/300148/300148/detail</t>
  </si>
  <si>
    <t>睿智医药</t>
  </si>
  <si>
    <t>www.lixinger.com/analytics/company/sz/300149/300149/detail</t>
  </si>
  <si>
    <t>世纪瑞尔</t>
  </si>
  <si>
    <t>www.lixinger.com/analytics/company/sz/300150/300150/detail</t>
  </si>
  <si>
    <t>昌红科技</t>
  </si>
  <si>
    <t>www.lixinger.com/analytics/company/sz/300151/300151/detail</t>
  </si>
  <si>
    <t>科融环境</t>
  </si>
  <si>
    <t>www.lixinger.com/analytics/company/sz/300152/300152/detail</t>
  </si>
  <si>
    <t>科泰电源</t>
  </si>
  <si>
    <t>www.lixinger.com/analytics/company/sz/300153/300153/detail</t>
  </si>
  <si>
    <t>瑞凌股份</t>
  </si>
  <si>
    <t>www.lixinger.com/analytics/company/sz/300154/300154/detail</t>
  </si>
  <si>
    <t>安居宝</t>
  </si>
  <si>
    <t>www.lixinger.com/analytics/company/sz/300155/300155/detail</t>
  </si>
  <si>
    <t>神雾退</t>
  </si>
  <si>
    <t>www.lixinger.com/analytics/company/sz/300156/300156/detail</t>
  </si>
  <si>
    <t>恒泰艾普</t>
  </si>
  <si>
    <t>www.lixinger.com/analytics/company/sz/300157/300157/detail</t>
  </si>
  <si>
    <t>振东制药</t>
  </si>
  <si>
    <t>www.lixinger.com/analytics/company/sz/300158/300158/detail</t>
  </si>
  <si>
    <t>ST新研</t>
  </si>
  <si>
    <t>www.lixinger.com/analytics/company/sz/300159/300159/detail</t>
  </si>
  <si>
    <t>秀强股份</t>
  </si>
  <si>
    <t>www.lixinger.com/analytics/company/sz/300160/300160/detail</t>
  </si>
  <si>
    <t>华中数控</t>
  </si>
  <si>
    <t>www.lixinger.com/analytics/company/sz/300161/300161/detail</t>
  </si>
  <si>
    <t>雷曼光电</t>
  </si>
  <si>
    <t>www.lixinger.com/analytics/company/sz/300162/300162/detail</t>
  </si>
  <si>
    <t>先锋新材</t>
  </si>
  <si>
    <t>www.lixinger.com/analytics/company/sz/300163/300163/detail</t>
  </si>
  <si>
    <t>通源石油</t>
  </si>
  <si>
    <t>www.lixinger.com/analytics/company/sz/300164/300164/detail</t>
  </si>
  <si>
    <t>天瑞仪器</t>
  </si>
  <si>
    <t>www.lixinger.com/analytics/company/sz/300165/300165/detail</t>
  </si>
  <si>
    <t>东方国信</t>
  </si>
  <si>
    <t>www.lixinger.com/analytics/company/sz/300166/300166/detail</t>
  </si>
  <si>
    <t>迪威迅</t>
  </si>
  <si>
    <t>www.lixinger.com/analytics/company/sz/300167/300167/detail</t>
  </si>
  <si>
    <t>万达信息</t>
  </si>
  <si>
    <t>www.lixinger.com/analytics/company/sz/300168/300168/detail</t>
  </si>
  <si>
    <t>天晟新材</t>
  </si>
  <si>
    <t>www.lixinger.com/analytics/company/sz/300169/300169/detail</t>
  </si>
  <si>
    <t>汉得信息</t>
  </si>
  <si>
    <t>www.lixinger.com/analytics/company/sz/300170/300170/detail</t>
  </si>
  <si>
    <t>东富龙</t>
  </si>
  <si>
    <t>www.lixinger.com/analytics/company/sz/300171/300171/detail</t>
  </si>
  <si>
    <t>中电环保</t>
  </si>
  <si>
    <t>www.lixinger.com/analytics/company/sz/300172/300172/detail</t>
  </si>
  <si>
    <t>福能东方</t>
  </si>
  <si>
    <t>www.lixinger.com/analytics/company/sz/300173/300173/detail</t>
  </si>
  <si>
    <t>元力股份</t>
  </si>
  <si>
    <t>www.lixinger.com/analytics/company/sz/300174/300174/detail</t>
  </si>
  <si>
    <t>朗源股份</t>
  </si>
  <si>
    <t>www.lixinger.com/analytics/company/sz/300175/300175/detail</t>
  </si>
  <si>
    <t>派生科技</t>
  </si>
  <si>
    <t>www.lixinger.com/analytics/company/sz/300176/300176/detail</t>
  </si>
  <si>
    <t>中海达</t>
  </si>
  <si>
    <t>www.lixinger.com/analytics/company/sz/300177/300177/detail</t>
  </si>
  <si>
    <t>*ST腾邦</t>
  </si>
  <si>
    <t>www.lixinger.com/analytics/company/sz/300178/300178/detail</t>
  </si>
  <si>
    <t>四方达</t>
  </si>
  <si>
    <t>www.lixinger.com/analytics/company/sz/300179/300179/detail</t>
  </si>
  <si>
    <t>华峰超纤</t>
  </si>
  <si>
    <t>www.lixinger.com/analytics/company/sz/300180/300180/detail</t>
  </si>
  <si>
    <t>佐力药业</t>
  </si>
  <si>
    <t>www.lixinger.com/analytics/company/sz/300181/300181/detail</t>
  </si>
  <si>
    <t>捷成股份</t>
  </si>
  <si>
    <t>www.lixinger.com/analytics/company/sz/300182/300182/detail</t>
  </si>
  <si>
    <t>东软载波</t>
  </si>
  <si>
    <t>www.lixinger.com/analytics/company/sz/300183/300183/detail</t>
  </si>
  <si>
    <t>力源信息</t>
  </si>
  <si>
    <t>www.lixinger.com/analytics/company/sz/300184/300184/detail</t>
  </si>
  <si>
    <t>通裕重工</t>
  </si>
  <si>
    <t>www.lixinger.com/analytics/company/sz/300185/300185/detail</t>
  </si>
  <si>
    <t>大华农</t>
  </si>
  <si>
    <t>www.lixinger.com/analytics/company/sz/300186/300186/detail</t>
  </si>
  <si>
    <t>永清环保</t>
  </si>
  <si>
    <t>www.lixinger.com/analytics/company/sz/300187/300187/detail</t>
  </si>
  <si>
    <t>美亚柏科</t>
  </si>
  <si>
    <t>www.lixinger.com/analytics/company/sz/300188/300188/detail</t>
  </si>
  <si>
    <t>神农科技</t>
  </si>
  <si>
    <t>www.lixinger.com/analytics/company/sz/300189/300189/detail</t>
  </si>
  <si>
    <t>维尔利</t>
  </si>
  <si>
    <t>www.lixinger.com/analytics/company/sz/300190/300190/detail</t>
  </si>
  <si>
    <t>潜能恒信</t>
  </si>
  <si>
    <t>www.lixinger.com/analytics/company/sz/300191/300191/detail</t>
  </si>
  <si>
    <t>科德教育</t>
  </si>
  <si>
    <t>www.lixinger.com/analytics/company/sz/300192/300192/detail</t>
  </si>
  <si>
    <t>佳士科技</t>
  </si>
  <si>
    <t>www.lixinger.com/analytics/company/sz/300193/300193/detail</t>
  </si>
  <si>
    <t>福安药业</t>
  </si>
  <si>
    <t>www.lixinger.com/analytics/company/sz/300194/300194/detail</t>
  </si>
  <si>
    <t>长荣股份</t>
  </si>
  <si>
    <t>www.lixinger.com/analytics/company/sz/300195/300195/detail</t>
  </si>
  <si>
    <t>长海股份</t>
  </si>
  <si>
    <t>www.lixinger.com/analytics/company/sz/300196/300196/detail</t>
  </si>
  <si>
    <t>节能铁汉</t>
  </si>
  <si>
    <t>www.lixinger.com/analytics/company/sz/300197/300197/detail</t>
  </si>
  <si>
    <t>纳川股份</t>
  </si>
  <si>
    <t>www.lixinger.com/analytics/company/sz/300198/300198/detail</t>
  </si>
  <si>
    <t>翰宇药业</t>
  </si>
  <si>
    <t>www.lixinger.com/analytics/company/sz/300199/300199/detail</t>
  </si>
  <si>
    <t>高盟新材</t>
  </si>
  <si>
    <t>www.lixinger.com/analytics/company/sz/300200/300200/detail</t>
  </si>
  <si>
    <t>*ST海伦</t>
  </si>
  <si>
    <t>www.lixinger.com/analytics/company/sz/300201/300201/detail</t>
  </si>
  <si>
    <t>*ST聚龙</t>
  </si>
  <si>
    <t>www.lixinger.com/analytics/company/sz/300202/300202/detail</t>
  </si>
  <si>
    <t>聚光科技</t>
  </si>
  <si>
    <t>www.lixinger.com/analytics/company/sz/300203/300203/detail</t>
  </si>
  <si>
    <t>舒泰神</t>
  </si>
  <si>
    <t>www.lixinger.com/analytics/company/sz/300204/300204/detail</t>
  </si>
  <si>
    <t>天喻信息</t>
  </si>
  <si>
    <t>www.lixinger.com/analytics/company/sz/300205/300205/detail</t>
  </si>
  <si>
    <t>理邦仪器</t>
  </si>
  <si>
    <t>www.lixinger.com/analytics/company/sz/300206/300206/detail</t>
  </si>
  <si>
    <t>欣旺达</t>
  </si>
  <si>
    <t>www.lixinger.com/analytics/company/sz/300207/300207/detail</t>
  </si>
  <si>
    <t>青岛中程</t>
  </si>
  <si>
    <t>www.lixinger.com/analytics/company/sz/300208/300208/detail</t>
  </si>
  <si>
    <t>天泽信息</t>
  </si>
  <si>
    <t>www.lixinger.com/analytics/company/sz/300209/300209/detail</t>
  </si>
  <si>
    <t>森远股份</t>
  </si>
  <si>
    <t>www.lixinger.com/analytics/company/sz/300210/300210/detail</t>
  </si>
  <si>
    <t>亿通科技</t>
  </si>
  <si>
    <t>www.lixinger.com/analytics/company/sz/300211/300211/detail</t>
  </si>
  <si>
    <t>易华录</t>
  </si>
  <si>
    <t>www.lixinger.com/analytics/company/sz/300212/300212/detail</t>
  </si>
  <si>
    <t>佳讯飞鸿</t>
  </si>
  <si>
    <t>www.lixinger.com/analytics/company/sz/300213/300213/detail</t>
  </si>
  <si>
    <t>日科化学</t>
  </si>
  <si>
    <t>www.lixinger.com/analytics/company/sz/300214/300214/detail</t>
  </si>
  <si>
    <t>电科院</t>
  </si>
  <si>
    <t>www.lixinger.com/analytics/company/sz/300215/300215/detail</t>
  </si>
  <si>
    <t>千山退</t>
  </si>
  <si>
    <t>www.lixinger.com/analytics/company/sz/300216/300216/detail</t>
  </si>
  <si>
    <t>东方电热</t>
  </si>
  <si>
    <t>www.lixinger.com/analytics/company/sz/300217/300217/detail</t>
  </si>
  <si>
    <t>安利股份</t>
  </si>
  <si>
    <t>www.lixinger.com/analytics/company/sz/300218/300218/detail</t>
  </si>
  <si>
    <t>鸿利智汇</t>
  </si>
  <si>
    <t>www.lixinger.com/analytics/company/sz/300219/300219/detail</t>
  </si>
  <si>
    <t>金运激光</t>
  </si>
  <si>
    <t>www.lixinger.com/analytics/company/sz/300220/300220/detail</t>
  </si>
  <si>
    <t>银禧科技</t>
  </si>
  <si>
    <t>www.lixinger.com/analytics/company/sz/300221/300221/detail</t>
  </si>
  <si>
    <t>科大智能</t>
  </si>
  <si>
    <t>www.lixinger.com/analytics/company/sz/300222/300222/detail</t>
  </si>
  <si>
    <t>北京君正</t>
  </si>
  <si>
    <t>www.lixinger.com/analytics/company/sz/300223/300223/detail</t>
  </si>
  <si>
    <t>正海磁材</t>
  </si>
  <si>
    <t>www.lixinger.com/analytics/company/sz/300224/300224/detail</t>
  </si>
  <si>
    <t>金力泰</t>
  </si>
  <si>
    <t>www.lixinger.com/analytics/company/sz/300225/300225/detail</t>
  </si>
  <si>
    <t>上海钢联</t>
  </si>
  <si>
    <t>www.lixinger.com/analytics/company/sz/300226/300226/detail</t>
  </si>
  <si>
    <t>光韵达</t>
  </si>
  <si>
    <t>www.lixinger.com/analytics/company/sz/300227/300227/detail</t>
  </si>
  <si>
    <t>富瑞特装</t>
  </si>
  <si>
    <t>www.lixinger.com/analytics/company/sz/300228/300228/detail</t>
  </si>
  <si>
    <t>拓尔思</t>
  </si>
  <si>
    <t>www.lixinger.com/analytics/company/sz/300229/300229/detail</t>
  </si>
  <si>
    <t>永利股份</t>
  </si>
  <si>
    <t>www.lixinger.com/analytics/company/sz/300230/300230/detail</t>
  </si>
  <si>
    <t>银信科技</t>
  </si>
  <si>
    <t>www.lixinger.com/analytics/company/sz/300231/300231/detail</t>
  </si>
  <si>
    <t>洲明科技</t>
  </si>
  <si>
    <t>www.lixinger.com/analytics/company/sz/300232/300232/detail</t>
  </si>
  <si>
    <t>金城医药</t>
  </si>
  <si>
    <t>www.lixinger.com/analytics/company/sz/300233/300233/detail</t>
  </si>
  <si>
    <t>开尔新材</t>
  </si>
  <si>
    <t>www.lixinger.com/analytics/company/sz/300234/300234/detail</t>
  </si>
  <si>
    <t>方直科技</t>
  </si>
  <si>
    <t>www.lixinger.com/analytics/company/sz/300235/300235/detail</t>
  </si>
  <si>
    <t>上海新阳</t>
  </si>
  <si>
    <t>www.lixinger.com/analytics/company/sz/300236/300236/detail</t>
  </si>
  <si>
    <t>美晨生态</t>
  </si>
  <si>
    <t>www.lixinger.com/analytics/company/sz/300237/300237/detail</t>
  </si>
  <si>
    <t>冠昊生物</t>
  </si>
  <si>
    <t>www.lixinger.com/analytics/company/sz/300238/300238/detail</t>
  </si>
  <si>
    <t>东宝生物</t>
  </si>
  <si>
    <t>www.lixinger.com/analytics/company/sz/300239/300239/detail</t>
  </si>
  <si>
    <t>飞力达</t>
  </si>
  <si>
    <t>www.lixinger.com/analytics/company/sz/300240/300240/detail</t>
  </si>
  <si>
    <t>瑞丰光电</t>
  </si>
  <si>
    <t>www.lixinger.com/analytics/company/sz/300241/300241/detail</t>
  </si>
  <si>
    <t>佳云科技</t>
  </si>
  <si>
    <t>www.lixinger.com/analytics/company/sz/300242/300242/detail</t>
  </si>
  <si>
    <t>瑞丰高材</t>
  </si>
  <si>
    <t>www.lixinger.com/analytics/company/sz/300243/300243/detail</t>
  </si>
  <si>
    <t>迪安诊断</t>
  </si>
  <si>
    <t>www.lixinger.com/analytics/company/sz/300244/300244/detail</t>
  </si>
  <si>
    <t>天玑科技</t>
  </si>
  <si>
    <t>www.lixinger.com/analytics/company/sz/300245/300245/detail</t>
  </si>
  <si>
    <t>宝莱特</t>
  </si>
  <si>
    <t>www.lixinger.com/analytics/company/sz/300246/300246/detail</t>
  </si>
  <si>
    <t>融捷健康</t>
  </si>
  <si>
    <t>www.lixinger.com/analytics/company/sz/300247/300247/detail</t>
  </si>
  <si>
    <t>新开普</t>
  </si>
  <si>
    <t>www.lixinger.com/analytics/company/sz/300248/300248/detail</t>
  </si>
  <si>
    <t>依米康</t>
  </si>
  <si>
    <t>www.lixinger.com/analytics/company/sz/300249/300249/detail</t>
  </si>
  <si>
    <t>初灵信息</t>
  </si>
  <si>
    <t>www.lixinger.com/analytics/company/sz/300250/300250/detail</t>
  </si>
  <si>
    <t>光线传媒</t>
  </si>
  <si>
    <t>www.lixinger.com/analytics/company/sz/300251/300251/detail</t>
  </si>
  <si>
    <t>金信诺</t>
  </si>
  <si>
    <t>www.lixinger.com/analytics/company/sz/300252/300252/detail</t>
  </si>
  <si>
    <t>卫宁健康</t>
  </si>
  <si>
    <t>www.lixinger.com/analytics/company/sz/300253/300253/detail</t>
  </si>
  <si>
    <t>仟源医药</t>
  </si>
  <si>
    <t>www.lixinger.com/analytics/company/sz/300254/300254/detail</t>
  </si>
  <si>
    <t>常山药业</t>
  </si>
  <si>
    <t>www.lixinger.com/analytics/company/sz/300255/300255/detail</t>
  </si>
  <si>
    <t>*ST星星</t>
  </si>
  <si>
    <t>www.lixinger.com/analytics/company/sz/300256/300256/detail</t>
  </si>
  <si>
    <t>开山股份</t>
  </si>
  <si>
    <t>www.lixinger.com/analytics/company/sz/300257/300257/detail</t>
  </si>
  <si>
    <t>精锻科技</t>
  </si>
  <si>
    <t>www.lixinger.com/analytics/company/sz/300258/300258/detail</t>
  </si>
  <si>
    <t>新天科技</t>
  </si>
  <si>
    <t>www.lixinger.com/analytics/company/sz/300259/300259/detail</t>
  </si>
  <si>
    <t>新莱应材</t>
  </si>
  <si>
    <t>www.lixinger.com/analytics/company/sz/300260/300260/detail</t>
  </si>
  <si>
    <t>雅本化学</t>
  </si>
  <si>
    <t>www.lixinger.com/analytics/company/sz/300261/300261/detail</t>
  </si>
  <si>
    <t>巴安水务</t>
  </si>
  <si>
    <t>www.lixinger.com/analytics/company/sz/300262/300262/detail</t>
  </si>
  <si>
    <t>隆华科技</t>
  </si>
  <si>
    <t>www.lixinger.com/analytics/company/sz/300263/300263/detail</t>
  </si>
  <si>
    <t>佳创视讯</t>
  </si>
  <si>
    <t>www.lixinger.com/analytics/company/sz/300264/300264/detail</t>
  </si>
  <si>
    <t>通光线缆</t>
  </si>
  <si>
    <t>www.lixinger.com/analytics/company/sz/300265/300265/detail</t>
  </si>
  <si>
    <t>兴源环境</t>
  </si>
  <si>
    <t>www.lixinger.com/analytics/company/sz/300266/300266/detail</t>
  </si>
  <si>
    <t>尔康制药</t>
  </si>
  <si>
    <t>www.lixinger.com/analytics/company/sz/300267/300267/detail</t>
  </si>
  <si>
    <t>佳沃食品</t>
  </si>
  <si>
    <t>www.lixinger.com/analytics/company/sz/300268/300268/detail</t>
  </si>
  <si>
    <t>ST联建</t>
  </si>
  <si>
    <t>www.lixinger.com/analytics/company/sz/300269/300269/detail</t>
  </si>
  <si>
    <t>中威电子</t>
  </si>
  <si>
    <t>www.lixinger.com/analytics/company/sz/300270/300270/detail</t>
  </si>
  <si>
    <t>华宇软件</t>
  </si>
  <si>
    <t>www.lixinger.com/analytics/company/sz/300271/300271/detail</t>
  </si>
  <si>
    <t>开能健康</t>
  </si>
  <si>
    <t>www.lixinger.com/analytics/company/sz/300272/300272/detail</t>
  </si>
  <si>
    <t>ST和佳</t>
  </si>
  <si>
    <t>www.lixinger.com/analytics/company/sz/300273/300273/detail</t>
  </si>
  <si>
    <t>阳光电源</t>
  </si>
  <si>
    <t>www.lixinger.com/analytics/company/sz/300274/300274/detail</t>
  </si>
  <si>
    <t>梅安森</t>
  </si>
  <si>
    <t>www.lixinger.com/analytics/company/sz/300275/300275/detail</t>
  </si>
  <si>
    <t>三丰智能</t>
  </si>
  <si>
    <t>www.lixinger.com/analytics/company/sz/300276/300276/detail</t>
  </si>
  <si>
    <t>海联讯</t>
  </si>
  <si>
    <t>www.lixinger.com/analytics/company/sz/300277/300277/detail</t>
  </si>
  <si>
    <t>*ST华昌</t>
  </si>
  <si>
    <t>www.lixinger.com/analytics/company/sz/300278/300278/detail</t>
  </si>
  <si>
    <t>和晶科技</t>
  </si>
  <si>
    <t>www.lixinger.com/analytics/company/sz/300279/300279/detail</t>
  </si>
  <si>
    <t>紫天科技</t>
  </si>
  <si>
    <t>www.lixinger.com/analytics/company/sz/300280/300280/detail</t>
  </si>
  <si>
    <t>金明精机</t>
  </si>
  <si>
    <t>www.lixinger.com/analytics/company/sz/300281/300281/detail</t>
  </si>
  <si>
    <t>三盛教育</t>
  </si>
  <si>
    <t>www.lixinger.com/analytics/company/sz/300282/300282/detail</t>
  </si>
  <si>
    <t>温州宏丰</t>
  </si>
  <si>
    <t>www.lixinger.com/analytics/company/sz/300283/300283/detail</t>
  </si>
  <si>
    <t>苏交科</t>
  </si>
  <si>
    <t>www.lixinger.com/analytics/company/sz/300284/300284/detail</t>
  </si>
  <si>
    <t>国瓷材料</t>
  </si>
  <si>
    <t>www.lixinger.com/analytics/company/sz/300285/300285/detail</t>
  </si>
  <si>
    <t>安科瑞</t>
  </si>
  <si>
    <t>www.lixinger.com/analytics/company/sz/300286/300286/detail</t>
  </si>
  <si>
    <t>飞利信</t>
  </si>
  <si>
    <t>www.lixinger.com/analytics/company/sz/300287/300287/detail</t>
  </si>
  <si>
    <t>朗玛信息</t>
  </si>
  <si>
    <t>www.lixinger.com/analytics/company/sz/300288/300288/detail</t>
  </si>
  <si>
    <t>利德曼</t>
  </si>
  <si>
    <t>www.lixinger.com/analytics/company/sz/300289/300289/detail</t>
  </si>
  <si>
    <t>荣科科技</t>
  </si>
  <si>
    <t>www.lixinger.com/analytics/company/sz/300290/300290/detail</t>
  </si>
  <si>
    <t>华录百纳</t>
  </si>
  <si>
    <t>www.lixinger.com/analytics/company/sz/300291/300291/detail</t>
  </si>
  <si>
    <t>吴通控股</t>
  </si>
  <si>
    <t>www.lixinger.com/analytics/company/sz/300292/300292/detail</t>
  </si>
  <si>
    <t>蓝英装备</t>
  </si>
  <si>
    <t>www.lixinger.com/analytics/company/sz/300293/300293/detail</t>
  </si>
  <si>
    <t>博雅生物</t>
  </si>
  <si>
    <t>www.lixinger.com/analytics/company/sz/300294/300294/detail</t>
  </si>
  <si>
    <t>三六五网</t>
  </si>
  <si>
    <t>www.lixinger.com/analytics/company/sz/300295/300295/detail</t>
  </si>
  <si>
    <t>利亚德</t>
  </si>
  <si>
    <t>www.lixinger.com/analytics/company/sz/300296/300296/detail</t>
  </si>
  <si>
    <t>*ST蓝盾</t>
  </si>
  <si>
    <t>www.lixinger.com/analytics/company/sz/300297/300297/detail</t>
  </si>
  <si>
    <t>三诺生物</t>
  </si>
  <si>
    <t>www.lixinger.com/analytics/company/sz/300298/300298/detail</t>
  </si>
  <si>
    <t>富春股份</t>
  </si>
  <si>
    <t>www.lixinger.com/analytics/company/sz/300299/300299/detail</t>
  </si>
  <si>
    <t>海峡创新</t>
  </si>
  <si>
    <t>www.lixinger.com/analytics/company/sz/300300/300300/detail</t>
  </si>
  <si>
    <t>长方集团</t>
  </si>
  <si>
    <t>www.lixinger.com/analytics/company/sz/300301/300301/detail</t>
  </si>
  <si>
    <t>同有科技</t>
  </si>
  <si>
    <t>www.lixinger.com/analytics/company/sz/300302/300302/detail</t>
  </si>
  <si>
    <t>聚飞光电</t>
  </si>
  <si>
    <t>www.lixinger.com/analytics/company/sz/300303/300303/detail</t>
  </si>
  <si>
    <t>云意电气</t>
  </si>
  <si>
    <t>www.lixinger.com/analytics/company/sz/300304/300304/detail</t>
  </si>
  <si>
    <t>裕兴股份</t>
  </si>
  <si>
    <t>www.lixinger.com/analytics/company/sz/300305/300305/detail</t>
  </si>
  <si>
    <t>远方信息</t>
  </si>
  <si>
    <t>www.lixinger.com/analytics/company/sz/300306/300306/detail</t>
  </si>
  <si>
    <t>慈星股份</t>
  </si>
  <si>
    <t>www.lixinger.com/analytics/company/sz/300307/300307/detail</t>
  </si>
  <si>
    <t>中际旭创</t>
  </si>
  <si>
    <t>www.lixinger.com/analytics/company/sz/300308/300308/detail</t>
  </si>
  <si>
    <t>*ST吉艾</t>
  </si>
  <si>
    <t>www.lixinger.com/analytics/company/sz/300309/300309/detail</t>
  </si>
  <si>
    <t>宜通世纪</t>
  </si>
  <si>
    <t>www.lixinger.com/analytics/company/sz/300310/300310/detail</t>
  </si>
  <si>
    <t>任子行</t>
  </si>
  <si>
    <t>www.lixinger.com/analytics/company/sz/300311/300311/detail</t>
  </si>
  <si>
    <t>*ST邦讯</t>
  </si>
  <si>
    <t>www.lixinger.com/analytics/company/sz/300312/300312/detail</t>
  </si>
  <si>
    <t>ST天山</t>
  </si>
  <si>
    <t>www.lixinger.com/analytics/company/sz/300313/300313/detail</t>
  </si>
  <si>
    <t>戴维医疗</t>
  </si>
  <si>
    <t>www.lixinger.com/analytics/company/sz/300314/300314/detail</t>
  </si>
  <si>
    <t>掌趣科技</t>
  </si>
  <si>
    <t>www.lixinger.com/analytics/company/sz/300315/300315/detail</t>
  </si>
  <si>
    <t>晶盛机电</t>
  </si>
  <si>
    <t>www.lixinger.com/analytics/company/sz/300316/300316/detail</t>
  </si>
  <si>
    <t>珈伟新能</t>
  </si>
  <si>
    <t>www.lixinger.com/analytics/company/sz/300317/300317/detail</t>
  </si>
  <si>
    <t>博晖创新</t>
  </si>
  <si>
    <t>www.lixinger.com/analytics/company/sz/300318/300318/detail</t>
  </si>
  <si>
    <t>麦捷科技</t>
  </si>
  <si>
    <t>www.lixinger.com/analytics/company/sz/300319/300319/detail</t>
  </si>
  <si>
    <t>海达股份</t>
  </si>
  <si>
    <t>www.lixinger.com/analytics/company/sz/300320/300320/detail</t>
  </si>
  <si>
    <t>同大股份</t>
  </si>
  <si>
    <t>www.lixinger.com/analytics/company/sz/300321/300321/detail</t>
  </si>
  <si>
    <t>硕贝德</t>
  </si>
  <si>
    <t>www.lixinger.com/analytics/company/sz/300322/300322/detail</t>
  </si>
  <si>
    <t>华灿光电</t>
  </si>
  <si>
    <t>www.lixinger.com/analytics/company/sz/300323/300323/detail</t>
  </si>
  <si>
    <t>旋极信息</t>
  </si>
  <si>
    <t>www.lixinger.com/analytics/company/sz/300324/300324/detail</t>
  </si>
  <si>
    <t>*ST德威</t>
  </si>
  <si>
    <t>www.lixinger.com/analytics/company/sz/300325/300325/detail</t>
  </si>
  <si>
    <t>凯利泰</t>
  </si>
  <si>
    <t>www.lixinger.com/analytics/company/sz/300326/300326/detail</t>
  </si>
  <si>
    <t>中颖电子</t>
  </si>
  <si>
    <t>www.lixinger.com/analytics/company/sz/300327/300327/detail</t>
  </si>
  <si>
    <t>宜安科技</t>
  </si>
  <si>
    <t>www.lixinger.com/analytics/company/sz/300328/300328/detail</t>
  </si>
  <si>
    <t>海伦钢琴</t>
  </si>
  <si>
    <t>www.lixinger.com/analytics/company/sz/300329/300329/detail</t>
  </si>
  <si>
    <t>华虹计通</t>
  </si>
  <si>
    <t>www.lixinger.com/analytics/company/sz/300330/300330/detail</t>
  </si>
  <si>
    <t>苏大维格</t>
  </si>
  <si>
    <t>www.lixinger.com/analytics/company/sz/300331/300331/detail</t>
  </si>
  <si>
    <t>天壕环境</t>
  </si>
  <si>
    <t>www.lixinger.com/analytics/company/sz/300332/300332/detail</t>
  </si>
  <si>
    <t>兆日科技</t>
  </si>
  <si>
    <t>www.lixinger.com/analytics/company/sz/300333/300333/detail</t>
  </si>
  <si>
    <t>津膜科技</t>
  </si>
  <si>
    <t>www.lixinger.com/analytics/company/sz/300334/300334/detail</t>
  </si>
  <si>
    <t>迪森股份</t>
  </si>
  <si>
    <t>www.lixinger.com/analytics/company/sz/300335/300335/detail</t>
  </si>
  <si>
    <t>*ST新文</t>
  </si>
  <si>
    <t>www.lixinger.com/analytics/company/sz/300336/300336/detail</t>
  </si>
  <si>
    <t>银邦股份</t>
  </si>
  <si>
    <t>www.lixinger.com/analytics/company/sz/300337/300337/detail</t>
  </si>
  <si>
    <t>开元教育</t>
  </si>
  <si>
    <t>www.lixinger.com/analytics/company/sz/300338/300338/detail</t>
  </si>
  <si>
    <t>润和软件</t>
  </si>
  <si>
    <t>www.lixinger.com/analytics/company/sz/300339/300339/detail</t>
  </si>
  <si>
    <t>科恒股份</t>
  </si>
  <si>
    <t>www.lixinger.com/analytics/company/sz/300340/300340/detail</t>
  </si>
  <si>
    <t>麦克奥迪</t>
  </si>
  <si>
    <t>www.lixinger.com/analytics/company/sz/300341/300341/detail</t>
  </si>
  <si>
    <t>天银机电</t>
  </si>
  <si>
    <t>www.lixinger.com/analytics/company/sz/300342/300342/detail</t>
  </si>
  <si>
    <t>联创股份</t>
  </si>
  <si>
    <t>www.lixinger.com/analytics/company/sz/300343/300343/detail</t>
  </si>
  <si>
    <t>立方数科</t>
  </si>
  <si>
    <t>www.lixinger.com/analytics/company/sz/300344/300344/detail</t>
  </si>
  <si>
    <t>华民股份</t>
  </si>
  <si>
    <t>www.lixinger.com/analytics/company/sz/300345/300345/detail</t>
  </si>
  <si>
    <t>南大光电</t>
  </si>
  <si>
    <t>www.lixinger.com/analytics/company/sz/300346/300346/detail</t>
  </si>
  <si>
    <t>泰格医药</t>
  </si>
  <si>
    <t>www.lixinger.com/analytics/company/sz/300347/300347/detail</t>
  </si>
  <si>
    <t>长亮科技</t>
  </si>
  <si>
    <t>www.lixinger.com/analytics/company/sz/300348/300348/detail</t>
  </si>
  <si>
    <t>金卡智能</t>
  </si>
  <si>
    <t>www.lixinger.com/analytics/company/sz/300349/300349/detail</t>
  </si>
  <si>
    <t>华鹏飞</t>
  </si>
  <si>
    <t>www.lixinger.com/analytics/company/sz/300350/300350/detail</t>
  </si>
  <si>
    <t>永贵电器</t>
  </si>
  <si>
    <t>www.lixinger.com/analytics/company/sz/300351/300351/detail</t>
  </si>
  <si>
    <t>北信源</t>
  </si>
  <si>
    <t>www.lixinger.com/analytics/company/sz/300352/300352/detail</t>
  </si>
  <si>
    <t>东土科技</t>
  </si>
  <si>
    <t>www.lixinger.com/analytics/company/sz/300353/300353/detail</t>
  </si>
  <si>
    <t>东华测试</t>
  </si>
  <si>
    <t>www.lixinger.com/analytics/company/sz/300354/300354/detail</t>
  </si>
  <si>
    <t>蒙草生态</t>
  </si>
  <si>
    <t>www.lixinger.com/analytics/company/sz/300355/300355/detail</t>
  </si>
  <si>
    <t>*ST光一</t>
  </si>
  <si>
    <t>www.lixinger.com/analytics/company/sz/300356/300356/detail</t>
  </si>
  <si>
    <t>我武生物</t>
  </si>
  <si>
    <t>www.lixinger.com/analytics/company/sz/300357/300357/detail</t>
  </si>
  <si>
    <t>楚天科技</t>
  </si>
  <si>
    <t>www.lixinger.com/analytics/company/sz/300358/300358/detail</t>
  </si>
  <si>
    <t>全通教育</t>
  </si>
  <si>
    <t>www.lixinger.com/analytics/company/sz/300359/300359/detail</t>
  </si>
  <si>
    <t>炬华科技</t>
  </si>
  <si>
    <t>www.lixinger.com/analytics/company/sz/300360/300360/detail</t>
  </si>
  <si>
    <t>www.lixinger.com/analytics/company/sz/300361/300361/detail</t>
  </si>
  <si>
    <t>天翔退</t>
  </si>
  <si>
    <t>www.lixinger.com/analytics/company/sz/300362/300362/detail</t>
  </si>
  <si>
    <t>博腾股份</t>
  </si>
  <si>
    <t>www.lixinger.com/analytics/company/sz/300363/300363/detail</t>
  </si>
  <si>
    <t>中文在线</t>
  </si>
  <si>
    <t>www.lixinger.com/analytics/company/sz/300364/300364/detail</t>
  </si>
  <si>
    <t>恒华科技</t>
  </si>
  <si>
    <t>www.lixinger.com/analytics/company/sz/300365/300365/detail</t>
  </si>
  <si>
    <t>创意信息</t>
  </si>
  <si>
    <t>www.lixinger.com/analytics/company/sz/300366/300366/detail</t>
  </si>
  <si>
    <t>*ST网力</t>
  </si>
  <si>
    <t>www.lixinger.com/analytics/company/sz/300367/300367/detail</t>
  </si>
  <si>
    <t>汇金股份</t>
  </si>
  <si>
    <t>www.lixinger.com/analytics/company/sz/300368/300368/detail</t>
  </si>
  <si>
    <t>绿盟科技</t>
  </si>
  <si>
    <t>www.lixinger.com/analytics/company/sz/300369/300369/detail</t>
  </si>
  <si>
    <t>*ST安控</t>
  </si>
  <si>
    <t>www.lixinger.com/analytics/company/sz/300370/300370/detail</t>
  </si>
  <si>
    <t>汇中股份</t>
  </si>
  <si>
    <t>www.lixinger.com/analytics/company/sz/300371/300371/detail</t>
  </si>
  <si>
    <t>欣泰退</t>
  </si>
  <si>
    <t>www.lixinger.com/analytics/company/sz/300372/300372/detail</t>
  </si>
  <si>
    <t>扬杰科技</t>
  </si>
  <si>
    <t>www.lixinger.com/analytics/company/sz/300373/300373/detail</t>
  </si>
  <si>
    <t>中铁装配</t>
  </si>
  <si>
    <t>www.lixinger.com/analytics/company/sz/300374/300374/detail</t>
  </si>
  <si>
    <t>鹏翎股份</t>
  </si>
  <si>
    <t>www.lixinger.com/analytics/company/sz/300375/300375/detail</t>
  </si>
  <si>
    <t>易事特</t>
  </si>
  <si>
    <t>www.lixinger.com/analytics/company/sz/300376/300376/detail</t>
  </si>
  <si>
    <t>赢时胜</t>
  </si>
  <si>
    <t>www.lixinger.com/analytics/company/sz/300377/300377/detail</t>
  </si>
  <si>
    <t>鼎捷软件</t>
  </si>
  <si>
    <t>www.lixinger.com/analytics/company/sz/300378/300378/detail</t>
  </si>
  <si>
    <t>东方通</t>
  </si>
  <si>
    <t>www.lixinger.com/analytics/company/sz/300379/300379/detail</t>
  </si>
  <si>
    <t>安硕信息</t>
  </si>
  <si>
    <t>www.lixinger.com/analytics/company/sz/300380/300380/detail</t>
  </si>
  <si>
    <t>溢多利</t>
  </si>
  <si>
    <t>www.lixinger.com/analytics/company/sz/300381/300381/detail</t>
  </si>
  <si>
    <t>斯莱克</t>
  </si>
  <si>
    <t>www.lixinger.com/analytics/company/sz/300382/300382/detail</t>
  </si>
  <si>
    <t>光环新网</t>
  </si>
  <si>
    <t>www.lixinger.com/analytics/company/sz/300383/300383/detail</t>
  </si>
  <si>
    <t>三联虹普</t>
  </si>
  <si>
    <t>www.lixinger.com/analytics/company/sz/300384/300384/detail</t>
  </si>
  <si>
    <t>雪浪环境</t>
  </si>
  <si>
    <t>www.lixinger.com/analytics/company/sz/300385/300385/detail</t>
  </si>
  <si>
    <t>飞天诚信</t>
  </si>
  <si>
    <t>www.lixinger.com/analytics/company/sz/300386/300386/detail</t>
  </si>
  <si>
    <t>富邦股份</t>
  </si>
  <si>
    <t>www.lixinger.com/analytics/company/sz/300387/300387/detail</t>
  </si>
  <si>
    <t>节能国祯</t>
  </si>
  <si>
    <t>www.lixinger.com/analytics/company/sz/300388/300388/detail</t>
  </si>
  <si>
    <t>艾比森</t>
  </si>
  <si>
    <t>www.lixinger.com/analytics/company/sz/300389/300389/detail</t>
  </si>
  <si>
    <t>天华超净</t>
  </si>
  <si>
    <t>www.lixinger.com/analytics/company/sz/300390/300390/detail</t>
  </si>
  <si>
    <t>康跃科技</t>
  </si>
  <si>
    <t>www.lixinger.com/analytics/company/sz/300391/300391/detail</t>
  </si>
  <si>
    <t>腾信股份</t>
  </si>
  <si>
    <t>www.lixinger.com/analytics/company/sz/300392/300392/detail</t>
  </si>
  <si>
    <t>中来股份</t>
  </si>
  <si>
    <t>www.lixinger.com/analytics/company/sz/300393/300393/detail</t>
  </si>
  <si>
    <t>天孚通信</t>
  </si>
  <si>
    <t>www.lixinger.com/analytics/company/sz/300394/300394/detail</t>
  </si>
  <si>
    <t>菲利华</t>
  </si>
  <si>
    <t>www.lixinger.com/analytics/company/sz/300395/300395/detail</t>
  </si>
  <si>
    <t>迪瑞医疗</t>
  </si>
  <si>
    <t>www.lixinger.com/analytics/company/sz/300396/300396/detail</t>
  </si>
  <si>
    <t>天和防务</t>
  </si>
  <si>
    <t>www.lixinger.com/analytics/company/sz/300397/300397/detail</t>
  </si>
  <si>
    <t>飞凯材料</t>
  </si>
  <si>
    <t>www.lixinger.com/analytics/company/sz/300398/300398/detail</t>
  </si>
  <si>
    <t>天利科技</t>
  </si>
  <si>
    <t>www.lixinger.com/analytics/company/sz/300399/300399/detail</t>
  </si>
  <si>
    <t>劲拓股份</t>
  </si>
  <si>
    <t>www.lixinger.com/analytics/company/sz/300400/300400/detail</t>
  </si>
  <si>
    <t>花园生物</t>
  </si>
  <si>
    <t>www.lixinger.com/analytics/company/sz/300401/300401/detail</t>
  </si>
  <si>
    <t>宝色股份</t>
  </si>
  <si>
    <t>www.lixinger.com/analytics/company/sz/300402/300402/detail</t>
  </si>
  <si>
    <t>汉宇集团</t>
  </si>
  <si>
    <t>www.lixinger.com/analytics/company/sz/300403/300403/detail</t>
  </si>
  <si>
    <t>博济医药</t>
  </si>
  <si>
    <t>www.lixinger.com/analytics/company/sz/300404/300404/detail</t>
  </si>
  <si>
    <t>科隆股份</t>
  </si>
  <si>
    <t>www.lixinger.com/analytics/company/sz/300405/300405/detail</t>
  </si>
  <si>
    <t>九强生物</t>
  </si>
  <si>
    <t>www.lixinger.com/analytics/company/sz/300406/300406/detail</t>
  </si>
  <si>
    <t>凯发电气</t>
  </si>
  <si>
    <t>www.lixinger.com/analytics/company/sz/300407/300407/detail</t>
  </si>
  <si>
    <t>三环集团</t>
  </si>
  <si>
    <t>www.lixinger.com/analytics/company/sz/300408/300408/detail</t>
  </si>
  <si>
    <t>道氏技术</t>
  </si>
  <si>
    <t>www.lixinger.com/analytics/company/sz/300409/300409/detail</t>
  </si>
  <si>
    <t>正业科技</t>
  </si>
  <si>
    <t>www.lixinger.com/analytics/company/sz/300410/300410/detail</t>
  </si>
  <si>
    <t>金盾股份</t>
  </si>
  <si>
    <t>www.lixinger.com/analytics/company/sz/300411/300411/detail</t>
  </si>
  <si>
    <t>迦南科技</t>
  </si>
  <si>
    <t>www.lixinger.com/analytics/company/sz/300412/300412/detail</t>
  </si>
  <si>
    <t>芒果超媒</t>
  </si>
  <si>
    <t>www.lixinger.com/analytics/company/sz/300413/300413/detail</t>
  </si>
  <si>
    <t>中光防雷</t>
  </si>
  <si>
    <t>www.lixinger.com/analytics/company/sz/300414/300414/detail</t>
  </si>
  <si>
    <t>伊之密</t>
  </si>
  <si>
    <t>www.lixinger.com/analytics/company/sz/300415/300415/detail</t>
  </si>
  <si>
    <t>苏试试验</t>
  </si>
  <si>
    <t>www.lixinger.com/analytics/company/sz/300416/300416/detail</t>
  </si>
  <si>
    <t>南华仪器</t>
  </si>
  <si>
    <t>www.lixinger.com/analytics/company/sz/300417/300417/detail</t>
  </si>
  <si>
    <t>昆仑万维</t>
  </si>
  <si>
    <t>www.lixinger.com/analytics/company/sz/300418/300418/detail</t>
  </si>
  <si>
    <t>浩丰科技</t>
  </si>
  <si>
    <t>www.lixinger.com/analytics/company/sz/300419/300419/detail</t>
  </si>
  <si>
    <t>五洋停车</t>
  </si>
  <si>
    <t>www.lixinger.com/analytics/company/sz/300420/300420/detail</t>
  </si>
  <si>
    <t>力星股份</t>
  </si>
  <si>
    <t>www.lixinger.com/analytics/company/sz/300421/300421/detail</t>
  </si>
  <si>
    <t>博世科</t>
  </si>
  <si>
    <t>www.lixinger.com/analytics/company/sz/300422/300422/detail</t>
  </si>
  <si>
    <t>昇辉科技</t>
  </si>
  <si>
    <t>www.lixinger.com/analytics/company/sz/300423/300423/detail</t>
  </si>
  <si>
    <t>航新科技</t>
  </si>
  <si>
    <t>www.lixinger.com/analytics/company/sz/300424/300424/detail</t>
  </si>
  <si>
    <t>中建环能</t>
  </si>
  <si>
    <t>www.lixinger.com/analytics/company/sz/300425/300425/detail</t>
  </si>
  <si>
    <t>唐德影视</t>
  </si>
  <si>
    <t>www.lixinger.com/analytics/company/sz/300426/300426/detail</t>
  </si>
  <si>
    <t>红相股份</t>
  </si>
  <si>
    <t>www.lixinger.com/analytics/company/sz/300427/300427/detail</t>
  </si>
  <si>
    <t>立中集团</t>
  </si>
  <si>
    <t>www.lixinger.com/analytics/company/sz/300428/300428/detail</t>
  </si>
  <si>
    <t>强力新材</t>
  </si>
  <si>
    <t>www.lixinger.com/analytics/company/sz/300429/300429/detail</t>
  </si>
  <si>
    <t>诚益通</t>
  </si>
  <si>
    <t>www.lixinger.com/analytics/company/sz/300430/300430/detail</t>
  </si>
  <si>
    <t>暴风退</t>
  </si>
  <si>
    <t>www.lixinger.com/analytics/company/sz/300431/300431/detail</t>
  </si>
  <si>
    <t>富临精工</t>
  </si>
  <si>
    <t>www.lixinger.com/analytics/company/sz/300432/300432/detail</t>
  </si>
  <si>
    <t>蓝思科技</t>
  </si>
  <si>
    <t>www.lixinger.com/analytics/company/sz/300433/300433/detail</t>
  </si>
  <si>
    <t>金石亚药</t>
  </si>
  <si>
    <t>www.lixinger.com/analytics/company/sz/300434/300434/detail</t>
  </si>
  <si>
    <t>中泰股份</t>
  </si>
  <si>
    <t>www.lixinger.com/analytics/company/sz/300435/300435/detail</t>
  </si>
  <si>
    <t>广生堂</t>
  </si>
  <si>
    <t>www.lixinger.com/analytics/company/sz/300436/300436/detail</t>
  </si>
  <si>
    <t>清水源</t>
  </si>
  <si>
    <t>www.lixinger.com/analytics/company/sz/300437/300437/detail</t>
  </si>
  <si>
    <t>鹏辉能源</t>
  </si>
  <si>
    <t>www.lixinger.com/analytics/company/sz/300438/300438/detail</t>
  </si>
  <si>
    <t>美康生物</t>
  </si>
  <si>
    <t>www.lixinger.com/analytics/company/sz/300439/300439/detail</t>
  </si>
  <si>
    <t>运达科技</t>
  </si>
  <si>
    <t>www.lixinger.com/analytics/company/sz/300440/300440/detail</t>
  </si>
  <si>
    <t>鲍斯股份</t>
  </si>
  <si>
    <t>www.lixinger.com/analytics/company/sz/300441/300441/detail</t>
  </si>
  <si>
    <t>普丽盛</t>
  </si>
  <si>
    <t>www.lixinger.com/analytics/company/sz/300442/300442/detail</t>
  </si>
  <si>
    <t>金雷股份</t>
  </si>
  <si>
    <t>www.lixinger.com/analytics/company/sz/300443/300443/detail</t>
  </si>
  <si>
    <t>双杰电气</t>
  </si>
  <si>
    <t>www.lixinger.com/analytics/company/sz/300444/300444/detail</t>
  </si>
  <si>
    <t>康斯特</t>
  </si>
  <si>
    <t>www.lixinger.com/analytics/company/sz/300445/300445/detail</t>
  </si>
  <si>
    <t>*ST乐材</t>
  </si>
  <si>
    <t>www.lixinger.com/analytics/company/sz/300446/300446/detail</t>
  </si>
  <si>
    <t>全信股份</t>
  </si>
  <si>
    <t>www.lixinger.com/analytics/company/sz/300447/300447/detail</t>
  </si>
  <si>
    <t>浩云科技</t>
  </si>
  <si>
    <t>www.lixinger.com/analytics/company/sz/300448/300448/detail</t>
  </si>
  <si>
    <t>汉邦高科</t>
  </si>
  <si>
    <t>www.lixinger.com/analytics/company/sz/300449/300449/detail</t>
  </si>
  <si>
    <t>先导智能</t>
  </si>
  <si>
    <t>www.lixinger.com/analytics/company/sz/300450/300450/detail</t>
  </si>
  <si>
    <t>创业慧康</t>
  </si>
  <si>
    <t>www.lixinger.com/analytics/company/sz/300451/300451/detail</t>
  </si>
  <si>
    <t>山河药辅</t>
  </si>
  <si>
    <t>www.lixinger.com/analytics/company/sz/300452/300452/detail</t>
  </si>
  <si>
    <t>三鑫医疗</t>
  </si>
  <si>
    <t>www.lixinger.com/analytics/company/sz/300453/300453/detail</t>
  </si>
  <si>
    <t>深信服</t>
  </si>
  <si>
    <t>www.lixinger.com/analytics/company/sz/300454/300454/detail</t>
  </si>
  <si>
    <t>康拓红外</t>
  </si>
  <si>
    <t>www.lixinger.com/analytics/company/sz/300455/300455/detail</t>
  </si>
  <si>
    <t>赛微电子</t>
  </si>
  <si>
    <t>www.lixinger.com/analytics/company/sz/300456/300456/detail</t>
  </si>
  <si>
    <t>赢合科技</t>
  </si>
  <si>
    <t>www.lixinger.com/analytics/company/sz/300457/300457/detail</t>
  </si>
  <si>
    <t>全志科技</t>
  </si>
  <si>
    <t>www.lixinger.com/analytics/company/sz/300458/300458/detail</t>
  </si>
  <si>
    <t>汤姆猫</t>
  </si>
  <si>
    <t>www.lixinger.com/analytics/company/sz/300459/300459/detail</t>
  </si>
  <si>
    <t>惠伦晶体</t>
  </si>
  <si>
    <t>www.lixinger.com/analytics/company/sz/300460/300460/detail</t>
  </si>
  <si>
    <t>田中精机</t>
  </si>
  <si>
    <t>www.lixinger.com/analytics/company/sz/300461/300461/detail</t>
  </si>
  <si>
    <t>华铭智能</t>
  </si>
  <si>
    <t>www.lixinger.com/analytics/company/sz/300462/300462/detail</t>
  </si>
  <si>
    <t>迈克生物</t>
  </si>
  <si>
    <t>www.lixinger.com/analytics/company/sz/300463/300463/detail</t>
  </si>
  <si>
    <t>星徽股份</t>
  </si>
  <si>
    <t>www.lixinger.com/analytics/company/sz/300464/300464/detail</t>
  </si>
  <si>
    <t>高伟达</t>
  </si>
  <si>
    <t>www.lixinger.com/analytics/company/sz/300465/300465/detail</t>
  </si>
  <si>
    <t>赛摩智能</t>
  </si>
  <si>
    <t>www.lixinger.com/analytics/company/sz/300466/300466/detail</t>
  </si>
  <si>
    <t>迅游科技</t>
  </si>
  <si>
    <t>www.lixinger.com/analytics/company/sz/300467/300467/detail</t>
  </si>
  <si>
    <t>四方精创</t>
  </si>
  <si>
    <t>www.lixinger.com/analytics/company/sz/300468/300468/detail</t>
  </si>
  <si>
    <t>信息发展</t>
  </si>
  <si>
    <t>www.lixinger.com/analytics/company/sz/300469/300469/detail</t>
  </si>
  <si>
    <t>中密控股</t>
  </si>
  <si>
    <t>www.lixinger.com/analytics/company/sz/300470/300470/detail</t>
  </si>
  <si>
    <t>厚普股份</t>
  </si>
  <si>
    <t>www.lixinger.com/analytics/company/sz/300471/300471/detail</t>
  </si>
  <si>
    <t>新元科技</t>
  </si>
  <si>
    <t>www.lixinger.com/analytics/company/sz/300472/300472/detail</t>
  </si>
  <si>
    <t>德尔股份</t>
  </si>
  <si>
    <t>www.lixinger.com/analytics/company/sz/300473/300473/detail</t>
  </si>
  <si>
    <t>景嘉微</t>
  </si>
  <si>
    <t>www.lixinger.com/analytics/company/sz/300474/300474/detail</t>
  </si>
  <si>
    <t>香农芯创</t>
  </si>
  <si>
    <t>www.lixinger.com/analytics/company/sz/300475/300475/detail</t>
  </si>
  <si>
    <t>胜宏科技</t>
  </si>
  <si>
    <t>www.lixinger.com/analytics/company/sz/300476/300476/detail</t>
  </si>
  <si>
    <t>合纵科技</t>
  </si>
  <si>
    <t>www.lixinger.com/analytics/company/sz/300477/300477/detail</t>
  </si>
  <si>
    <t>杭州高新</t>
  </si>
  <si>
    <t>www.lixinger.com/analytics/company/sz/300478/300478/detail</t>
  </si>
  <si>
    <t>神思电子</t>
  </si>
  <si>
    <t>www.lixinger.com/analytics/company/sz/300479/300479/detail</t>
  </si>
  <si>
    <t>光力科技</t>
  </si>
  <si>
    <t>www.lixinger.com/analytics/company/sz/300480/300480/detail</t>
  </si>
  <si>
    <t>濮阳惠成</t>
  </si>
  <si>
    <t>www.lixinger.com/analytics/company/sz/300481/300481/detail</t>
  </si>
  <si>
    <t>万孚生物</t>
  </si>
  <si>
    <t>www.lixinger.com/analytics/company/sz/300482/300482/detail</t>
  </si>
  <si>
    <t>首华燃气</t>
  </si>
  <si>
    <t>www.lixinger.com/analytics/company/sz/300483/300483/detail</t>
  </si>
  <si>
    <t>蓝海华腾</t>
  </si>
  <si>
    <t>www.lixinger.com/analytics/company/sz/300484/300484/detail</t>
  </si>
  <si>
    <t>赛升药业</t>
  </si>
  <si>
    <t>www.lixinger.com/analytics/company/sz/300485/300485/detail</t>
  </si>
  <si>
    <t>东杰智能</t>
  </si>
  <si>
    <t>www.lixinger.com/analytics/company/sz/300486/300486/detail</t>
  </si>
  <si>
    <t>蓝晓科技</t>
  </si>
  <si>
    <t>www.lixinger.com/analytics/company/sz/300487/300487/detail</t>
  </si>
  <si>
    <t>恒锋工具</t>
  </si>
  <si>
    <t>www.lixinger.com/analytics/company/sz/300488/300488/detail</t>
  </si>
  <si>
    <t>光智科技</t>
  </si>
  <si>
    <t>www.lixinger.com/analytics/company/sz/300489/300489/detail</t>
  </si>
  <si>
    <t>华自科技</t>
  </si>
  <si>
    <t>www.lixinger.com/analytics/company/sz/300490/300490/detail</t>
  </si>
  <si>
    <t>通合科技</t>
  </si>
  <si>
    <t>www.lixinger.com/analytics/company/sz/300491/300491/detail</t>
  </si>
  <si>
    <t>华图山鼎</t>
  </si>
  <si>
    <t>www.lixinger.com/analytics/company/sz/300492/300492/detail</t>
  </si>
  <si>
    <t>润欣科技</t>
  </si>
  <si>
    <t>www.lixinger.com/analytics/company/sz/300493/300493/detail</t>
  </si>
  <si>
    <t>盛天网络</t>
  </si>
  <si>
    <t>www.lixinger.com/analytics/company/sz/300494/300494/detail</t>
  </si>
  <si>
    <t>*ST美尚</t>
  </si>
  <si>
    <t>www.lixinger.com/analytics/company/sz/300495/300495/detail</t>
  </si>
  <si>
    <t>中科创达</t>
  </si>
  <si>
    <t>www.lixinger.com/analytics/company/sz/300496/300496/detail</t>
  </si>
  <si>
    <t>富祥药业</t>
  </si>
  <si>
    <t>www.lixinger.com/analytics/company/sz/300497/300497/detail</t>
  </si>
  <si>
    <t>温氏股份</t>
  </si>
  <si>
    <t>www.lixinger.com/analytics/company/sz/300498/300498/detail</t>
  </si>
  <si>
    <t>高澜股份</t>
  </si>
  <si>
    <t>www.lixinger.com/analytics/company/sz/300499/300499/detail</t>
  </si>
  <si>
    <t>启迪设计</t>
  </si>
  <si>
    <t>www.lixinger.com/analytics/company/sz/300500/300500/detail</t>
  </si>
  <si>
    <t>海顺新材</t>
  </si>
  <si>
    <t>www.lixinger.com/analytics/company/sz/300501/300501/detail</t>
  </si>
  <si>
    <t>新易盛</t>
  </si>
  <si>
    <t>www.lixinger.com/analytics/company/sz/300502/300502/detail</t>
  </si>
  <si>
    <t>昊志机电</t>
  </si>
  <si>
    <t>www.lixinger.com/analytics/company/sz/300503/300503/detail</t>
  </si>
  <si>
    <t>天邑股份</t>
  </si>
  <si>
    <t>www.lixinger.com/analytics/company/sz/300504/300504/detail</t>
  </si>
  <si>
    <t>川金诺</t>
  </si>
  <si>
    <t>www.lixinger.com/analytics/company/sz/300505/300505/detail</t>
  </si>
  <si>
    <t>名家汇</t>
  </si>
  <si>
    <t>www.lixinger.com/analytics/company/sz/300506/300506/detail</t>
  </si>
  <si>
    <t>苏奥传感</t>
  </si>
  <si>
    <t>www.lixinger.com/analytics/company/sz/300507/300507/detail</t>
  </si>
  <si>
    <t>维宏股份</t>
  </si>
  <si>
    <t>www.lixinger.com/analytics/company/sz/300508/300508/detail</t>
  </si>
  <si>
    <t>新美星</t>
  </si>
  <si>
    <t>www.lixinger.com/analytics/company/sz/300509/300509/detail</t>
  </si>
  <si>
    <t>金冠股份</t>
  </si>
  <si>
    <t>www.lixinger.com/analytics/company/sz/300510/300510/detail</t>
  </si>
  <si>
    <t>雪榕生物</t>
  </si>
  <si>
    <t>www.lixinger.com/analytics/company/sz/300511/300511/detail</t>
  </si>
  <si>
    <t>中亚股份</t>
  </si>
  <si>
    <t>www.lixinger.com/analytics/company/sz/300512/300512/detail</t>
  </si>
  <si>
    <t>恒实科技</t>
  </si>
  <si>
    <t>www.lixinger.com/analytics/company/sz/300513/300513/detail</t>
  </si>
  <si>
    <t>友讯达</t>
  </si>
  <si>
    <t>www.lixinger.com/analytics/company/sz/300514/300514/detail</t>
  </si>
  <si>
    <t>三德科技</t>
  </si>
  <si>
    <t>www.lixinger.com/analytics/company/sz/300515/300515/detail</t>
  </si>
  <si>
    <t>久之洋</t>
  </si>
  <si>
    <t>www.lixinger.com/analytics/company/sz/300516/300516/detail</t>
  </si>
  <si>
    <t>海波重科</t>
  </si>
  <si>
    <t>www.lixinger.com/analytics/company/sz/300517/300517/detail</t>
  </si>
  <si>
    <t>盛讯达</t>
  </si>
  <si>
    <t>www.lixinger.com/analytics/company/sz/300518/300518/detail</t>
  </si>
  <si>
    <t>新光药业</t>
  </si>
  <si>
    <t>www.lixinger.com/analytics/company/sz/300519/300519/detail</t>
  </si>
  <si>
    <t>科大国创</t>
  </si>
  <si>
    <t>www.lixinger.com/analytics/company/sz/300520/300520/detail</t>
  </si>
  <si>
    <t>爱司凯</t>
  </si>
  <si>
    <t>www.lixinger.com/analytics/company/sz/300521/300521/detail</t>
  </si>
  <si>
    <t>世名科技</t>
  </si>
  <si>
    <t>www.lixinger.com/analytics/company/sz/300522/300522/detail</t>
  </si>
  <si>
    <t>辰安科技</t>
  </si>
  <si>
    <t>www.lixinger.com/analytics/company/sz/300523/300523/detail</t>
  </si>
  <si>
    <t>博思软件</t>
  </si>
  <si>
    <t>www.lixinger.com/analytics/company/sz/300525/300525/detail</t>
  </si>
  <si>
    <t>*ST中潜</t>
  </si>
  <si>
    <t>www.lixinger.com/analytics/company/sz/300526/300526/detail</t>
  </si>
  <si>
    <t>中船应急</t>
  </si>
  <si>
    <t>www.lixinger.com/analytics/company/sz/300527/300527/detail</t>
  </si>
  <si>
    <t>幸福蓝海</t>
  </si>
  <si>
    <t>www.lixinger.com/analytics/company/sz/300528/300528/detail</t>
  </si>
  <si>
    <t>健帆生物</t>
  </si>
  <si>
    <t>www.lixinger.com/analytics/company/sz/300529/300529/detail</t>
  </si>
  <si>
    <t>*ST达志</t>
  </si>
  <si>
    <t>www.lixinger.com/analytics/company/sz/300530/300530/detail</t>
  </si>
  <si>
    <t>优博讯</t>
  </si>
  <si>
    <t>www.lixinger.com/analytics/company/sz/300531/300531/detail</t>
  </si>
  <si>
    <t>今天国际</t>
  </si>
  <si>
    <t>www.lixinger.com/analytics/company/sz/300532/300532/detail</t>
  </si>
  <si>
    <t>冰川网络</t>
  </si>
  <si>
    <t>www.lixinger.com/analytics/company/sz/300533/300533/detail</t>
  </si>
  <si>
    <t>陇神戎发</t>
  </si>
  <si>
    <t>www.lixinger.com/analytics/company/sz/300534/300534/detail</t>
  </si>
  <si>
    <t>达威股份</t>
  </si>
  <si>
    <t>www.lixinger.com/analytics/company/sz/300535/300535/detail</t>
  </si>
  <si>
    <t>农尚环境</t>
  </si>
  <si>
    <t>www.lixinger.com/analytics/company/sz/300536/300536/detail</t>
  </si>
  <si>
    <t>广信材料</t>
  </si>
  <si>
    <t>www.lixinger.com/analytics/company/sz/300537/300537/detail</t>
  </si>
  <si>
    <t>同益股份</t>
  </si>
  <si>
    <t>www.lixinger.com/analytics/company/sz/300538/300538/detail</t>
  </si>
  <si>
    <t>横河精密</t>
  </si>
  <si>
    <t>www.lixinger.com/analytics/company/sz/300539/300539/detail</t>
  </si>
  <si>
    <t>蜀道装备</t>
  </si>
  <si>
    <t>www.lixinger.com/analytics/company/sz/300540/300540/detail</t>
  </si>
  <si>
    <t>先进数通</t>
  </si>
  <si>
    <t>www.lixinger.com/analytics/company/sz/300541/300541/detail</t>
  </si>
  <si>
    <t>新晨科技</t>
  </si>
  <si>
    <t>www.lixinger.com/analytics/company/sz/300542/300542/detail</t>
  </si>
  <si>
    <t>朗科智能</t>
  </si>
  <si>
    <t>www.lixinger.com/analytics/company/sz/300543/300543/detail</t>
  </si>
  <si>
    <t>联得装备</t>
  </si>
  <si>
    <t>www.lixinger.com/analytics/company/sz/300545/300545/detail</t>
  </si>
  <si>
    <t>雄帝科技</t>
  </si>
  <si>
    <t>www.lixinger.com/analytics/company/sz/300546/300546/detail</t>
  </si>
  <si>
    <t>川环科技</t>
  </si>
  <si>
    <t>www.lixinger.com/analytics/company/sz/300547/300547/detail</t>
  </si>
  <si>
    <t>博创科技</t>
  </si>
  <si>
    <t>www.lixinger.com/analytics/company/sz/300548/300548/detail</t>
  </si>
  <si>
    <t>优德精密</t>
  </si>
  <si>
    <t>www.lixinger.com/analytics/company/sz/300549/300549/detail</t>
  </si>
  <si>
    <t>和仁科技</t>
  </si>
  <si>
    <t>www.lixinger.com/analytics/company/sz/300550/300550/detail</t>
  </si>
  <si>
    <t>古鳌科技</t>
  </si>
  <si>
    <t>www.lixinger.com/analytics/company/sz/300551/300551/detail</t>
  </si>
  <si>
    <t>万集科技</t>
  </si>
  <si>
    <t>www.lixinger.com/analytics/company/sz/300552/300552/detail</t>
  </si>
  <si>
    <t>集智股份</t>
  </si>
  <si>
    <t>www.lixinger.com/analytics/company/sz/300553/300553/detail</t>
  </si>
  <si>
    <t>三超新材</t>
  </si>
  <si>
    <t>www.lixinger.com/analytics/company/sz/300554/300554/detail</t>
  </si>
  <si>
    <t>路通视信</t>
  </si>
  <si>
    <t>www.lixinger.com/analytics/company/sz/300555/300555/detail</t>
  </si>
  <si>
    <t>丝路视觉</t>
  </si>
  <si>
    <t>www.lixinger.com/analytics/company/sz/300556/300556/detail</t>
  </si>
  <si>
    <t>理工光科</t>
  </si>
  <si>
    <t>www.lixinger.com/analytics/company/sz/300557/300557/detail</t>
  </si>
  <si>
    <t>贝达药业</t>
  </si>
  <si>
    <t>www.lixinger.com/analytics/company/sz/300558/300558/detail</t>
  </si>
  <si>
    <t>佳发教育</t>
  </si>
  <si>
    <t>www.lixinger.com/analytics/company/sz/300559/300559/detail</t>
  </si>
  <si>
    <t>中富通</t>
  </si>
  <si>
    <t>www.lixinger.com/analytics/company/sz/300560/300560/detail</t>
  </si>
  <si>
    <t>汇金科技</t>
  </si>
  <si>
    <t>www.lixinger.com/analytics/company/sz/300561/300561/detail</t>
  </si>
  <si>
    <t>乐心医疗</t>
  </si>
  <si>
    <t>www.lixinger.com/analytics/company/sz/300562/300562/detail</t>
  </si>
  <si>
    <t>神宇股份</t>
  </si>
  <si>
    <t>www.lixinger.com/analytics/company/sz/300563/300563/detail</t>
  </si>
  <si>
    <t>筑博设计</t>
  </si>
  <si>
    <t>www.lixinger.com/analytics/company/sz/300564/300564/detail</t>
  </si>
  <si>
    <t>科信技术</t>
  </si>
  <si>
    <t>www.lixinger.com/analytics/company/sz/300565/300565/detail</t>
  </si>
  <si>
    <t>激智科技</t>
  </si>
  <si>
    <t>www.lixinger.com/analytics/company/sz/300566/300566/detail</t>
  </si>
  <si>
    <t>精测电子</t>
  </si>
  <si>
    <t>www.lixinger.com/analytics/company/sz/300567/300567/detail</t>
  </si>
  <si>
    <t>星源材质</t>
  </si>
  <si>
    <t>www.lixinger.com/analytics/company/sz/300568/300568/detail</t>
  </si>
  <si>
    <t>天能重工</t>
  </si>
  <si>
    <t>www.lixinger.com/analytics/company/sz/300569/300569/detail</t>
  </si>
  <si>
    <t>太辰光</t>
  </si>
  <si>
    <t>www.lixinger.com/analytics/company/sz/300570/300570/detail</t>
  </si>
  <si>
    <t>平治信息</t>
  </si>
  <si>
    <t>www.lixinger.com/analytics/company/sz/300571/300571/detail</t>
  </si>
  <si>
    <t>安车检测</t>
  </si>
  <si>
    <t>www.lixinger.com/analytics/company/sz/300572/300572/detail</t>
  </si>
  <si>
    <t>兴齐眼药</t>
  </si>
  <si>
    <t>www.lixinger.com/analytics/company/sz/300573/300573/detail</t>
  </si>
  <si>
    <t>中旗股份</t>
  </si>
  <si>
    <t>www.lixinger.com/analytics/company/sz/300575/300575/detail</t>
  </si>
  <si>
    <t>容大感光</t>
  </si>
  <si>
    <t>www.lixinger.com/analytics/company/sz/300576/300576/detail</t>
  </si>
  <si>
    <t>开润股份</t>
  </si>
  <si>
    <t>www.lixinger.com/analytics/company/sz/300577/300577/detail</t>
  </si>
  <si>
    <t>会畅通讯</t>
  </si>
  <si>
    <t>www.lixinger.com/analytics/company/sz/300578/300578/detail</t>
  </si>
  <si>
    <t>数字认证</t>
  </si>
  <si>
    <t>www.lixinger.com/analytics/company/sz/300579/300579/detail</t>
  </si>
  <si>
    <t>贝斯特</t>
  </si>
  <si>
    <t>www.lixinger.com/analytics/company/sz/300580/300580/detail</t>
  </si>
  <si>
    <t>晨曦航空</t>
  </si>
  <si>
    <t>www.lixinger.com/analytics/company/sz/300581/300581/detail</t>
  </si>
  <si>
    <t>英飞特</t>
  </si>
  <si>
    <t>www.lixinger.com/analytics/company/sz/300582/300582/detail</t>
  </si>
  <si>
    <t>赛托生物</t>
  </si>
  <si>
    <t>www.lixinger.com/analytics/company/sz/300583/300583/detail</t>
  </si>
  <si>
    <t>海辰药业</t>
  </si>
  <si>
    <t>www.lixinger.com/analytics/company/sz/300584/300584/detail</t>
  </si>
  <si>
    <t>奥联电子</t>
  </si>
  <si>
    <t>www.lixinger.com/analytics/company/sz/300585/300585/detail</t>
  </si>
  <si>
    <t>美联新材</t>
  </si>
  <si>
    <t>www.lixinger.com/analytics/company/sz/300586/300586/detail</t>
  </si>
  <si>
    <t>天铁股份</t>
  </si>
  <si>
    <t>www.lixinger.com/analytics/company/sz/300587/300587/detail</t>
  </si>
  <si>
    <t>熙菱信息</t>
  </si>
  <si>
    <t>www.lixinger.com/analytics/company/sz/300588/300588/detail</t>
  </si>
  <si>
    <t>江龙船艇</t>
  </si>
  <si>
    <t>www.lixinger.com/analytics/company/sz/300589/300589/detail</t>
  </si>
  <si>
    <t>移为通信</t>
  </si>
  <si>
    <t>www.lixinger.com/analytics/company/sz/300590/300590/detail</t>
  </si>
  <si>
    <t>万里马</t>
  </si>
  <si>
    <t>www.lixinger.com/analytics/company/sz/300591/300591/detail</t>
  </si>
  <si>
    <t>华凯创意</t>
  </si>
  <si>
    <t>www.lixinger.com/analytics/company/sz/300592/300592/detail</t>
  </si>
  <si>
    <t>新雷能</t>
  </si>
  <si>
    <t>www.lixinger.com/analytics/company/sz/300593/300593/detail</t>
  </si>
  <si>
    <t>朗进科技</t>
  </si>
  <si>
    <t>www.lixinger.com/analytics/company/sz/300594/300594/detail</t>
  </si>
  <si>
    <t>欧普康视</t>
  </si>
  <si>
    <t>www.lixinger.com/analytics/company/sz/300595/300595/detail</t>
  </si>
  <si>
    <t>利安隆</t>
  </si>
  <si>
    <t>www.lixinger.com/analytics/company/sz/300596/300596/detail</t>
  </si>
  <si>
    <t>吉大通信</t>
  </si>
  <si>
    <t>www.lixinger.com/analytics/company/sz/300597/300597/detail</t>
  </si>
  <si>
    <t>诚迈科技</t>
  </si>
  <si>
    <t>www.lixinger.com/analytics/company/sz/300598/300598/detail</t>
  </si>
  <si>
    <t>雄塑科技</t>
  </si>
  <si>
    <t>www.lixinger.com/analytics/company/sz/300599/300599/detail</t>
  </si>
  <si>
    <t>国瑞科技</t>
  </si>
  <si>
    <t>www.lixinger.com/analytics/company/sz/300600/300600/detail</t>
  </si>
  <si>
    <t>康泰生物</t>
  </si>
  <si>
    <t>www.lixinger.com/analytics/company/sz/300601/300601/detail</t>
  </si>
  <si>
    <t>飞荣达</t>
  </si>
  <si>
    <t>www.lixinger.com/analytics/company/sz/300602/300602/detail</t>
  </si>
  <si>
    <t>立昂技术</t>
  </si>
  <si>
    <t>www.lixinger.com/analytics/company/sz/300603/300603/detail</t>
  </si>
  <si>
    <t>长川科技</t>
  </si>
  <si>
    <t>www.lixinger.com/analytics/company/sz/300604/300604/detail</t>
  </si>
  <si>
    <t>恒锋信息</t>
  </si>
  <si>
    <t>www.lixinger.com/analytics/company/sz/300605/300605/detail</t>
  </si>
  <si>
    <t>金太阳</t>
  </si>
  <si>
    <t>www.lixinger.com/analytics/company/sz/300606/300606/detail</t>
  </si>
  <si>
    <t>拓斯达</t>
  </si>
  <si>
    <t>www.lixinger.com/analytics/company/sz/300607/300607/detail</t>
  </si>
  <si>
    <t>思特奇</t>
  </si>
  <si>
    <t>www.lixinger.com/analytics/company/sz/300608/300608/detail</t>
  </si>
  <si>
    <t>汇纳科技</t>
  </si>
  <si>
    <t>www.lixinger.com/analytics/company/sz/300609/300609/detail</t>
  </si>
  <si>
    <t>晨化股份</t>
  </si>
  <si>
    <t>www.lixinger.com/analytics/company/sz/300610/300610/detail</t>
  </si>
  <si>
    <t>美力科技</t>
  </si>
  <si>
    <t>www.lixinger.com/analytics/company/sz/300611/300611/detail</t>
  </si>
  <si>
    <t>宣亚国际</t>
  </si>
  <si>
    <t>www.lixinger.com/analytics/company/sz/300612/300612/detail</t>
  </si>
  <si>
    <t>富瀚微</t>
  </si>
  <si>
    <t>www.lixinger.com/analytics/company/sz/300613/300613/detail</t>
  </si>
  <si>
    <t>百川畅银</t>
  </si>
  <si>
    <t>www.lixinger.com/analytics/company/sz/300614/300614/detail</t>
  </si>
  <si>
    <t>欣天科技</t>
  </si>
  <si>
    <t>www.lixinger.com/analytics/company/sz/300615/300615/detail</t>
  </si>
  <si>
    <t>尚品宅配</t>
  </si>
  <si>
    <t>www.lixinger.com/analytics/company/sz/300616/300616/detail</t>
  </si>
  <si>
    <t>安靠智电</t>
  </si>
  <si>
    <t>www.lixinger.com/analytics/company/sz/300617/300617/detail</t>
  </si>
  <si>
    <t>寒锐钴业</t>
  </si>
  <si>
    <t>www.lixinger.com/analytics/company/sz/300618/300618/detail</t>
  </si>
  <si>
    <t>金银河</t>
  </si>
  <si>
    <t>www.lixinger.com/analytics/company/sz/300619/300619/detail</t>
  </si>
  <si>
    <t>光库科技</t>
  </si>
  <si>
    <t>www.lixinger.com/analytics/company/sz/300620/300620/detail</t>
  </si>
  <si>
    <t>维业股份</t>
  </si>
  <si>
    <t>www.lixinger.com/analytics/company/sz/300621/300621/detail</t>
  </si>
  <si>
    <t>博士眼镜</t>
  </si>
  <si>
    <t>www.lixinger.com/analytics/company/sz/300622/300622/detail</t>
  </si>
  <si>
    <t>捷捷微电</t>
  </si>
  <si>
    <t>www.lixinger.com/analytics/company/sz/300623/300623/detail</t>
  </si>
  <si>
    <t>万兴科技</t>
  </si>
  <si>
    <t>www.lixinger.com/analytics/company/sz/300624/300624/detail</t>
  </si>
  <si>
    <t>三雄极光</t>
  </si>
  <si>
    <t>www.lixinger.com/analytics/company/sz/300625/300625/detail</t>
  </si>
  <si>
    <t>华瑞股份</t>
  </si>
  <si>
    <t>www.lixinger.com/analytics/company/sz/300626/300626/detail</t>
  </si>
  <si>
    <t>华测导航</t>
  </si>
  <si>
    <t>www.lixinger.com/analytics/company/sz/300627/300627/detail</t>
  </si>
  <si>
    <t>亿联网络</t>
  </si>
  <si>
    <t>www.lixinger.com/analytics/company/sz/300628/300628/detail</t>
  </si>
  <si>
    <t>新劲刚</t>
  </si>
  <si>
    <t>www.lixinger.com/analytics/company/sz/300629/300629/detail</t>
  </si>
  <si>
    <t>普利制药</t>
  </si>
  <si>
    <t>www.lixinger.com/analytics/company/sz/300630/300630/detail</t>
  </si>
  <si>
    <t>久吾高科</t>
  </si>
  <si>
    <t>www.lixinger.com/analytics/company/sz/300631/300631/detail</t>
  </si>
  <si>
    <t>光莆股份</t>
  </si>
  <si>
    <t>www.lixinger.com/analytics/company/sz/300632/300632/detail</t>
  </si>
  <si>
    <t>开立医疗</t>
  </si>
  <si>
    <t>www.lixinger.com/analytics/company/sz/300633/300633/detail</t>
  </si>
  <si>
    <t>彩讯股份</t>
  </si>
  <si>
    <t>www.lixinger.com/analytics/company/sz/300634/300634/detail</t>
  </si>
  <si>
    <t>中达安</t>
  </si>
  <si>
    <t>www.lixinger.com/analytics/company/sz/300635/300635/detail</t>
  </si>
  <si>
    <t>同和药业</t>
  </si>
  <si>
    <t>www.lixinger.com/analytics/company/sz/300636/300636/detail</t>
  </si>
  <si>
    <t>扬帆新材</t>
  </si>
  <si>
    <t>www.lixinger.com/analytics/company/sz/300637/300637/detail</t>
  </si>
  <si>
    <t>广和通</t>
  </si>
  <si>
    <t>www.lixinger.com/analytics/company/sz/300638/300638/detail</t>
  </si>
  <si>
    <t>凯普生物</t>
  </si>
  <si>
    <t>www.lixinger.com/analytics/company/sz/300639/300639/detail</t>
  </si>
  <si>
    <t>德艺文创</t>
  </si>
  <si>
    <t>www.lixinger.com/analytics/company/sz/300640/300640/detail</t>
  </si>
  <si>
    <t>正丹股份</t>
  </si>
  <si>
    <t>www.lixinger.com/analytics/company/sz/300641/300641/detail</t>
  </si>
  <si>
    <t>透景生命</t>
  </si>
  <si>
    <t>www.lixinger.com/analytics/company/sz/300642/300642/detail</t>
  </si>
  <si>
    <t>万通智控</t>
  </si>
  <si>
    <t>www.lixinger.com/analytics/company/sz/300643/300643/detail</t>
  </si>
  <si>
    <t>南京聚隆</t>
  </si>
  <si>
    <t>www.lixinger.com/analytics/company/sz/300644/300644/detail</t>
  </si>
  <si>
    <t>正元智慧</t>
  </si>
  <si>
    <t>www.lixinger.com/analytics/company/sz/300645/300645/detail</t>
  </si>
  <si>
    <t>侨源气体</t>
  </si>
  <si>
    <t>www.lixinger.com/analytics/company/sz/300646/300646/detail</t>
  </si>
  <si>
    <t>超频三</t>
  </si>
  <si>
    <t>www.lixinger.com/analytics/company/sz/300647/300647/detail</t>
  </si>
  <si>
    <t>星云股份</t>
  </si>
  <si>
    <t>www.lixinger.com/analytics/company/sz/300648/300648/detail</t>
  </si>
  <si>
    <t>杭州园林</t>
  </si>
  <si>
    <t>www.lixinger.com/analytics/company/sz/300649/300649/detail</t>
  </si>
  <si>
    <t>太龙股份</t>
  </si>
  <si>
    <t>www.lixinger.com/analytics/company/sz/300650/300650/detail</t>
  </si>
  <si>
    <t>金陵体育</t>
  </si>
  <si>
    <t>www.lixinger.com/analytics/company/sz/300651/300651/detail</t>
  </si>
  <si>
    <t>雷迪克</t>
  </si>
  <si>
    <t>www.lixinger.com/analytics/company/sz/300652/300652/detail</t>
  </si>
  <si>
    <t>正海生物</t>
  </si>
  <si>
    <t>www.lixinger.com/analytics/company/sz/300653/300653/detail</t>
  </si>
  <si>
    <t>世纪天鸿</t>
  </si>
  <si>
    <t>www.lixinger.com/analytics/company/sz/300654/300654/detail</t>
  </si>
  <si>
    <t>晶瑞电材</t>
  </si>
  <si>
    <t>www.lixinger.com/analytics/company/sz/300655/300655/detail</t>
  </si>
  <si>
    <t>民德电子</t>
  </si>
  <si>
    <t>www.lixinger.com/analytics/company/sz/300656/300656/detail</t>
  </si>
  <si>
    <t>弘信电子</t>
  </si>
  <si>
    <t>www.lixinger.com/analytics/company/sz/300657/300657/detail</t>
  </si>
  <si>
    <t>延江股份</t>
  </si>
  <si>
    <t>www.lixinger.com/analytics/company/sz/300658/300658/detail</t>
  </si>
  <si>
    <t>中孚信息</t>
  </si>
  <si>
    <t>www.lixinger.com/analytics/company/sz/300659/300659/detail</t>
  </si>
  <si>
    <t>江苏雷利</t>
  </si>
  <si>
    <t>www.lixinger.com/analytics/company/sz/300660/300660/detail</t>
  </si>
  <si>
    <t>圣邦股份</t>
  </si>
  <si>
    <t>www.lixinger.com/analytics/company/sz/300661/300661/detail</t>
  </si>
  <si>
    <t>科锐国际</t>
  </si>
  <si>
    <t>人力资源服务</t>
  </si>
  <si>
    <t>www.lixinger.com/analytics/company/sz/300662/300662/detail</t>
  </si>
  <si>
    <t>科蓝软件</t>
  </si>
  <si>
    <t>www.lixinger.com/analytics/company/sz/300663/300663/detail</t>
  </si>
  <si>
    <t>鹏鹞环保</t>
  </si>
  <si>
    <t>www.lixinger.com/analytics/company/sz/300664/300664/detail</t>
  </si>
  <si>
    <t>飞鹿股份</t>
  </si>
  <si>
    <t>www.lixinger.com/analytics/company/sz/300665/300665/detail</t>
  </si>
  <si>
    <t>江丰电子</t>
  </si>
  <si>
    <t>www.lixinger.com/analytics/company/sz/300666/300666/detail</t>
  </si>
  <si>
    <t>必创科技</t>
  </si>
  <si>
    <t>www.lixinger.com/analytics/company/sz/300667/300667/detail</t>
  </si>
  <si>
    <t>杰恩设计</t>
  </si>
  <si>
    <t>www.lixinger.com/analytics/company/sz/300668/300668/detail</t>
  </si>
  <si>
    <t>沪宁股份</t>
  </si>
  <si>
    <t>www.lixinger.com/analytics/company/sz/300669/300669/detail</t>
  </si>
  <si>
    <t>大烨智能</t>
  </si>
  <si>
    <t>www.lixinger.com/analytics/company/sz/300670/300670/detail</t>
  </si>
  <si>
    <t>富满微</t>
  </si>
  <si>
    <t>www.lixinger.com/analytics/company/sz/300671/300671/detail</t>
  </si>
  <si>
    <t>国科微</t>
  </si>
  <si>
    <t>www.lixinger.com/analytics/company/sz/300672/300672/detail</t>
  </si>
  <si>
    <t>佩蒂股份</t>
  </si>
  <si>
    <t>www.lixinger.com/analytics/company/sz/300673/300673/detail</t>
  </si>
  <si>
    <t>宇信科技</t>
  </si>
  <si>
    <t>www.lixinger.com/analytics/company/sz/300674/300674/detail</t>
  </si>
  <si>
    <t>建科院</t>
  </si>
  <si>
    <t>www.lixinger.com/analytics/company/sz/300675/300675/detail</t>
  </si>
  <si>
    <t>华大基因</t>
  </si>
  <si>
    <t>www.lixinger.com/analytics/company/sz/300676/300676/detail</t>
  </si>
  <si>
    <t>英科医疗</t>
  </si>
  <si>
    <t>www.lixinger.com/analytics/company/sz/300677/300677/detail</t>
  </si>
  <si>
    <t>中科信息</t>
  </si>
  <si>
    <t>www.lixinger.com/analytics/company/sz/300678/300678/detail</t>
  </si>
  <si>
    <t>电连技术</t>
  </si>
  <si>
    <t>www.lixinger.com/analytics/company/sz/300679/300679/detail</t>
  </si>
  <si>
    <t>隆盛科技</t>
  </si>
  <si>
    <t>www.lixinger.com/analytics/company/sz/300680/300680/detail</t>
  </si>
  <si>
    <t>英搏尔</t>
  </si>
  <si>
    <t>www.lixinger.com/analytics/company/sz/300681/300681/detail</t>
  </si>
  <si>
    <t>朗新科技</t>
  </si>
  <si>
    <t>www.lixinger.com/analytics/company/sz/300682/300682/detail</t>
  </si>
  <si>
    <t>海特生物</t>
  </si>
  <si>
    <t>www.lixinger.com/analytics/company/sz/300683/300683/detail</t>
  </si>
  <si>
    <t>中石科技</t>
  </si>
  <si>
    <t>www.lixinger.com/analytics/company/sz/300684/300684/detail</t>
  </si>
  <si>
    <t>艾德生物</t>
  </si>
  <si>
    <t>www.lixinger.com/analytics/company/sz/300685/300685/detail</t>
  </si>
  <si>
    <t>智动力</t>
  </si>
  <si>
    <t>www.lixinger.com/analytics/company/sz/300686/300686/detail</t>
  </si>
  <si>
    <t>赛意信息</t>
  </si>
  <si>
    <t>www.lixinger.com/analytics/company/sz/300687/300687/detail</t>
  </si>
  <si>
    <t>创业黑马</t>
  </si>
  <si>
    <t>www.lixinger.com/analytics/company/sz/300688/300688/detail</t>
  </si>
  <si>
    <t>澄天伟业</t>
  </si>
  <si>
    <t>www.lixinger.com/analytics/company/sz/300689/300689/detail</t>
  </si>
  <si>
    <t>双一科技</t>
  </si>
  <si>
    <t>www.lixinger.com/analytics/company/sz/300690/300690/detail</t>
  </si>
  <si>
    <t>联合光电</t>
  </si>
  <si>
    <t>www.lixinger.com/analytics/company/sz/300691/300691/detail</t>
  </si>
  <si>
    <t>中环环保</t>
  </si>
  <si>
    <t>www.lixinger.com/analytics/company/sz/300692/300692/detail</t>
  </si>
  <si>
    <t>盛弘股份</t>
  </si>
  <si>
    <t>www.lixinger.com/analytics/company/sz/300693/300693/detail</t>
  </si>
  <si>
    <t>蠡湖股份</t>
  </si>
  <si>
    <t>www.lixinger.com/analytics/company/sz/300694/300694/detail</t>
  </si>
  <si>
    <t>兆丰股份</t>
  </si>
  <si>
    <t>www.lixinger.com/analytics/company/sz/300695/300695/detail</t>
  </si>
  <si>
    <t>爱乐达</t>
  </si>
  <si>
    <t>www.lixinger.com/analytics/company/sz/300696/300696/detail</t>
  </si>
  <si>
    <t>电工合金</t>
  </si>
  <si>
    <t>www.lixinger.com/analytics/company/sz/300697/300697/detail</t>
  </si>
  <si>
    <t>万马科技</t>
  </si>
  <si>
    <t>www.lixinger.com/analytics/company/sz/300698/300698/detail</t>
  </si>
  <si>
    <t>光威复材</t>
  </si>
  <si>
    <t>www.lixinger.com/analytics/company/sz/300699/300699/detail</t>
  </si>
  <si>
    <t>岱勒新材</t>
  </si>
  <si>
    <t>www.lixinger.com/analytics/company/sz/300700/300700/detail</t>
  </si>
  <si>
    <t>森霸传感</t>
  </si>
  <si>
    <t>www.lixinger.com/analytics/company/sz/300701/300701/detail</t>
  </si>
  <si>
    <t>天宇股份</t>
  </si>
  <si>
    <t>www.lixinger.com/analytics/company/sz/300702/300702/detail</t>
  </si>
  <si>
    <t>创源股份</t>
  </si>
  <si>
    <t>www.lixinger.com/analytics/company/sz/300703/300703/detail</t>
  </si>
  <si>
    <t>九典制药</t>
  </si>
  <si>
    <t>www.lixinger.com/analytics/company/sz/300705/300705/detail</t>
  </si>
  <si>
    <t>阿石创</t>
  </si>
  <si>
    <t>www.lixinger.com/analytics/company/sz/300706/300706/detail</t>
  </si>
  <si>
    <t>威唐工业</t>
  </si>
  <si>
    <t>www.lixinger.com/analytics/company/sz/300707/300707/detail</t>
  </si>
  <si>
    <t>聚灿光电</t>
  </si>
  <si>
    <t>www.lixinger.com/analytics/company/sz/300708/300708/detail</t>
  </si>
  <si>
    <t>精研科技</t>
  </si>
  <si>
    <t>www.lixinger.com/analytics/company/sz/300709/300709/detail</t>
  </si>
  <si>
    <t>万隆光电</t>
  </si>
  <si>
    <t>www.lixinger.com/analytics/company/sz/300710/300710/detail</t>
  </si>
  <si>
    <t>广哈通信</t>
  </si>
  <si>
    <t>www.lixinger.com/analytics/company/sz/300711/300711/detail</t>
  </si>
  <si>
    <t>永福股份</t>
  </si>
  <si>
    <t>www.lixinger.com/analytics/company/sz/300712/300712/detail</t>
  </si>
  <si>
    <t>英可瑞</t>
  </si>
  <si>
    <t>www.lixinger.com/analytics/company/sz/300713/300713/detail</t>
  </si>
  <si>
    <t>凯伦股份</t>
  </si>
  <si>
    <t>www.lixinger.com/analytics/company/sz/300715/300715/detail</t>
  </si>
  <si>
    <t>国立科技</t>
  </si>
  <si>
    <t>www.lixinger.com/analytics/company/sz/300716/300716/detail</t>
  </si>
  <si>
    <t>华信新材</t>
  </si>
  <si>
    <t>www.lixinger.com/analytics/company/sz/300717/300717/detail</t>
  </si>
  <si>
    <t>长盛轴承</t>
  </si>
  <si>
    <t>www.lixinger.com/analytics/company/sz/300718/300718/detail</t>
  </si>
  <si>
    <t>安达维尔</t>
  </si>
  <si>
    <t>www.lixinger.com/analytics/company/sz/300719/300719/detail</t>
  </si>
  <si>
    <t>海川智能</t>
  </si>
  <si>
    <t>www.lixinger.com/analytics/company/sz/300720/300720/detail</t>
  </si>
  <si>
    <t>怡达股份</t>
  </si>
  <si>
    <t>www.lixinger.com/analytics/company/sz/300721/300721/detail</t>
  </si>
  <si>
    <t>新余国科</t>
  </si>
  <si>
    <t>www.lixinger.com/analytics/company/sz/300722/300722/detail</t>
  </si>
  <si>
    <t>一品红</t>
  </si>
  <si>
    <t>www.lixinger.com/analytics/company/sz/300723/300723/detail</t>
  </si>
  <si>
    <t>捷佳伟创</t>
  </si>
  <si>
    <t>www.lixinger.com/analytics/company/sz/300724/300724/detail</t>
  </si>
  <si>
    <t>药石科技</t>
  </si>
  <si>
    <t>www.lixinger.com/analytics/company/sz/300725/300725/detail</t>
  </si>
  <si>
    <t>宏达电子</t>
  </si>
  <si>
    <t>www.lixinger.com/analytics/company/sz/300726/300726/detail</t>
  </si>
  <si>
    <t>润禾材料</t>
  </si>
  <si>
    <t>www.lixinger.com/analytics/company/sz/300727/300727/detail</t>
  </si>
  <si>
    <t>天常股份</t>
  </si>
  <si>
    <t>www.lixinger.com/analytics/company/sz/300728/300728/detail</t>
  </si>
  <si>
    <t>乐歌股份</t>
  </si>
  <si>
    <t>www.lixinger.com/analytics/company/sz/300729/300729/detail</t>
  </si>
  <si>
    <t>科创信息</t>
  </si>
  <si>
    <t>www.lixinger.com/analytics/company/sz/300730/300730/detail</t>
  </si>
  <si>
    <t>科创新源</t>
  </si>
  <si>
    <t>www.lixinger.com/analytics/company/sz/300731/300731/detail</t>
  </si>
  <si>
    <t>设研院</t>
  </si>
  <si>
    <t>www.lixinger.com/analytics/company/sz/300732/300732/detail</t>
  </si>
  <si>
    <t>西菱动力</t>
  </si>
  <si>
    <t>www.lixinger.com/analytics/company/sz/300733/300733/detail</t>
  </si>
  <si>
    <t>光弘科技</t>
  </si>
  <si>
    <t>www.lixinger.com/analytics/company/sz/300735/300735/detail</t>
  </si>
  <si>
    <t>百邦科技</t>
  </si>
  <si>
    <t>www.lixinger.com/analytics/company/sz/300736/300736/detail</t>
  </si>
  <si>
    <t>科顺股份</t>
  </si>
  <si>
    <t>www.lixinger.com/analytics/company/sz/300737/300737/detail</t>
  </si>
  <si>
    <t>奥飞数据</t>
  </si>
  <si>
    <t>www.lixinger.com/analytics/company/sz/300738/300738/detail</t>
  </si>
  <si>
    <t>明阳电路</t>
  </si>
  <si>
    <t>www.lixinger.com/analytics/company/sz/300739/300739/detail</t>
  </si>
  <si>
    <t>水羊股份</t>
  </si>
  <si>
    <t>www.lixinger.com/analytics/company/sz/300740/300740/detail</t>
  </si>
  <si>
    <t>华宝股份</t>
  </si>
  <si>
    <t>www.lixinger.com/analytics/company/sz/300741/300741/detail</t>
  </si>
  <si>
    <t>越博动力</t>
  </si>
  <si>
    <t>www.lixinger.com/analytics/company/sz/300742/300742/detail</t>
  </si>
  <si>
    <t>天地数码</t>
  </si>
  <si>
    <t>www.lixinger.com/analytics/company/sz/300743/300743/detail</t>
  </si>
  <si>
    <t>欣锐科技</t>
  </si>
  <si>
    <t>www.lixinger.com/analytics/company/sz/300745/300745/detail</t>
  </si>
  <si>
    <t>汉嘉设计</t>
  </si>
  <si>
    <t>www.lixinger.com/analytics/company/sz/300746/300746/detail</t>
  </si>
  <si>
    <t>锐科激光</t>
  </si>
  <si>
    <t>www.lixinger.com/analytics/company/sz/300747/300747/detail</t>
  </si>
  <si>
    <t>金力永磁</t>
  </si>
  <si>
    <t>www.lixinger.com/analytics/company/sz/300748/300748/detail</t>
  </si>
  <si>
    <t>顶固集创</t>
  </si>
  <si>
    <t>www.lixinger.com/analytics/company/sz/300749/300749/detail</t>
  </si>
  <si>
    <t>宁德时代</t>
  </si>
  <si>
    <t>www.lixinger.com/analytics/company/sz/300750/300750/detail</t>
  </si>
  <si>
    <t>迈为股份</t>
  </si>
  <si>
    <t>www.lixinger.com/analytics/company/sz/300751/300751/detail</t>
  </si>
  <si>
    <t>隆利科技</t>
  </si>
  <si>
    <t>www.lixinger.com/analytics/company/sz/300752/300752/detail</t>
  </si>
  <si>
    <t>爱朋医疗</t>
  </si>
  <si>
    <t>www.lixinger.com/analytics/company/sz/300753/300753/detail</t>
  </si>
  <si>
    <t>华致酒行</t>
  </si>
  <si>
    <t>www.lixinger.com/analytics/company/sz/300755/300755/detail</t>
  </si>
  <si>
    <t>金马游乐</t>
  </si>
  <si>
    <t>www.lixinger.com/analytics/company/sz/300756/300756/detail</t>
  </si>
  <si>
    <t>罗博特科</t>
  </si>
  <si>
    <t>www.lixinger.com/analytics/company/sz/300757/300757/detail</t>
  </si>
  <si>
    <t>七彩化学</t>
  </si>
  <si>
    <t>www.lixinger.com/analytics/company/sz/300758/300758/detail</t>
  </si>
  <si>
    <t>康龙化成</t>
  </si>
  <si>
    <t>www.lixinger.com/analytics/company/sz/300759/300759/detail</t>
  </si>
  <si>
    <t>迈瑞医疗</t>
  </si>
  <si>
    <t>www.lixinger.com/analytics/company/sz/300760/300760/detail</t>
  </si>
  <si>
    <t>立华股份</t>
  </si>
  <si>
    <t>www.lixinger.com/analytics/company/sz/300761/300761/detail</t>
  </si>
  <si>
    <t>上海瀚讯</t>
  </si>
  <si>
    <t>www.lixinger.com/analytics/company/sz/300762/300762/detail</t>
  </si>
  <si>
    <t>锦浪科技</t>
  </si>
  <si>
    <t>www.lixinger.com/analytics/company/sz/300763/300763/detail</t>
  </si>
  <si>
    <t>新诺威</t>
  </si>
  <si>
    <t>www.lixinger.com/analytics/company/sz/300765/300765/detail</t>
  </si>
  <si>
    <t>每日互动</t>
  </si>
  <si>
    <t>www.lixinger.com/analytics/company/sz/300766/300766/detail</t>
  </si>
  <si>
    <t>震安科技</t>
  </si>
  <si>
    <t>www.lixinger.com/analytics/company/sz/300767/300767/detail</t>
  </si>
  <si>
    <t>迪普科技</t>
  </si>
  <si>
    <t>www.lixinger.com/analytics/company/sz/300768/300768/detail</t>
  </si>
  <si>
    <t>德方纳米</t>
  </si>
  <si>
    <t>www.lixinger.com/analytics/company/sz/300769/300769/detail</t>
  </si>
  <si>
    <t>新媒股份</t>
  </si>
  <si>
    <t>www.lixinger.com/analytics/company/sz/300770/300770/detail</t>
  </si>
  <si>
    <t>智莱科技</t>
  </si>
  <si>
    <t>www.lixinger.com/analytics/company/sz/300771/300771/detail</t>
  </si>
  <si>
    <t>运达股份</t>
  </si>
  <si>
    <t>www.lixinger.com/analytics/company/sz/300772/300772/detail</t>
  </si>
  <si>
    <t>拉卡拉</t>
  </si>
  <si>
    <t>www.lixinger.com/analytics/company/sz/300773/300773/detail</t>
  </si>
  <si>
    <t>倍杰特</t>
  </si>
  <si>
    <t>www.lixinger.com/analytics/company/sz/300774/300774/detail</t>
  </si>
  <si>
    <t>三角防务</t>
  </si>
  <si>
    <t>www.lixinger.com/analytics/company/sz/300775/300775/detail</t>
  </si>
  <si>
    <t>帝尔激光</t>
  </si>
  <si>
    <t>www.lixinger.com/analytics/company/sz/300776/300776/detail</t>
  </si>
  <si>
    <t>中简科技</t>
  </si>
  <si>
    <t>www.lixinger.com/analytics/company/sz/300777/300777/detail</t>
  </si>
  <si>
    <t>新城市</t>
  </si>
  <si>
    <t>www.lixinger.com/analytics/company/sz/300778/300778/detail</t>
  </si>
  <si>
    <t>惠城环保</t>
  </si>
  <si>
    <t>www.lixinger.com/analytics/company/sz/300779/300779/detail</t>
  </si>
  <si>
    <t>德恩精工</t>
  </si>
  <si>
    <t>www.lixinger.com/analytics/company/sz/300780/300780/detail</t>
  </si>
  <si>
    <t>因赛集团</t>
  </si>
  <si>
    <t>www.lixinger.com/analytics/company/sz/300781/300781/detail</t>
  </si>
  <si>
    <t>卓胜微</t>
  </si>
  <si>
    <t>www.lixinger.com/analytics/company/sz/300782/300782/detail</t>
  </si>
  <si>
    <t>三只松鼠</t>
  </si>
  <si>
    <t>www.lixinger.com/analytics/company/sz/300783/300783/detail</t>
  </si>
  <si>
    <t>值得买</t>
  </si>
  <si>
    <t>www.lixinger.com/analytics/company/sz/300785/300785/detail</t>
  </si>
  <si>
    <t>国林科技</t>
  </si>
  <si>
    <t>www.lixinger.com/analytics/company/sz/300786/300786/detail</t>
  </si>
  <si>
    <t>海能实业</t>
  </si>
  <si>
    <t>www.lixinger.com/analytics/company/sz/300787/300787/detail</t>
  </si>
  <si>
    <t>中信出版</t>
  </si>
  <si>
    <t>www.lixinger.com/analytics/company/sz/300788/300788/detail</t>
  </si>
  <si>
    <t>唐源电气</t>
  </si>
  <si>
    <t>www.lixinger.com/analytics/company/sz/300789/300789/detail</t>
  </si>
  <si>
    <t>宇瞳光学</t>
  </si>
  <si>
    <t>www.lixinger.com/analytics/company/sz/300790/300790/detail</t>
  </si>
  <si>
    <t>仙乐健康</t>
  </si>
  <si>
    <t>www.lixinger.com/analytics/company/sz/300791/300791/detail</t>
  </si>
  <si>
    <t>壹网壹创</t>
  </si>
  <si>
    <t>www.lixinger.com/analytics/company/sz/300792/300792/detail</t>
  </si>
  <si>
    <t>佳禾智能</t>
  </si>
  <si>
    <t>www.lixinger.com/analytics/company/sz/300793/300793/detail</t>
  </si>
  <si>
    <t>米奥会展</t>
  </si>
  <si>
    <t>www.lixinger.com/analytics/company/sz/300795/300795/detail</t>
  </si>
  <si>
    <t>贝斯美</t>
  </si>
  <si>
    <t>www.lixinger.com/analytics/company/sz/300796/300796/detail</t>
  </si>
  <si>
    <t>钢研纳克</t>
  </si>
  <si>
    <t>www.lixinger.com/analytics/company/sz/300797/300797/detail</t>
  </si>
  <si>
    <t>锦鸡股份</t>
  </si>
  <si>
    <t>www.lixinger.com/analytics/company/sz/300798/300798/detail</t>
  </si>
  <si>
    <t>左江科技</t>
  </si>
  <si>
    <t>www.lixinger.com/analytics/company/sz/300799/300799/detail</t>
  </si>
  <si>
    <t>力合科技</t>
  </si>
  <si>
    <t>www.lixinger.com/analytics/company/sz/300800/300800/detail</t>
  </si>
  <si>
    <t>泰和科技</t>
  </si>
  <si>
    <t>www.lixinger.com/analytics/company/sz/300801/300801/detail</t>
  </si>
  <si>
    <t>矩子科技</t>
  </si>
  <si>
    <t>www.lixinger.com/analytics/company/sz/300802/300802/detail</t>
  </si>
  <si>
    <t>指南针</t>
  </si>
  <si>
    <t>www.lixinger.com/analytics/company/sz/300803/300803/detail</t>
  </si>
  <si>
    <t>电声股份</t>
  </si>
  <si>
    <t>www.lixinger.com/analytics/company/sz/300805/300805/detail</t>
  </si>
  <si>
    <t>斯迪克</t>
  </si>
  <si>
    <t>www.lixinger.com/analytics/company/sz/300806/300806/detail</t>
  </si>
  <si>
    <t>天迈科技</t>
  </si>
  <si>
    <t>www.lixinger.com/analytics/company/sz/300807/300807/detail</t>
  </si>
  <si>
    <t>久量股份</t>
  </si>
  <si>
    <t>www.lixinger.com/analytics/company/sz/300808/300808/detail</t>
  </si>
  <si>
    <t>华辰装备</t>
  </si>
  <si>
    <t>www.lixinger.com/analytics/company/sz/300809/300809/detail</t>
  </si>
  <si>
    <t>中科海讯</t>
  </si>
  <si>
    <t>www.lixinger.com/analytics/company/sz/300810/300810/detail</t>
  </si>
  <si>
    <t>铂科新材</t>
  </si>
  <si>
    <t>www.lixinger.com/analytics/company/sz/300811/300811/detail</t>
  </si>
  <si>
    <t>易天股份</t>
  </si>
  <si>
    <t>www.lixinger.com/analytics/company/sz/300812/300812/detail</t>
  </si>
  <si>
    <t>泰林生物</t>
  </si>
  <si>
    <t>www.lixinger.com/analytics/company/sz/300813/300813/detail</t>
  </si>
  <si>
    <t>中富电路</t>
  </si>
  <si>
    <t>www.lixinger.com/analytics/company/sz/300814/300814/detail</t>
  </si>
  <si>
    <t>玉禾田</t>
  </si>
  <si>
    <t>www.lixinger.com/analytics/company/sz/300815/300815/detail</t>
  </si>
  <si>
    <t>艾可蓝</t>
  </si>
  <si>
    <t>www.lixinger.com/analytics/company/sz/300816/300816/detail</t>
  </si>
  <si>
    <t>双飞股份</t>
  </si>
  <si>
    <t>www.lixinger.com/analytics/company/sz/300817/300817/detail</t>
  </si>
  <si>
    <t>耐普矿机</t>
  </si>
  <si>
    <t>www.lixinger.com/analytics/company/sz/300818/300818/detail</t>
  </si>
  <si>
    <t>聚杰微纤</t>
  </si>
  <si>
    <t>www.lixinger.com/analytics/company/sz/300819/300819/detail</t>
  </si>
  <si>
    <t>英杰电气</t>
  </si>
  <si>
    <t>www.lixinger.com/analytics/company/sz/300820/300820/detail</t>
  </si>
  <si>
    <t>东岳硅材</t>
  </si>
  <si>
    <t>www.lixinger.com/analytics/company/sz/300821/300821/detail</t>
  </si>
  <si>
    <t>贝仕达克</t>
  </si>
  <si>
    <t>www.lixinger.com/analytics/company/sz/300822/300822/detail</t>
  </si>
  <si>
    <t>建科机械</t>
  </si>
  <si>
    <t>www.lixinger.com/analytics/company/sz/300823/300823/detail</t>
  </si>
  <si>
    <t>北鼎股份</t>
  </si>
  <si>
    <t>www.lixinger.com/analytics/company/sz/300824/300824/detail</t>
  </si>
  <si>
    <t>阿尔特</t>
  </si>
  <si>
    <t>www.lixinger.com/analytics/company/sz/300825/300825/detail</t>
  </si>
  <si>
    <t>测绘股份</t>
  </si>
  <si>
    <t>www.lixinger.com/analytics/company/sz/300826/300826/detail</t>
  </si>
  <si>
    <t>上能电气</t>
  </si>
  <si>
    <t>www.lixinger.com/analytics/company/sz/300827/300827/detail</t>
  </si>
  <si>
    <t>锐新科技</t>
  </si>
  <si>
    <t>www.lixinger.com/analytics/company/sz/300828/300828/detail</t>
  </si>
  <si>
    <t>金丹科技</t>
  </si>
  <si>
    <t>www.lixinger.com/analytics/company/sz/300829/300829/detail</t>
  </si>
  <si>
    <t>金现代</t>
  </si>
  <si>
    <t>www.lixinger.com/analytics/company/sz/300830/300830/detail</t>
  </si>
  <si>
    <t>派瑞股份</t>
  </si>
  <si>
    <t>www.lixinger.com/analytics/company/sz/300831/300831/detail</t>
  </si>
  <si>
    <t>新产业</t>
  </si>
  <si>
    <t>www.lixinger.com/analytics/company/sz/300832/300832/detail</t>
  </si>
  <si>
    <t>浩洋股份</t>
  </si>
  <si>
    <t>www.lixinger.com/analytics/company/sz/300833/300833/detail</t>
  </si>
  <si>
    <t>星辉环材</t>
  </si>
  <si>
    <t>www.lixinger.com/analytics/company/sz/300834/300834/detail</t>
  </si>
  <si>
    <t>龙磁科技</t>
  </si>
  <si>
    <t>www.lixinger.com/analytics/company/sz/300835/300835/detail</t>
  </si>
  <si>
    <t>佰奥智能</t>
  </si>
  <si>
    <t>www.lixinger.com/analytics/company/sz/300836/300836/detail</t>
  </si>
  <si>
    <t>浙矿股份</t>
  </si>
  <si>
    <t>www.lixinger.com/analytics/company/sz/300837/300837/detail</t>
  </si>
  <si>
    <t>浙江力诺</t>
  </si>
  <si>
    <t>www.lixinger.com/analytics/company/sz/300838/300838/detail</t>
  </si>
  <si>
    <t>博汇股份</t>
  </si>
  <si>
    <t>www.lixinger.com/analytics/company/sz/300839/300839/detail</t>
  </si>
  <si>
    <t>酷特智能</t>
  </si>
  <si>
    <t>www.lixinger.com/analytics/company/sz/300840/300840/detail</t>
  </si>
  <si>
    <t>康华生物</t>
  </si>
  <si>
    <t>www.lixinger.com/analytics/company/sz/300841/300841/detail</t>
  </si>
  <si>
    <t>帝科股份</t>
  </si>
  <si>
    <t>www.lixinger.com/analytics/company/sz/300842/300842/detail</t>
  </si>
  <si>
    <t>胜蓝股份</t>
  </si>
  <si>
    <t>www.lixinger.com/analytics/company/sz/300843/300843/detail</t>
  </si>
  <si>
    <t>山水比德</t>
  </si>
  <si>
    <t>www.lixinger.com/analytics/company/sz/300844/300844/detail</t>
  </si>
  <si>
    <t>捷安高科</t>
  </si>
  <si>
    <t>www.lixinger.com/analytics/company/sz/300845/300845/detail</t>
  </si>
  <si>
    <t>首都在线</t>
  </si>
  <si>
    <t>www.lixinger.com/analytics/company/sz/300846/300846/detail</t>
  </si>
  <si>
    <t>中船汉光</t>
  </si>
  <si>
    <t>www.lixinger.com/analytics/company/sz/300847/300847/detail</t>
  </si>
  <si>
    <t>美瑞新材</t>
  </si>
  <si>
    <t>www.lixinger.com/analytics/company/sz/300848/300848/detail</t>
  </si>
  <si>
    <t>锦盛新材</t>
  </si>
  <si>
    <t>www.lixinger.com/analytics/company/sz/300849/300849/detail</t>
  </si>
  <si>
    <t>新强联</t>
  </si>
  <si>
    <t>www.lixinger.com/analytics/company/sz/300850/300850/detail</t>
  </si>
  <si>
    <t>交大思诺</t>
  </si>
  <si>
    <t>www.lixinger.com/analytics/company/sz/300851/300851/detail</t>
  </si>
  <si>
    <t>四会富仕</t>
  </si>
  <si>
    <t>www.lixinger.com/analytics/company/sz/300852/300852/detail</t>
  </si>
  <si>
    <t>申昊科技</t>
  </si>
  <si>
    <t>www.lixinger.com/analytics/company/sz/300853/300853/detail</t>
  </si>
  <si>
    <t>中兰环保</t>
  </si>
  <si>
    <t>www.lixinger.com/analytics/company/sz/300854/300854/detail</t>
  </si>
  <si>
    <t>图南股份</t>
  </si>
  <si>
    <t>www.lixinger.com/analytics/company/sz/300855/300855/detail</t>
  </si>
  <si>
    <t>科思股份</t>
  </si>
  <si>
    <t>www.lixinger.com/analytics/company/sz/300856/300856/detail</t>
  </si>
  <si>
    <t>协创数据</t>
  </si>
  <si>
    <t>www.lixinger.com/analytics/company/sz/300857/300857/detail</t>
  </si>
  <si>
    <t>科拓生物</t>
  </si>
  <si>
    <t>www.lixinger.com/analytics/company/sz/300858/300858/detail</t>
  </si>
  <si>
    <t>*ST西域</t>
  </si>
  <si>
    <t>www.lixinger.com/analytics/company/sz/300859/300859/detail</t>
  </si>
  <si>
    <t>锋尚文化</t>
  </si>
  <si>
    <t>www.lixinger.com/analytics/company/sz/300860/300860/detail</t>
  </si>
  <si>
    <t>美畅股份</t>
  </si>
  <si>
    <t>www.lixinger.com/analytics/company/sz/300861/300861/detail</t>
  </si>
  <si>
    <t>蓝盾光电</t>
  </si>
  <si>
    <t>www.lixinger.com/analytics/company/sz/300862/300862/detail</t>
  </si>
  <si>
    <t>卡倍亿</t>
  </si>
  <si>
    <t>www.lixinger.com/analytics/company/sz/300863/300863/detail</t>
  </si>
  <si>
    <t>南大环境</t>
  </si>
  <si>
    <t>www.lixinger.com/analytics/company/sz/300864/300864/detail</t>
  </si>
  <si>
    <t>大宏立</t>
  </si>
  <si>
    <t>www.lixinger.com/analytics/company/sz/300865/300865/detail</t>
  </si>
  <si>
    <t>安克创新</t>
  </si>
  <si>
    <t>www.lixinger.com/analytics/company/sz/300866/300866/detail</t>
  </si>
  <si>
    <t>圣元环保</t>
  </si>
  <si>
    <t>www.lixinger.com/analytics/company/sz/300867/300867/detail</t>
  </si>
  <si>
    <t>杰美特</t>
  </si>
  <si>
    <t>www.lixinger.com/analytics/company/sz/300868/300868/detail</t>
  </si>
  <si>
    <t>康泰医学</t>
  </si>
  <si>
    <t>www.lixinger.com/analytics/company/sz/300869/300869/detail</t>
  </si>
  <si>
    <t>欧陆通</t>
  </si>
  <si>
    <t>www.lixinger.com/analytics/company/sz/300870/300870/detail</t>
  </si>
  <si>
    <t>回盛生物</t>
  </si>
  <si>
    <t>www.lixinger.com/analytics/company/sz/300871/300871/detail</t>
  </si>
  <si>
    <t>天阳科技</t>
  </si>
  <si>
    <t>www.lixinger.com/analytics/company/sz/300872/300872/detail</t>
  </si>
  <si>
    <t>海晨股份</t>
  </si>
  <si>
    <t>www.lixinger.com/analytics/company/sz/300873/300873/detail</t>
  </si>
  <si>
    <t>捷强装备</t>
  </si>
  <si>
    <t>www.lixinger.com/analytics/company/sz/300875/300875/detail</t>
  </si>
  <si>
    <t>蒙泰高新</t>
  </si>
  <si>
    <t>www.lixinger.com/analytics/company/sz/300876/300876/detail</t>
  </si>
  <si>
    <t>金春股份</t>
  </si>
  <si>
    <t>www.lixinger.com/analytics/company/sz/300877/300877/detail</t>
  </si>
  <si>
    <t>维康药业</t>
  </si>
  <si>
    <t>www.lixinger.com/analytics/company/sz/300878/300878/detail</t>
  </si>
  <si>
    <t>大叶股份</t>
  </si>
  <si>
    <t>www.lixinger.com/analytics/company/sz/300879/300879/detail</t>
  </si>
  <si>
    <t>迦南智能</t>
  </si>
  <si>
    <t>www.lixinger.com/analytics/company/sz/300880/300880/detail</t>
  </si>
  <si>
    <t>盛德鑫泰</t>
  </si>
  <si>
    <t>www.lixinger.com/analytics/company/sz/300881/300881/detail</t>
  </si>
  <si>
    <t>万胜智能</t>
  </si>
  <si>
    <t>www.lixinger.com/analytics/company/sz/300882/300882/detail</t>
  </si>
  <si>
    <t>龙利得</t>
  </si>
  <si>
    <t>www.lixinger.com/analytics/company/sz/300883/300883/detail</t>
  </si>
  <si>
    <t>狄耐克</t>
  </si>
  <si>
    <t>www.lixinger.com/analytics/company/sz/300884/300884/detail</t>
  </si>
  <si>
    <t>海昌新材</t>
  </si>
  <si>
    <t>www.lixinger.com/analytics/company/sz/300885/300885/detail</t>
  </si>
  <si>
    <t>华业香料</t>
  </si>
  <si>
    <t>www.lixinger.com/analytics/company/sz/300886/300886/detail</t>
  </si>
  <si>
    <t>谱尼测试</t>
  </si>
  <si>
    <t>www.lixinger.com/analytics/company/sz/300887/300887/detail</t>
  </si>
  <si>
    <t>稳健医疗</t>
  </si>
  <si>
    <t>www.lixinger.com/analytics/company/sz/300888/300888/detail</t>
  </si>
  <si>
    <t>爱克股份</t>
  </si>
  <si>
    <t>www.lixinger.com/analytics/company/sz/300889/300889/detail</t>
  </si>
  <si>
    <t>翔丰华</t>
  </si>
  <si>
    <t>www.lixinger.com/analytics/company/sz/300890/300890/detail</t>
  </si>
  <si>
    <t>惠云钛业</t>
  </si>
  <si>
    <t>www.lixinger.com/analytics/company/sz/300891/300891/detail</t>
  </si>
  <si>
    <t>品渥食品</t>
  </si>
  <si>
    <t>www.lixinger.com/analytics/company/sz/300892/300892/detail</t>
  </si>
  <si>
    <t>松原股份</t>
  </si>
  <si>
    <t>www.lixinger.com/analytics/company/sz/300893/300893/detail</t>
  </si>
  <si>
    <t>火星人</t>
  </si>
  <si>
    <t>www.lixinger.com/analytics/company/sz/300894/300894/detail</t>
  </si>
  <si>
    <t>铜牛信息</t>
  </si>
  <si>
    <t>www.lixinger.com/analytics/company/sz/300895/300895/detail</t>
  </si>
  <si>
    <t>爱美客</t>
  </si>
  <si>
    <t>www.lixinger.com/analytics/company/sz/300896/300896/detail</t>
  </si>
  <si>
    <t>山科智能</t>
  </si>
  <si>
    <t>www.lixinger.com/analytics/company/sz/300897/300897/detail</t>
  </si>
  <si>
    <t>熊猫乳品</t>
  </si>
  <si>
    <t>www.lixinger.com/analytics/company/sz/300898/300898/detail</t>
  </si>
  <si>
    <t>上海凯鑫</t>
  </si>
  <si>
    <t>www.lixinger.com/analytics/company/sz/300899/300899/detail</t>
  </si>
  <si>
    <t>广联航空</t>
  </si>
  <si>
    <t>www.lixinger.com/analytics/company/sz/300900/300900/detail</t>
  </si>
  <si>
    <t>中胤时尚</t>
  </si>
  <si>
    <t>www.lixinger.com/analytics/company/sz/300901/300901/detail</t>
  </si>
  <si>
    <t>国安达</t>
  </si>
  <si>
    <t>www.lixinger.com/analytics/company/sz/300902/300902/detail</t>
  </si>
  <si>
    <t>科翔股份</t>
  </si>
  <si>
    <t>www.lixinger.com/analytics/company/sz/300903/300903/detail</t>
  </si>
  <si>
    <t>宝丽迪</t>
  </si>
  <si>
    <t>www.lixinger.com/analytics/company/sz/300905/300905/detail</t>
  </si>
  <si>
    <t>日月明</t>
  </si>
  <si>
    <t>www.lixinger.com/analytics/company/sz/300906/300906/detail</t>
  </si>
  <si>
    <t>康平科技</t>
  </si>
  <si>
    <t>www.lixinger.com/analytics/company/sz/300907/300907/detail</t>
  </si>
  <si>
    <t>仲景食品</t>
  </si>
  <si>
    <t>www.lixinger.com/analytics/company/sz/300908/300908/detail</t>
  </si>
  <si>
    <t>汇创达</t>
  </si>
  <si>
    <t>www.lixinger.com/analytics/company/sz/300909/300909/detail</t>
  </si>
  <si>
    <t>瑞丰新材</t>
  </si>
  <si>
    <t>www.lixinger.com/analytics/company/sz/300910/300910/detail</t>
  </si>
  <si>
    <t>亿田智能</t>
  </si>
  <si>
    <t>www.lixinger.com/analytics/company/sz/300911/300911/detail</t>
  </si>
  <si>
    <t>凯龙高科</t>
  </si>
  <si>
    <t>www.lixinger.com/analytics/company/sz/300912/300912/detail</t>
  </si>
  <si>
    <t>兆龙互连</t>
  </si>
  <si>
    <t>www.lixinger.com/analytics/company/sz/300913/300913/detail</t>
  </si>
  <si>
    <t>海融科技</t>
  </si>
  <si>
    <t>www.lixinger.com/analytics/company/sz/300915/300915/detail</t>
  </si>
  <si>
    <t>朗特智能</t>
  </si>
  <si>
    <t>www.lixinger.com/analytics/company/sz/300916/300916/detail</t>
  </si>
  <si>
    <t>特发服务</t>
  </si>
  <si>
    <t>www.lixinger.com/analytics/company/sz/300917/300917/detail</t>
  </si>
  <si>
    <t>南山智尚</t>
  </si>
  <si>
    <t>www.lixinger.com/analytics/company/sz/300918/300918/detail</t>
  </si>
  <si>
    <t>中伟股份</t>
  </si>
  <si>
    <t>www.lixinger.com/analytics/company/sz/300919/300919/detail</t>
  </si>
  <si>
    <t>润阳科技</t>
  </si>
  <si>
    <t>www.lixinger.com/analytics/company/sz/300920/300920/detail</t>
  </si>
  <si>
    <t>南凌科技</t>
  </si>
  <si>
    <t>www.lixinger.com/analytics/company/sz/300921/300921/detail</t>
  </si>
  <si>
    <t>天秦装备</t>
  </si>
  <si>
    <t>www.lixinger.com/analytics/company/sz/300922/300922/detail</t>
  </si>
  <si>
    <t>研奥股份</t>
  </si>
  <si>
    <t>www.lixinger.com/analytics/company/sz/300923/300923/detail</t>
  </si>
  <si>
    <t>法本信息</t>
  </si>
  <si>
    <t>www.lixinger.com/analytics/company/sz/300925/300925/detail</t>
  </si>
  <si>
    <t>博俊科技</t>
  </si>
  <si>
    <t>www.lixinger.com/analytics/company/sz/300926/300926/detail</t>
  </si>
  <si>
    <t>江天化学</t>
  </si>
  <si>
    <t>www.lixinger.com/analytics/company/sz/300927/300927/detail</t>
  </si>
  <si>
    <t>华安鑫创</t>
  </si>
  <si>
    <t>www.lixinger.com/analytics/company/sz/300928/300928/detail</t>
  </si>
  <si>
    <t>华骐环保</t>
  </si>
  <si>
    <t>www.lixinger.com/analytics/company/sz/300929/300929/detail</t>
  </si>
  <si>
    <t>屹通新材</t>
  </si>
  <si>
    <t>www.lixinger.com/analytics/company/sz/300930/300930/detail</t>
  </si>
  <si>
    <t>通用电梯</t>
  </si>
  <si>
    <t>www.lixinger.com/analytics/company/sz/300931/300931/detail</t>
  </si>
  <si>
    <t>三友联众</t>
  </si>
  <si>
    <t>www.lixinger.com/analytics/company/sz/300932/300932/detail</t>
  </si>
  <si>
    <t>中辰股份</t>
  </si>
  <si>
    <t>www.lixinger.com/analytics/company/sz/300933/300933/detail</t>
  </si>
  <si>
    <t>盈建科</t>
  </si>
  <si>
    <t>www.lixinger.com/analytics/company/sz/300935/300935/detail</t>
  </si>
  <si>
    <t>中英科技</t>
  </si>
  <si>
    <t>www.lixinger.com/analytics/company/sz/300936/300936/detail</t>
  </si>
  <si>
    <t>药易购</t>
  </si>
  <si>
    <t>www.lixinger.com/analytics/company/sz/300937/300937/detail</t>
  </si>
  <si>
    <t>信测标准</t>
  </si>
  <si>
    <t>www.lixinger.com/analytics/company/sz/300938/300938/detail</t>
  </si>
  <si>
    <t>秋田微</t>
  </si>
  <si>
    <t>www.lixinger.com/analytics/company/sz/300939/300939/detail</t>
  </si>
  <si>
    <t>南极光</t>
  </si>
  <si>
    <t>www.lixinger.com/analytics/company/sz/300940/300940/detail</t>
  </si>
  <si>
    <t>创识科技</t>
  </si>
  <si>
    <t>www.lixinger.com/analytics/company/sz/300941/300941/detail</t>
  </si>
  <si>
    <t>易瑞生物</t>
  </si>
  <si>
    <t>www.lixinger.com/analytics/company/sz/300942/300942/detail</t>
  </si>
  <si>
    <t>春晖智控</t>
  </si>
  <si>
    <t>www.lixinger.com/analytics/company/sz/300943/300943/detail</t>
  </si>
  <si>
    <t>曼卡龙</t>
  </si>
  <si>
    <t>www.lixinger.com/analytics/company/sz/300945/300945/detail</t>
  </si>
  <si>
    <t>恒而达</t>
  </si>
  <si>
    <t>www.lixinger.com/analytics/company/sz/300946/300946/detail</t>
  </si>
  <si>
    <t>德必集团</t>
  </si>
  <si>
    <t>www.lixinger.com/analytics/company/sz/300947/300947/detail</t>
  </si>
  <si>
    <t>冠中生态</t>
  </si>
  <si>
    <t>www.lixinger.com/analytics/company/sz/300948/300948/detail</t>
  </si>
  <si>
    <t>奥雅设计</t>
  </si>
  <si>
    <t>www.lixinger.com/analytics/company/sz/300949/300949/detail</t>
  </si>
  <si>
    <t>德固特</t>
  </si>
  <si>
    <t>www.lixinger.com/analytics/company/sz/300950/300950/detail</t>
  </si>
  <si>
    <t>博硕科技</t>
  </si>
  <si>
    <t>www.lixinger.com/analytics/company/sz/300951/300951/detail</t>
  </si>
  <si>
    <t>恒辉安防</t>
  </si>
  <si>
    <t>www.lixinger.com/analytics/company/sz/300952/300952/detail</t>
  </si>
  <si>
    <t>震裕科技</t>
  </si>
  <si>
    <t>www.lixinger.com/analytics/company/sz/300953/300953/detail</t>
  </si>
  <si>
    <t>嘉亨家化</t>
  </si>
  <si>
    <t>www.lixinger.com/analytics/company/sz/300955/300955/detail</t>
  </si>
  <si>
    <t>英力股份</t>
  </si>
  <si>
    <t>www.lixinger.com/analytics/company/sz/300956/300956/detail</t>
  </si>
  <si>
    <t>贝泰妮</t>
  </si>
  <si>
    <t>www.lixinger.com/analytics/company/sz/300957/300957/detail</t>
  </si>
  <si>
    <t>建工修复</t>
  </si>
  <si>
    <t>www.lixinger.com/analytics/company/sz/300958/300958/detail</t>
  </si>
  <si>
    <t>线上线下</t>
  </si>
  <si>
    <t>www.lixinger.com/analytics/company/sz/300959/300959/detail</t>
  </si>
  <si>
    <t>通业科技</t>
  </si>
  <si>
    <t>www.lixinger.com/analytics/company/sz/300960/300960/detail</t>
  </si>
  <si>
    <t>深水海纳</t>
  </si>
  <si>
    <t>www.lixinger.com/analytics/company/sz/300961/300961/detail</t>
  </si>
  <si>
    <t>中金辐照</t>
  </si>
  <si>
    <t>其他专业服务</t>
  </si>
  <si>
    <t>www.lixinger.com/analytics/company/sz/300962/300962/detail</t>
  </si>
  <si>
    <t>中洲特材</t>
  </si>
  <si>
    <t>www.lixinger.com/analytics/company/sz/300963/300963/detail</t>
  </si>
  <si>
    <t>本川智能</t>
  </si>
  <si>
    <t>www.lixinger.com/analytics/company/sz/300964/300964/detail</t>
  </si>
  <si>
    <t>恒宇信通</t>
  </si>
  <si>
    <t>www.lixinger.com/analytics/company/sz/300965/300965/detail</t>
  </si>
  <si>
    <t>共同药业</t>
  </si>
  <si>
    <t>www.lixinger.com/analytics/company/sz/300966/300966/detail</t>
  </si>
  <si>
    <t>晓鸣股份</t>
  </si>
  <si>
    <t>www.lixinger.com/analytics/company/sz/300967/300967/detail</t>
  </si>
  <si>
    <t>格林精密</t>
  </si>
  <si>
    <t>www.lixinger.com/analytics/company/sz/300968/300968/detail</t>
  </si>
  <si>
    <t>恒帅股份</t>
  </si>
  <si>
    <t>www.lixinger.com/analytics/company/sz/300969/300969/detail</t>
  </si>
  <si>
    <t>华绿生物</t>
  </si>
  <si>
    <t>www.lixinger.com/analytics/company/sz/300970/300970/detail</t>
  </si>
  <si>
    <t>博亚精工</t>
  </si>
  <si>
    <t>www.lixinger.com/analytics/company/sz/300971/300971/detail</t>
  </si>
  <si>
    <t>万辰生物</t>
  </si>
  <si>
    <t>www.lixinger.com/analytics/company/sz/300972/300972/detail</t>
  </si>
  <si>
    <t>立高食品</t>
  </si>
  <si>
    <t>www.lixinger.com/analytics/company/sz/300973/300973/detail</t>
  </si>
  <si>
    <t>商络电子</t>
  </si>
  <si>
    <t>www.lixinger.com/analytics/company/sz/300975/300975/detail</t>
  </si>
  <si>
    <t>达瑞电子</t>
  </si>
  <si>
    <t>www.lixinger.com/analytics/company/sz/300976/300976/detail</t>
  </si>
  <si>
    <t>深圳瑞捷</t>
  </si>
  <si>
    <t>www.lixinger.com/analytics/company/sz/300977/300977/detail</t>
  </si>
  <si>
    <t>东箭科技</t>
  </si>
  <si>
    <t>www.lixinger.com/analytics/company/sz/300978/300978/detail</t>
  </si>
  <si>
    <t>华利集团</t>
  </si>
  <si>
    <t>纺织鞋类制造</t>
  </si>
  <si>
    <t>www.lixinger.com/analytics/company/sz/300979/300979/detail</t>
  </si>
  <si>
    <t>祥源新材</t>
  </si>
  <si>
    <t>www.lixinger.com/analytics/company/sz/300980/300980/detail</t>
  </si>
  <si>
    <t>中红医疗</t>
  </si>
  <si>
    <t>www.lixinger.com/analytics/company/sz/300981/300981/detail</t>
  </si>
  <si>
    <t>苏文电能</t>
  </si>
  <si>
    <t>www.lixinger.com/analytics/company/sz/300982/300982/detail</t>
  </si>
  <si>
    <t>尤安设计</t>
  </si>
  <si>
    <t>www.lixinger.com/analytics/company/sz/300983/300983/detail</t>
  </si>
  <si>
    <t>金沃股份</t>
  </si>
  <si>
    <t>www.lixinger.com/analytics/company/sz/300984/300984/detail</t>
  </si>
  <si>
    <t>致远新能</t>
  </si>
  <si>
    <t>www.lixinger.com/analytics/company/sz/300985/300985/detail</t>
  </si>
  <si>
    <t>志特新材</t>
  </si>
  <si>
    <t>www.lixinger.com/analytics/company/sz/300986/300986/detail</t>
  </si>
  <si>
    <t>川网传媒</t>
  </si>
  <si>
    <t>www.lixinger.com/analytics/company/sz/300987/300987/detail</t>
  </si>
  <si>
    <t>津荣天宇</t>
  </si>
  <si>
    <t>www.lixinger.com/analytics/company/sz/300988/300988/detail</t>
  </si>
  <si>
    <t>蕾奥规划</t>
  </si>
  <si>
    <t>www.lixinger.com/analytics/company/sz/300989/300989/detail</t>
  </si>
  <si>
    <t>同飞股份</t>
  </si>
  <si>
    <t>www.lixinger.com/analytics/company/sz/300990/300990/detail</t>
  </si>
  <si>
    <t>创益通</t>
  </si>
  <si>
    <t>www.lixinger.com/analytics/company/sz/300991/300991/detail</t>
  </si>
  <si>
    <t>泰福泵业</t>
  </si>
  <si>
    <t>www.lixinger.com/analytics/company/sz/300992/300992/detail</t>
  </si>
  <si>
    <t>玉马遮阳</t>
  </si>
  <si>
    <t>www.lixinger.com/analytics/company/sz/300993/300993/detail</t>
  </si>
  <si>
    <t>久祺股份</t>
  </si>
  <si>
    <t>www.lixinger.com/analytics/company/sz/300994/300994/detail</t>
  </si>
  <si>
    <t>奇德新材</t>
  </si>
  <si>
    <t>www.lixinger.com/analytics/company/sz/300995/300995/detail</t>
  </si>
  <si>
    <t>普联软件</t>
  </si>
  <si>
    <t>www.lixinger.com/analytics/company/sz/300996/300996/detail</t>
  </si>
  <si>
    <t>欢乐家</t>
  </si>
  <si>
    <t>www.lixinger.com/analytics/company/sz/300997/300997/detail</t>
  </si>
  <si>
    <t>宁波方正</t>
  </si>
  <si>
    <t>www.lixinger.com/analytics/company/sz/300998/300998/detail</t>
  </si>
  <si>
    <t>金龙鱼</t>
  </si>
  <si>
    <t>www.lixinger.com/analytics/company/sz/300999/300999/detail</t>
  </si>
  <si>
    <t>肇民科技</t>
  </si>
  <si>
    <t>www.lixinger.com/analytics/company/sz/301000/301000/detail</t>
  </si>
  <si>
    <t>凯淳股份</t>
  </si>
  <si>
    <t>www.lixinger.com/analytics/company/sz/301001/301001/detail</t>
  </si>
  <si>
    <t>崧盛股份</t>
  </si>
  <si>
    <t>www.lixinger.com/analytics/company/sz/301002/301002/detail</t>
  </si>
  <si>
    <t>江苏博云</t>
  </si>
  <si>
    <t>www.lixinger.com/analytics/company/sz/301003/301003/detail</t>
  </si>
  <si>
    <t>嘉益股份</t>
  </si>
  <si>
    <t>www.lixinger.com/analytics/company/sz/301004/301004/detail</t>
  </si>
  <si>
    <t>超捷股份</t>
  </si>
  <si>
    <t>www.lixinger.com/analytics/company/sz/301005/301005/detail</t>
  </si>
  <si>
    <t>迈拓股份</t>
  </si>
  <si>
    <t>www.lixinger.com/analytics/company/sz/301006/301006/detail</t>
  </si>
  <si>
    <t>德迈仕</t>
  </si>
  <si>
    <t>www.lixinger.com/analytics/company/sz/301007/301007/detail</t>
  </si>
  <si>
    <t>宏昌科技</t>
  </si>
  <si>
    <t>www.lixinger.com/analytics/company/sz/301008/301008/detail</t>
  </si>
  <si>
    <t>可靠股份</t>
  </si>
  <si>
    <t>www.lixinger.com/analytics/company/sz/301009/301009/detail</t>
  </si>
  <si>
    <t>晶雪节能</t>
  </si>
  <si>
    <t>www.lixinger.com/analytics/company/sz/301010/301010/detail</t>
  </si>
  <si>
    <t>华立科技</t>
  </si>
  <si>
    <t>www.lixinger.com/analytics/company/sz/301011/301011/detail</t>
  </si>
  <si>
    <t>扬电科技</t>
  </si>
  <si>
    <t>www.lixinger.com/analytics/company/sz/301012/301012/detail</t>
  </si>
  <si>
    <t>利和兴</t>
  </si>
  <si>
    <t>www.lixinger.com/analytics/company/sz/301013/301013/detail</t>
  </si>
  <si>
    <t>百洋医药</t>
  </si>
  <si>
    <t>www.lixinger.com/analytics/company/sz/301015/301015/detail</t>
  </si>
  <si>
    <t>雷尔伟</t>
  </si>
  <si>
    <t>www.lixinger.com/analytics/company/sz/301016/301016/detail</t>
  </si>
  <si>
    <t>漱玉平民</t>
  </si>
  <si>
    <t>www.lixinger.com/analytics/company/sz/301017/301017/detail</t>
  </si>
  <si>
    <t>申菱环境</t>
  </si>
  <si>
    <t>www.lixinger.com/analytics/company/sz/301018/301018/detail</t>
  </si>
  <si>
    <t>宁波色母</t>
  </si>
  <si>
    <t>www.lixinger.com/analytics/company/sz/301019/301019/detail</t>
  </si>
  <si>
    <t>密封科技</t>
  </si>
  <si>
    <t>www.lixinger.com/analytics/company/sz/301020/301020/detail</t>
  </si>
  <si>
    <t>英诺激光</t>
  </si>
  <si>
    <t>www.lixinger.com/analytics/company/sz/301021/301021/detail</t>
  </si>
  <si>
    <t>海泰科</t>
  </si>
  <si>
    <t>www.lixinger.com/analytics/company/sz/301022/301022/detail</t>
  </si>
  <si>
    <t>江南奕帆</t>
  </si>
  <si>
    <t>www.lixinger.com/analytics/company/sz/301023/301023/detail</t>
  </si>
  <si>
    <t>霍普股份</t>
  </si>
  <si>
    <t>www.lixinger.com/analytics/company/sz/301024/301024/detail</t>
  </si>
  <si>
    <t>读客文化</t>
  </si>
  <si>
    <t>www.lixinger.com/analytics/company/sz/301025/301025/detail</t>
  </si>
  <si>
    <t>浩通科技</t>
  </si>
  <si>
    <t>www.lixinger.com/analytics/company/sz/301026/301026/detail</t>
  </si>
  <si>
    <t>华蓝集团</t>
  </si>
  <si>
    <t>www.lixinger.com/analytics/company/sz/301027/301027/detail</t>
  </si>
  <si>
    <t>东亚机械</t>
  </si>
  <si>
    <t>www.lixinger.com/analytics/company/sz/301028/301028/detail</t>
  </si>
  <si>
    <t>怡合达</t>
  </si>
  <si>
    <t>www.lixinger.com/analytics/company/sz/301029/301029/detail</t>
  </si>
  <si>
    <t>仕净科技</t>
  </si>
  <si>
    <t>www.lixinger.com/analytics/company/sz/301030/301030/detail</t>
  </si>
  <si>
    <t>中熔电气</t>
  </si>
  <si>
    <t>www.lixinger.com/analytics/company/sz/301031/301031/detail</t>
  </si>
  <si>
    <t>新柴股份</t>
  </si>
  <si>
    <t>www.lixinger.com/analytics/company/sz/301032/301032/detail</t>
  </si>
  <si>
    <t>迈普医学</t>
  </si>
  <si>
    <t>www.lixinger.com/analytics/company/sz/301033/301033/detail</t>
  </si>
  <si>
    <t>润丰股份</t>
  </si>
  <si>
    <t>www.lixinger.com/analytics/company/sz/301035/301035/detail</t>
  </si>
  <si>
    <t>双乐股份</t>
  </si>
  <si>
    <t>www.lixinger.com/analytics/company/sz/301036/301036/detail</t>
  </si>
  <si>
    <t>保立佳</t>
  </si>
  <si>
    <t>www.lixinger.com/analytics/company/sz/301037/301037/detail</t>
  </si>
  <si>
    <t>深水规院</t>
  </si>
  <si>
    <t>www.lixinger.com/analytics/company/sz/301038/301038/detail</t>
  </si>
  <si>
    <t>中集车辆</t>
  </si>
  <si>
    <t>www.lixinger.com/analytics/company/sz/301039/301039/detail</t>
  </si>
  <si>
    <t>中环海陆</t>
  </si>
  <si>
    <t>www.lixinger.com/analytics/company/sz/301040/301040/detail</t>
  </si>
  <si>
    <t>金百泽</t>
  </si>
  <si>
    <t>www.lixinger.com/analytics/company/sz/301041/301041/detail</t>
  </si>
  <si>
    <t>安联锐视</t>
  </si>
  <si>
    <t>www.lixinger.com/analytics/company/sz/301042/301042/detail</t>
  </si>
  <si>
    <t>绿岛风</t>
  </si>
  <si>
    <t>www.lixinger.com/analytics/company/sz/301043/301043/detail</t>
  </si>
  <si>
    <t>天禄科技</t>
  </si>
  <si>
    <t>www.lixinger.com/analytics/company/sz/301045/301045/detail</t>
  </si>
  <si>
    <t>能辉科技</t>
  </si>
  <si>
    <t>www.lixinger.com/analytics/company/sz/301046/301046/detail</t>
  </si>
  <si>
    <t>义翘神州</t>
  </si>
  <si>
    <t>www.lixinger.com/analytics/company/sz/301047/301047/detail</t>
  </si>
  <si>
    <t>金鹰重工</t>
  </si>
  <si>
    <t>www.lixinger.com/analytics/company/sz/301048/301048/detail</t>
  </si>
  <si>
    <t>超越科技</t>
  </si>
  <si>
    <t>www.lixinger.com/analytics/company/sz/301049/301049/detail</t>
  </si>
  <si>
    <t>雷电微力</t>
  </si>
  <si>
    <t>www.lixinger.com/analytics/company/sz/301050/301050/detail</t>
  </si>
  <si>
    <t>信濠光电</t>
  </si>
  <si>
    <t>www.lixinger.com/analytics/company/sz/301051/301051/detail</t>
  </si>
  <si>
    <t>果麦文化</t>
  </si>
  <si>
    <t>www.lixinger.com/analytics/company/sz/301052/301052/detail</t>
  </si>
  <si>
    <t>远信工业</t>
  </si>
  <si>
    <t>www.lixinger.com/analytics/company/sz/301053/301053/detail</t>
  </si>
  <si>
    <t>张小泉</t>
  </si>
  <si>
    <t>www.lixinger.com/analytics/company/sz/301055/301055/detail</t>
  </si>
  <si>
    <t>森赫股份</t>
  </si>
  <si>
    <t>www.lixinger.com/analytics/company/sz/301056/301056/detail</t>
  </si>
  <si>
    <t>汇隆新材</t>
  </si>
  <si>
    <t>www.lixinger.com/analytics/company/sz/301057/301057/detail</t>
  </si>
  <si>
    <t>中粮工科</t>
  </si>
  <si>
    <t>www.lixinger.com/analytics/company/sz/301058/301058/detail</t>
  </si>
  <si>
    <t>金三江</t>
  </si>
  <si>
    <t>www.lixinger.com/analytics/company/sz/301059/301059/detail</t>
  </si>
  <si>
    <t>兰卫医学</t>
  </si>
  <si>
    <t>www.lixinger.com/analytics/company/sz/301060/301060/detail</t>
  </si>
  <si>
    <t>匠心家居</t>
  </si>
  <si>
    <t>www.lixinger.com/analytics/company/sz/301061/301061/detail</t>
  </si>
  <si>
    <t>上海艾录</t>
  </si>
  <si>
    <t>www.lixinger.com/analytics/company/sz/301062/301062/detail</t>
  </si>
  <si>
    <t>海锅股份</t>
  </si>
  <si>
    <t>www.lixinger.com/analytics/company/sz/301063/301063/detail</t>
  </si>
  <si>
    <t>本立科技</t>
  </si>
  <si>
    <t>www.lixinger.com/analytics/company/sz/301065/301065/detail</t>
  </si>
  <si>
    <t>万事利</t>
  </si>
  <si>
    <t>www.lixinger.com/analytics/company/sz/301066/301066/detail</t>
  </si>
  <si>
    <t>显盈科技</t>
  </si>
  <si>
    <t>www.lixinger.com/analytics/company/sz/301067/301067/detail</t>
  </si>
  <si>
    <t>大地海洋</t>
  </si>
  <si>
    <t>www.lixinger.com/analytics/company/sz/301068/301068/detail</t>
  </si>
  <si>
    <t>凯盛新材</t>
  </si>
  <si>
    <t>www.lixinger.com/analytics/company/sz/301069/301069/detail</t>
  </si>
  <si>
    <t>开勒股份</t>
  </si>
  <si>
    <t>www.lixinger.com/analytics/company/sz/301070/301070/detail</t>
  </si>
  <si>
    <t>力量钻石</t>
  </si>
  <si>
    <t>www.lixinger.com/analytics/company/sz/301071/301071/detail</t>
  </si>
  <si>
    <t>中捷精工</t>
  </si>
  <si>
    <t>www.lixinger.com/analytics/company/sz/301072/301072/detail</t>
  </si>
  <si>
    <t>君亭酒店</t>
  </si>
  <si>
    <t>www.lixinger.com/analytics/company/sz/301073/301073/detail</t>
  </si>
  <si>
    <t>多瑞医药</t>
  </si>
  <si>
    <t>www.lixinger.com/analytics/company/sz/301075/301075/detail</t>
  </si>
  <si>
    <t>新瀚新材</t>
  </si>
  <si>
    <t>www.lixinger.com/analytics/company/sz/301076/301076/detail</t>
  </si>
  <si>
    <t>星华反光</t>
  </si>
  <si>
    <t>www.lixinger.com/analytics/company/sz/301077/301077/detail</t>
  </si>
  <si>
    <t>孩子王</t>
  </si>
  <si>
    <t>www.lixinger.com/analytics/company/sz/301078/301078/detail</t>
  </si>
  <si>
    <t>邵阳液压</t>
  </si>
  <si>
    <t>www.lixinger.com/analytics/company/sz/301079/301079/detail</t>
  </si>
  <si>
    <t>百普赛斯</t>
  </si>
  <si>
    <t>www.lixinger.com/analytics/company/sz/301080/301080/detail</t>
  </si>
  <si>
    <t>严牌股份</t>
  </si>
  <si>
    <t>www.lixinger.com/analytics/company/sz/301081/301081/detail</t>
  </si>
  <si>
    <t>久盛电气</t>
  </si>
  <si>
    <t>www.lixinger.com/analytics/company/sz/301082/301082/detail</t>
  </si>
  <si>
    <t>百胜智能</t>
  </si>
  <si>
    <t>www.lixinger.com/analytics/company/sz/301083/301083/detail</t>
  </si>
  <si>
    <t>亚康股份</t>
  </si>
  <si>
    <t>www.lixinger.com/analytics/company/sz/301085/301085/detail</t>
  </si>
  <si>
    <t>鸿富瀚</t>
  </si>
  <si>
    <t>www.lixinger.com/analytics/company/sz/301086/301086/detail</t>
  </si>
  <si>
    <t>可孚医疗</t>
  </si>
  <si>
    <t>www.lixinger.com/analytics/company/sz/301087/301087/detail</t>
  </si>
  <si>
    <t>戎美股份</t>
  </si>
  <si>
    <t>www.lixinger.com/analytics/company/sz/301088/301088/detail</t>
  </si>
  <si>
    <t>拓新药业</t>
  </si>
  <si>
    <t>www.lixinger.com/analytics/company/sz/301089/301089/detail</t>
  </si>
  <si>
    <t>华润材料</t>
  </si>
  <si>
    <t>www.lixinger.com/analytics/company/sz/301090/301090/detail</t>
  </si>
  <si>
    <t>深城交</t>
  </si>
  <si>
    <t>www.lixinger.com/analytics/company/sz/301091/301091/detail</t>
  </si>
  <si>
    <t>争光股份</t>
  </si>
  <si>
    <t>www.lixinger.com/analytics/company/sz/301092/301092/detail</t>
  </si>
  <si>
    <t>华兰股份</t>
  </si>
  <si>
    <t>www.lixinger.com/analytics/company/sz/301093/301093/detail</t>
  </si>
  <si>
    <t>百诚医药</t>
  </si>
  <si>
    <t>www.lixinger.com/analytics/company/sz/301096/301096/detail</t>
  </si>
  <si>
    <t>天益医疗</t>
  </si>
  <si>
    <t>www.lixinger.com/analytics/company/sz/301097/301097/detail</t>
  </si>
  <si>
    <t>金埔园林</t>
  </si>
  <si>
    <t>www.lixinger.com/analytics/company/sz/301098/301098/detail</t>
  </si>
  <si>
    <t>雅创电子</t>
  </si>
  <si>
    <t>www.lixinger.com/analytics/company/sz/301099/301099/detail</t>
  </si>
  <si>
    <t>风光股份</t>
  </si>
  <si>
    <t>www.lixinger.com/analytics/company/sz/301100/301100/detail</t>
  </si>
  <si>
    <t>明月镜片</t>
  </si>
  <si>
    <t>www.lixinger.com/analytics/company/sz/301101/301101/detail</t>
  </si>
  <si>
    <t>兆讯传媒</t>
  </si>
  <si>
    <t>www.lixinger.com/analytics/company/sz/301102/301102/detail</t>
  </si>
  <si>
    <t>何氏眼科</t>
  </si>
  <si>
    <t>www.lixinger.com/analytics/company/sz/301103/301103/detail</t>
  </si>
  <si>
    <t>骏成科技</t>
  </si>
  <si>
    <t>www.lixinger.com/analytics/company/sz/301106/301106/detail</t>
  </si>
  <si>
    <t>洁雅股份</t>
  </si>
  <si>
    <t>www.lixinger.com/analytics/company/sz/301108/301108/detail</t>
  </si>
  <si>
    <t>军信股份</t>
  </si>
  <si>
    <t>www.lixinger.com/analytics/company/sz/301109/301109/detail</t>
  </si>
  <si>
    <t>青木股份</t>
  </si>
  <si>
    <t>www.lixinger.com/analytics/company/sz/301110/301110/detail</t>
  </si>
  <si>
    <t>粤万年青</t>
  </si>
  <si>
    <t>www.lixinger.com/analytics/company/sz/301111/301111/detail</t>
  </si>
  <si>
    <t>雅艺科技</t>
  </si>
  <si>
    <t>www.lixinger.com/analytics/company/sz/301113/301113/detail</t>
  </si>
  <si>
    <t>益客食品</t>
  </si>
  <si>
    <t>www.lixinger.com/analytics/company/sz/301116/301116/detail</t>
  </si>
  <si>
    <t>佳缘科技</t>
  </si>
  <si>
    <t>www.lixinger.com/analytics/company/sz/301117/301117/detail</t>
  </si>
  <si>
    <t>恒光股份</t>
  </si>
  <si>
    <t>www.lixinger.com/analytics/company/sz/301118/301118/detail</t>
  </si>
  <si>
    <t>正强股份</t>
  </si>
  <si>
    <t>www.lixinger.com/analytics/company/sz/301119/301119/detail</t>
  </si>
  <si>
    <t>新特电气</t>
  </si>
  <si>
    <t>www.lixinger.com/analytics/company/sz/301120/301120/detail</t>
  </si>
  <si>
    <t>采纳股份</t>
  </si>
  <si>
    <t>www.lixinger.com/analytics/company/sz/301122/301122/detail</t>
  </si>
  <si>
    <t>奕东电子</t>
  </si>
  <si>
    <t>www.lixinger.com/analytics/company/sz/301123/301123/detail</t>
  </si>
  <si>
    <t>达嘉维康</t>
  </si>
  <si>
    <t>www.lixinger.com/analytics/company/sz/301126/301126/detail</t>
  </si>
  <si>
    <t>天源环保</t>
  </si>
  <si>
    <t>www.lixinger.com/analytics/company/sz/301127/301127/detail</t>
  </si>
  <si>
    <t>强瑞技术</t>
  </si>
  <si>
    <t>www.lixinger.com/analytics/company/sz/301128/301128/detail</t>
  </si>
  <si>
    <t>瑞纳智能</t>
  </si>
  <si>
    <t>www.lixinger.com/analytics/company/sz/301129/301129/detail</t>
  </si>
  <si>
    <t>西点药业</t>
  </si>
  <si>
    <t>www.lixinger.com/analytics/company/sz/301130/301130/detail</t>
  </si>
  <si>
    <t>聚赛龙</t>
  </si>
  <si>
    <t>www.lixinger.com/analytics/company/sz/301131/301131/detail</t>
  </si>
  <si>
    <t>金钟股份</t>
  </si>
  <si>
    <t>www.lixinger.com/analytics/company/sz/301133/301133/detail</t>
  </si>
  <si>
    <t>瑞德智能</t>
  </si>
  <si>
    <t>www.lixinger.com/analytics/company/sz/301135/301135/detail</t>
  </si>
  <si>
    <t>招标股份</t>
  </si>
  <si>
    <t>www.lixinger.com/analytics/company/sz/301136/301136/detail</t>
  </si>
  <si>
    <t>哈焊华通</t>
  </si>
  <si>
    <t>www.lixinger.com/analytics/company/sz/301137/301137/detail</t>
  </si>
  <si>
    <t>华研精机</t>
  </si>
  <si>
    <t>www.lixinger.com/analytics/company/sz/301138/301138/detail</t>
  </si>
  <si>
    <t>嘉戎技术</t>
  </si>
  <si>
    <t>www.lixinger.com/analytics/company/sz/301148/301148/detail</t>
  </si>
  <si>
    <t>隆华新材</t>
  </si>
  <si>
    <t>www.lixinger.com/analytics/company/sz/301149/301149/detail</t>
  </si>
  <si>
    <t>中一科技</t>
  </si>
  <si>
    <t>www.lixinger.com/analytics/company/sz/301150/301150/detail</t>
  </si>
  <si>
    <t>冠龙节能</t>
  </si>
  <si>
    <t>www.lixinger.com/analytics/company/sz/301151/301151/detail</t>
  </si>
  <si>
    <t>中科江南</t>
  </si>
  <si>
    <t>www.lixinger.com/analytics/company/sz/301153/301153/detail</t>
  </si>
  <si>
    <t>海力风电</t>
  </si>
  <si>
    <t>www.lixinger.com/analytics/company/sz/301155/301155/detail</t>
  </si>
  <si>
    <t>德石股份</t>
  </si>
  <si>
    <t>www.lixinger.com/analytics/company/sz/301158/301158/detail</t>
  </si>
  <si>
    <t>三维天地</t>
  </si>
  <si>
    <t>www.lixinger.com/analytics/company/sz/301159/301159/detail</t>
  </si>
  <si>
    <t>国能日新</t>
  </si>
  <si>
    <t>www.lixinger.com/analytics/company/sz/301162/301162/detail</t>
  </si>
  <si>
    <t>宏德股份</t>
  </si>
  <si>
    <t>www.lixinger.com/analytics/company/sz/301163/301163/detail</t>
  </si>
  <si>
    <t>优宁维</t>
  </si>
  <si>
    <t>www.lixinger.com/analytics/company/sz/301166/301166/detail</t>
  </si>
  <si>
    <t>建研设计</t>
  </si>
  <si>
    <t>www.lixinger.com/analytics/company/sz/301167/301167/detail</t>
  </si>
  <si>
    <t>通灵股份</t>
  </si>
  <si>
    <t>www.lixinger.com/analytics/company/sz/301168/301168/detail</t>
  </si>
  <si>
    <t>零点有数</t>
  </si>
  <si>
    <t>www.lixinger.com/analytics/company/sz/301169/301169/detail</t>
  </si>
  <si>
    <t>迪阿股份</t>
  </si>
  <si>
    <t>www.lixinger.com/analytics/company/sz/301177/301177/detail</t>
  </si>
  <si>
    <t>天亿马</t>
  </si>
  <si>
    <t>www.lixinger.com/analytics/company/sz/301178/301178/detail</t>
  </si>
  <si>
    <t>泽宇智能</t>
  </si>
  <si>
    <t>www.lixinger.com/analytics/company/sz/301179/301179/detail</t>
  </si>
  <si>
    <t>万祥科技</t>
  </si>
  <si>
    <t>www.lixinger.com/analytics/company/sz/301180/301180/detail</t>
  </si>
  <si>
    <t>标榜股份</t>
  </si>
  <si>
    <t>www.lixinger.com/analytics/company/sz/301181/301181/detail</t>
  </si>
  <si>
    <t>凯旺科技</t>
  </si>
  <si>
    <t>www.lixinger.com/analytics/company/sz/301182/301182/detail</t>
  </si>
  <si>
    <t>鸥玛软件</t>
  </si>
  <si>
    <t>www.lixinger.com/analytics/company/sz/301185/301185/detail</t>
  </si>
  <si>
    <t>超达装备</t>
  </si>
  <si>
    <t>www.lixinger.com/analytics/company/sz/301186/301186/detail</t>
  </si>
  <si>
    <t>欧圣电气</t>
  </si>
  <si>
    <t>www.lixinger.com/analytics/company/sz/301187/301187/detail</t>
  </si>
  <si>
    <t>力诺特玻</t>
  </si>
  <si>
    <t>www.lixinger.com/analytics/company/sz/301188/301188/detail</t>
  </si>
  <si>
    <t>奥尼电子</t>
  </si>
  <si>
    <t>www.lixinger.com/analytics/company/sz/301189/301189/detail</t>
  </si>
  <si>
    <t>善水科技</t>
  </si>
  <si>
    <t>www.lixinger.com/analytics/company/sz/301190/301190/detail</t>
  </si>
  <si>
    <t>家联科技</t>
  </si>
  <si>
    <t>www.lixinger.com/analytics/company/sz/301193/301193/detail</t>
  </si>
  <si>
    <t>唯科科技</t>
  </si>
  <si>
    <t>www.lixinger.com/analytics/company/sz/301196/301196/detail</t>
  </si>
  <si>
    <t>喜悦智行</t>
  </si>
  <si>
    <t>www.lixinger.com/analytics/company/sz/301198/301198/detail</t>
  </si>
  <si>
    <t>迈赫股份</t>
  </si>
  <si>
    <t>www.lixinger.com/analytics/company/sz/301199/301199/detail</t>
  </si>
  <si>
    <t>大族数控</t>
  </si>
  <si>
    <t>www.lixinger.com/analytics/company/sz/301200/301200/detail</t>
  </si>
  <si>
    <t>诚达药业</t>
  </si>
  <si>
    <t>www.lixinger.com/analytics/company/sz/301201/301201/detail</t>
  </si>
  <si>
    <t>三元生物</t>
  </si>
  <si>
    <t>www.lixinger.com/analytics/company/sz/301206/301206/detail</t>
  </si>
  <si>
    <t>华兰疫苗</t>
  </si>
  <si>
    <t>www.lixinger.com/analytics/company/sz/301207/301207/detail</t>
  </si>
  <si>
    <t>亨迪药业</t>
  </si>
  <si>
    <t>www.lixinger.com/analytics/company/sz/301211/301211/detail</t>
  </si>
  <si>
    <t>联盛化学</t>
  </si>
  <si>
    <t>www.lixinger.com/analytics/company/sz/301212/301212/detail</t>
  </si>
  <si>
    <t>观想科技</t>
  </si>
  <si>
    <t>www.lixinger.com/analytics/company/sz/301213/301213/detail</t>
  </si>
  <si>
    <t>中汽股份</t>
  </si>
  <si>
    <t>www.lixinger.com/analytics/company/sz/301215/301215/detail</t>
  </si>
  <si>
    <t>万凯新材</t>
  </si>
  <si>
    <t>www.lixinger.com/analytics/company/sz/301216/301216/detail</t>
  </si>
  <si>
    <t>铜冠铜箔</t>
  </si>
  <si>
    <t>www.lixinger.com/analytics/company/sz/301217/301217/detail</t>
  </si>
  <si>
    <t>华是科技</t>
  </si>
  <si>
    <t>www.lixinger.com/analytics/company/sz/301218/301218/detail</t>
  </si>
  <si>
    <t>腾远钴业</t>
  </si>
  <si>
    <t>www.lixinger.com/analytics/company/sz/301219/301219/detail</t>
  </si>
  <si>
    <t>光庭信息</t>
  </si>
  <si>
    <t>www.lixinger.com/analytics/company/sz/301221/301221/detail</t>
  </si>
  <si>
    <t>浙江恒威</t>
  </si>
  <si>
    <t>www.lixinger.com/analytics/company/sz/301222/301222/detail</t>
  </si>
  <si>
    <t>祥明智能</t>
  </si>
  <si>
    <t>www.lixinger.com/analytics/company/sz/301226/301226/detail</t>
  </si>
  <si>
    <t>实朴检测</t>
  </si>
  <si>
    <t>www.lixinger.com/analytics/company/sz/301228/301228/detail</t>
  </si>
  <si>
    <t>纽泰格</t>
  </si>
  <si>
    <t>www.lixinger.com/analytics/company/sz/301229/301229/detail</t>
  </si>
  <si>
    <t>华康医疗</t>
  </si>
  <si>
    <t>www.lixinger.com/analytics/company/sz/301235/301235/detail</t>
  </si>
  <si>
    <t>软通动力</t>
  </si>
  <si>
    <t>www.lixinger.com/analytics/company/sz/301236/301236/detail</t>
  </si>
  <si>
    <t>和顺科技</t>
  </si>
  <si>
    <t>www.lixinger.com/analytics/company/sz/301237/301237/detail</t>
  </si>
  <si>
    <t>杰创智能</t>
  </si>
  <si>
    <t>www.lixinger.com/analytics/company/sz/301248/301248/detail</t>
  </si>
  <si>
    <t>华融化学</t>
  </si>
  <si>
    <t>www.lixinger.com/analytics/company/sz/301256/301256/detail</t>
  </si>
  <si>
    <t>普蕊斯</t>
  </si>
  <si>
    <t>www.lixinger.com/analytics/company/sz/301257/301257/detail</t>
  </si>
  <si>
    <t>富士莱</t>
  </si>
  <si>
    <t>www.lixinger.com/analytics/company/sz/301258/301258/detail</t>
  </si>
  <si>
    <t>艾布鲁</t>
  </si>
  <si>
    <t>www.lixinger.com/analytics/company/sz/301259/301259/detail</t>
  </si>
  <si>
    <t>泰恩康</t>
  </si>
  <si>
    <t>www.lixinger.com/analytics/company/sz/301263/301263/detail</t>
  </si>
  <si>
    <t>铭利达</t>
  </si>
  <si>
    <t>www.lixinger.com/analytics/company/sz/301268/301268/detail</t>
  </si>
  <si>
    <t>金道科技</t>
  </si>
  <si>
    <t>www.lixinger.com/analytics/company/sz/301279/301279/detail</t>
  </si>
  <si>
    <t>清研环境</t>
  </si>
  <si>
    <t>www.lixinger.com/analytics/company/sz/301288/301288/detail</t>
  </si>
  <si>
    <t>数据来源于：理杏仁网站(lixinger.com)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</si>
</sst>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9"/>
  <sheetViews>
    <sheetView tabSelected="1" topLeftCell="L1" workbookViewId="0">
      <selection activeCell="P1" sqref="P1:Z1048576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tr">
        <f>"600000"</f>
        <v>600000</v>
      </c>
      <c r="C2" t="s">
        <v>18</v>
      </c>
      <c r="D2" t="s">
        <v>19</v>
      </c>
      <c r="P2">
        <v>17545</v>
      </c>
      <c r="Q2" t="s">
        <v>20</v>
      </c>
    </row>
    <row r="3" spans="1:17" x14ac:dyDescent="0.3">
      <c r="A3" t="s">
        <v>17</v>
      </c>
      <c r="B3" t="str">
        <f>"600004"</f>
        <v>600004</v>
      </c>
      <c r="C3" t="s">
        <v>21</v>
      </c>
      <c r="D3" t="s">
        <v>22</v>
      </c>
      <c r="F3">
        <v>40208372</v>
      </c>
      <c r="G3">
        <v>32514659</v>
      </c>
      <c r="H3">
        <v>27722860</v>
      </c>
      <c r="I3">
        <v>31053386</v>
      </c>
      <c r="P3">
        <v>1891</v>
      </c>
      <c r="Q3" t="s">
        <v>23</v>
      </c>
    </row>
    <row r="4" spans="1:17" x14ac:dyDescent="0.3">
      <c r="A4" t="s">
        <v>17</v>
      </c>
      <c r="B4" t="str">
        <f>"600005"</f>
        <v>600005</v>
      </c>
      <c r="C4" t="s">
        <v>24</v>
      </c>
      <c r="P4">
        <v>25</v>
      </c>
      <c r="Q4" t="s">
        <v>25</v>
      </c>
    </row>
    <row r="5" spans="1:17" x14ac:dyDescent="0.3">
      <c r="A5" t="s">
        <v>17</v>
      </c>
      <c r="B5" t="str">
        <f>"600006"</f>
        <v>600006</v>
      </c>
      <c r="C5" t="s">
        <v>26</v>
      </c>
      <c r="D5" t="s">
        <v>27</v>
      </c>
      <c r="F5">
        <v>429294311</v>
      </c>
      <c r="G5">
        <v>386784639</v>
      </c>
      <c r="H5">
        <v>483940858</v>
      </c>
      <c r="I5">
        <v>491471207</v>
      </c>
      <c r="P5">
        <v>469</v>
      </c>
      <c r="Q5" t="s">
        <v>28</v>
      </c>
    </row>
    <row r="6" spans="1:17" x14ac:dyDescent="0.3">
      <c r="A6" t="s">
        <v>17</v>
      </c>
      <c r="B6" t="str">
        <f>"600007"</f>
        <v>600007</v>
      </c>
      <c r="C6" t="s">
        <v>29</v>
      </c>
      <c r="D6" t="s">
        <v>30</v>
      </c>
      <c r="F6">
        <v>0</v>
      </c>
      <c r="G6">
        <v>0</v>
      </c>
      <c r="P6">
        <v>328</v>
      </c>
      <c r="Q6" t="s">
        <v>31</v>
      </c>
    </row>
    <row r="7" spans="1:17" x14ac:dyDescent="0.3">
      <c r="A7" t="s">
        <v>17</v>
      </c>
      <c r="B7" t="str">
        <f>"600008"</f>
        <v>600008</v>
      </c>
      <c r="C7" t="s">
        <v>32</v>
      </c>
      <c r="D7" t="s">
        <v>33</v>
      </c>
      <c r="F7">
        <v>140109691</v>
      </c>
      <c r="G7">
        <v>90055605</v>
      </c>
      <c r="H7">
        <v>48495462</v>
      </c>
      <c r="I7">
        <v>28325583</v>
      </c>
      <c r="P7">
        <v>445</v>
      </c>
      <c r="Q7" t="s">
        <v>34</v>
      </c>
    </row>
    <row r="8" spans="1:17" x14ac:dyDescent="0.3">
      <c r="A8" t="s">
        <v>17</v>
      </c>
      <c r="B8" t="str">
        <f>"600009"</f>
        <v>600009</v>
      </c>
      <c r="C8" t="s">
        <v>35</v>
      </c>
      <c r="D8" t="s">
        <v>22</v>
      </c>
      <c r="F8">
        <v>0</v>
      </c>
      <c r="G8">
        <v>0</v>
      </c>
      <c r="P8">
        <v>5731</v>
      </c>
      <c r="Q8" t="s">
        <v>36</v>
      </c>
    </row>
    <row r="9" spans="1:17" x14ac:dyDescent="0.3">
      <c r="A9" t="s">
        <v>17</v>
      </c>
      <c r="B9" t="str">
        <f>"600010"</f>
        <v>600010</v>
      </c>
      <c r="C9" t="s">
        <v>37</v>
      </c>
      <c r="D9" t="s">
        <v>38</v>
      </c>
      <c r="F9">
        <v>323482147</v>
      </c>
      <c r="G9">
        <v>66002333</v>
      </c>
      <c r="H9">
        <v>59228375</v>
      </c>
      <c r="I9">
        <v>80526580</v>
      </c>
      <c r="P9">
        <v>623</v>
      </c>
      <c r="Q9" t="s">
        <v>39</v>
      </c>
    </row>
    <row r="10" spans="1:17" x14ac:dyDescent="0.3">
      <c r="A10" t="s">
        <v>17</v>
      </c>
      <c r="B10" t="str">
        <f>"600011"</f>
        <v>600011</v>
      </c>
      <c r="C10" t="s">
        <v>40</v>
      </c>
      <c r="D10" t="s">
        <v>41</v>
      </c>
      <c r="F10">
        <v>1324734581</v>
      </c>
      <c r="G10">
        <v>667592105</v>
      </c>
      <c r="H10">
        <v>65021719</v>
      </c>
      <c r="I10">
        <v>46219278</v>
      </c>
      <c r="P10">
        <v>751</v>
      </c>
      <c r="Q10" t="s">
        <v>42</v>
      </c>
    </row>
    <row r="11" spans="1:17" x14ac:dyDescent="0.3">
      <c r="A11" t="s">
        <v>17</v>
      </c>
      <c r="B11" t="str">
        <f>"600012"</f>
        <v>600012</v>
      </c>
      <c r="C11" t="s">
        <v>43</v>
      </c>
      <c r="D11" t="s">
        <v>44</v>
      </c>
      <c r="F11">
        <v>0</v>
      </c>
      <c r="G11">
        <v>0</v>
      </c>
      <c r="P11">
        <v>805</v>
      </c>
      <c r="Q11" t="s">
        <v>45</v>
      </c>
    </row>
    <row r="12" spans="1:17" x14ac:dyDescent="0.3">
      <c r="A12" t="s">
        <v>17</v>
      </c>
      <c r="B12" t="str">
        <f>"600015"</f>
        <v>600015</v>
      </c>
      <c r="C12" t="s">
        <v>46</v>
      </c>
      <c r="D12" t="s">
        <v>19</v>
      </c>
      <c r="P12">
        <v>1538</v>
      </c>
      <c r="Q12" t="s">
        <v>47</v>
      </c>
    </row>
    <row r="13" spans="1:17" x14ac:dyDescent="0.3">
      <c r="A13" t="s">
        <v>17</v>
      </c>
      <c r="B13" t="str">
        <f>"600016"</f>
        <v>600016</v>
      </c>
      <c r="C13" t="s">
        <v>48</v>
      </c>
      <c r="D13" t="s">
        <v>19</v>
      </c>
      <c r="P13">
        <v>20730</v>
      </c>
      <c r="Q13" t="s">
        <v>49</v>
      </c>
    </row>
    <row r="14" spans="1:17" x14ac:dyDescent="0.3">
      <c r="A14" t="s">
        <v>17</v>
      </c>
      <c r="B14" t="str">
        <f>"600017"</f>
        <v>600017</v>
      </c>
      <c r="C14" t="s">
        <v>50</v>
      </c>
      <c r="D14" t="s">
        <v>51</v>
      </c>
      <c r="F14">
        <v>10166063</v>
      </c>
      <c r="G14">
        <v>0</v>
      </c>
      <c r="P14">
        <v>180</v>
      </c>
      <c r="Q14" t="s">
        <v>52</v>
      </c>
    </row>
    <row r="15" spans="1:17" x14ac:dyDescent="0.3">
      <c r="A15" t="s">
        <v>17</v>
      </c>
      <c r="B15" t="str">
        <f>"600018"</f>
        <v>600018</v>
      </c>
      <c r="C15" t="s">
        <v>53</v>
      </c>
      <c r="D15" t="s">
        <v>51</v>
      </c>
      <c r="F15">
        <v>143453074</v>
      </c>
      <c r="G15">
        <v>82343710</v>
      </c>
      <c r="H15">
        <v>47207614</v>
      </c>
      <c r="I15">
        <v>51556872</v>
      </c>
      <c r="P15">
        <v>876</v>
      </c>
      <c r="Q15" t="s">
        <v>54</v>
      </c>
    </row>
    <row r="16" spans="1:17" x14ac:dyDescent="0.3">
      <c r="A16" t="s">
        <v>17</v>
      </c>
      <c r="B16" t="str">
        <f>"600019"</f>
        <v>600019</v>
      </c>
      <c r="C16" t="s">
        <v>55</v>
      </c>
      <c r="D16" t="s">
        <v>38</v>
      </c>
      <c r="F16">
        <v>11370711990</v>
      </c>
      <c r="G16">
        <v>8726308373</v>
      </c>
      <c r="H16">
        <v>8864001973</v>
      </c>
      <c r="I16">
        <v>7030591170</v>
      </c>
      <c r="P16">
        <v>2292</v>
      </c>
      <c r="Q16" t="s">
        <v>56</v>
      </c>
    </row>
    <row r="17" spans="1:17" x14ac:dyDescent="0.3">
      <c r="A17" t="s">
        <v>17</v>
      </c>
      <c r="B17" t="str">
        <f>"600020"</f>
        <v>600020</v>
      </c>
      <c r="C17" t="s">
        <v>57</v>
      </c>
      <c r="D17" t="s">
        <v>44</v>
      </c>
      <c r="F17">
        <v>369618</v>
      </c>
      <c r="G17">
        <v>2447126</v>
      </c>
      <c r="I17">
        <v>200000</v>
      </c>
      <c r="P17">
        <v>386</v>
      </c>
      <c r="Q17" t="s">
        <v>58</v>
      </c>
    </row>
    <row r="18" spans="1:17" x14ac:dyDescent="0.3">
      <c r="A18" t="s">
        <v>17</v>
      </c>
      <c r="B18" t="str">
        <f>"600021"</f>
        <v>600021</v>
      </c>
      <c r="C18" t="s">
        <v>59</v>
      </c>
      <c r="D18" t="s">
        <v>41</v>
      </c>
      <c r="F18">
        <v>186362702</v>
      </c>
      <c r="G18">
        <v>148119049</v>
      </c>
      <c r="H18">
        <v>154912073</v>
      </c>
      <c r="I18">
        <v>19454581</v>
      </c>
      <c r="P18">
        <v>336</v>
      </c>
      <c r="Q18" t="s">
        <v>60</v>
      </c>
    </row>
    <row r="19" spans="1:17" x14ac:dyDescent="0.3">
      <c r="A19" t="s">
        <v>17</v>
      </c>
      <c r="B19" t="str">
        <f>"600022"</f>
        <v>600022</v>
      </c>
      <c r="C19" t="s">
        <v>61</v>
      </c>
      <c r="D19" t="s">
        <v>38</v>
      </c>
      <c r="F19">
        <v>1997571010</v>
      </c>
      <c r="G19">
        <v>1292521860</v>
      </c>
      <c r="H19">
        <v>969687415</v>
      </c>
      <c r="I19">
        <v>177508671</v>
      </c>
      <c r="P19">
        <v>233</v>
      </c>
      <c r="Q19" t="s">
        <v>62</v>
      </c>
    </row>
    <row r="20" spans="1:17" x14ac:dyDescent="0.3">
      <c r="A20" t="s">
        <v>17</v>
      </c>
      <c r="B20" t="str">
        <f>"600023"</f>
        <v>600023</v>
      </c>
      <c r="C20" t="s">
        <v>63</v>
      </c>
      <c r="D20" t="s">
        <v>41</v>
      </c>
      <c r="F20">
        <v>388687928</v>
      </c>
      <c r="G20">
        <v>285765737</v>
      </c>
      <c r="H20">
        <v>183157619</v>
      </c>
      <c r="I20">
        <v>124413440</v>
      </c>
      <c r="P20">
        <v>918</v>
      </c>
      <c r="Q20" t="s">
        <v>64</v>
      </c>
    </row>
    <row r="21" spans="1:17" x14ac:dyDescent="0.3">
      <c r="A21" t="s">
        <v>17</v>
      </c>
      <c r="B21" t="str">
        <f>"600025"</f>
        <v>600025</v>
      </c>
      <c r="C21" t="s">
        <v>65</v>
      </c>
      <c r="D21" t="s">
        <v>66</v>
      </c>
      <c r="F21">
        <v>130652452</v>
      </c>
      <c r="G21">
        <v>43137279</v>
      </c>
      <c r="H21">
        <v>14598114</v>
      </c>
      <c r="I21">
        <v>8537178</v>
      </c>
      <c r="P21">
        <v>768</v>
      </c>
      <c r="Q21" t="s">
        <v>67</v>
      </c>
    </row>
    <row r="22" spans="1:17" x14ac:dyDescent="0.3">
      <c r="A22" t="s">
        <v>17</v>
      </c>
      <c r="B22" t="str">
        <f>"600026"</f>
        <v>600026</v>
      </c>
      <c r="C22" t="s">
        <v>68</v>
      </c>
      <c r="D22" t="s">
        <v>69</v>
      </c>
      <c r="F22">
        <v>17496661</v>
      </c>
      <c r="G22">
        <v>17551958</v>
      </c>
      <c r="H22">
        <v>15119495</v>
      </c>
      <c r="I22">
        <v>65631</v>
      </c>
      <c r="P22">
        <v>401</v>
      </c>
      <c r="Q22" t="s">
        <v>70</v>
      </c>
    </row>
    <row r="23" spans="1:17" x14ac:dyDescent="0.3">
      <c r="A23" t="s">
        <v>17</v>
      </c>
      <c r="B23" t="str">
        <f>"600027"</f>
        <v>600027</v>
      </c>
      <c r="C23" t="s">
        <v>71</v>
      </c>
      <c r="D23" t="s">
        <v>41</v>
      </c>
      <c r="F23">
        <v>2761000</v>
      </c>
      <c r="G23">
        <v>0</v>
      </c>
      <c r="P23">
        <v>987</v>
      </c>
      <c r="Q23" t="s">
        <v>72</v>
      </c>
    </row>
    <row r="24" spans="1:17" x14ac:dyDescent="0.3">
      <c r="A24" t="s">
        <v>17</v>
      </c>
      <c r="B24" t="str">
        <f>"600028"</f>
        <v>600028</v>
      </c>
      <c r="C24" t="s">
        <v>73</v>
      </c>
      <c r="D24" t="s">
        <v>74</v>
      </c>
      <c r="F24">
        <v>11481000000</v>
      </c>
      <c r="G24">
        <v>10086000000</v>
      </c>
      <c r="H24">
        <v>9395000000</v>
      </c>
      <c r="I24">
        <v>7956000000</v>
      </c>
      <c r="P24">
        <v>2315</v>
      </c>
      <c r="Q24" t="s">
        <v>75</v>
      </c>
    </row>
    <row r="25" spans="1:17" x14ac:dyDescent="0.3">
      <c r="A25" t="s">
        <v>17</v>
      </c>
      <c r="B25" t="str">
        <f>"600029"</f>
        <v>600029</v>
      </c>
      <c r="C25" t="s">
        <v>76</v>
      </c>
      <c r="D25" t="s">
        <v>77</v>
      </c>
      <c r="F25">
        <v>381000000</v>
      </c>
      <c r="G25">
        <v>367000000</v>
      </c>
      <c r="H25">
        <v>352000000</v>
      </c>
      <c r="I25">
        <v>221000000</v>
      </c>
      <c r="J25">
        <v>173000000</v>
      </c>
      <c r="P25">
        <v>1137</v>
      </c>
      <c r="Q25" t="s">
        <v>78</v>
      </c>
    </row>
    <row r="26" spans="1:17" x14ac:dyDescent="0.3">
      <c r="A26" t="s">
        <v>17</v>
      </c>
      <c r="B26" t="str">
        <f>"600030"</f>
        <v>600030</v>
      </c>
      <c r="C26" t="s">
        <v>79</v>
      </c>
      <c r="D26" t="s">
        <v>80</v>
      </c>
      <c r="P26">
        <v>5756</v>
      </c>
      <c r="Q26" t="s">
        <v>81</v>
      </c>
    </row>
    <row r="27" spans="1:17" x14ac:dyDescent="0.3">
      <c r="A27" t="s">
        <v>17</v>
      </c>
      <c r="B27" t="str">
        <f>"600031"</f>
        <v>600031</v>
      </c>
      <c r="C27" t="s">
        <v>82</v>
      </c>
      <c r="D27" t="s">
        <v>83</v>
      </c>
      <c r="F27">
        <v>6508888000</v>
      </c>
      <c r="G27">
        <v>4991572000</v>
      </c>
      <c r="H27">
        <v>3644408000</v>
      </c>
      <c r="I27">
        <v>1754475000</v>
      </c>
      <c r="P27">
        <v>6538</v>
      </c>
      <c r="Q27" t="s">
        <v>84</v>
      </c>
    </row>
    <row r="28" spans="1:17" x14ac:dyDescent="0.3">
      <c r="A28" t="s">
        <v>17</v>
      </c>
      <c r="B28" t="str">
        <f>"600032"</f>
        <v>600032</v>
      </c>
      <c r="C28" t="s">
        <v>85</v>
      </c>
      <c r="D28" t="s">
        <v>86</v>
      </c>
      <c r="F28">
        <v>20489051</v>
      </c>
      <c r="G28">
        <v>4907215</v>
      </c>
      <c r="P28">
        <v>81</v>
      </c>
      <c r="Q28" t="s">
        <v>87</v>
      </c>
    </row>
    <row r="29" spans="1:17" x14ac:dyDescent="0.3">
      <c r="A29" t="s">
        <v>17</v>
      </c>
      <c r="B29" t="str">
        <f>"600033"</f>
        <v>600033</v>
      </c>
      <c r="C29" t="s">
        <v>88</v>
      </c>
      <c r="D29" t="s">
        <v>44</v>
      </c>
      <c r="F29">
        <v>0</v>
      </c>
      <c r="G29">
        <v>0</v>
      </c>
      <c r="P29">
        <v>397</v>
      </c>
      <c r="Q29" t="s">
        <v>89</v>
      </c>
    </row>
    <row r="30" spans="1:17" x14ac:dyDescent="0.3">
      <c r="A30" t="s">
        <v>17</v>
      </c>
      <c r="B30" t="str">
        <f>"600035"</f>
        <v>600035</v>
      </c>
      <c r="C30" t="s">
        <v>90</v>
      </c>
      <c r="D30" t="s">
        <v>44</v>
      </c>
      <c r="F30">
        <v>23361641</v>
      </c>
      <c r="G30">
        <v>40043901</v>
      </c>
      <c r="H30">
        <v>40984598</v>
      </c>
      <c r="I30">
        <v>36670978</v>
      </c>
      <c r="P30">
        <v>289</v>
      </c>
      <c r="Q30" t="s">
        <v>91</v>
      </c>
    </row>
    <row r="31" spans="1:17" x14ac:dyDescent="0.3">
      <c r="A31" t="s">
        <v>17</v>
      </c>
      <c r="B31" t="str">
        <f>"600036"</f>
        <v>600036</v>
      </c>
      <c r="C31" t="s">
        <v>92</v>
      </c>
      <c r="D31" t="s">
        <v>19</v>
      </c>
      <c r="P31">
        <v>68587</v>
      </c>
      <c r="Q31" t="s">
        <v>93</v>
      </c>
    </row>
    <row r="32" spans="1:17" x14ac:dyDescent="0.3">
      <c r="A32" t="s">
        <v>17</v>
      </c>
      <c r="B32" t="str">
        <f>"600037"</f>
        <v>600037</v>
      </c>
      <c r="C32" t="s">
        <v>94</v>
      </c>
      <c r="D32" t="s">
        <v>95</v>
      </c>
      <c r="F32">
        <v>59289645</v>
      </c>
      <c r="G32">
        <v>56368351</v>
      </c>
      <c r="H32">
        <v>52506880</v>
      </c>
      <c r="I32">
        <v>47406419</v>
      </c>
      <c r="P32">
        <v>309</v>
      </c>
      <c r="Q32" t="s">
        <v>96</v>
      </c>
    </row>
    <row r="33" spans="1:17" x14ac:dyDescent="0.3">
      <c r="A33" t="s">
        <v>17</v>
      </c>
      <c r="B33" t="str">
        <f>"600038"</f>
        <v>600038</v>
      </c>
      <c r="C33" t="s">
        <v>97</v>
      </c>
      <c r="D33" t="s">
        <v>98</v>
      </c>
      <c r="F33">
        <v>576436307</v>
      </c>
      <c r="G33">
        <v>529922617</v>
      </c>
      <c r="H33">
        <v>476862447</v>
      </c>
      <c r="I33">
        <v>306162604</v>
      </c>
      <c r="P33">
        <v>447</v>
      </c>
      <c r="Q33" t="s">
        <v>99</v>
      </c>
    </row>
    <row r="34" spans="1:17" x14ac:dyDescent="0.3">
      <c r="A34" t="s">
        <v>17</v>
      </c>
      <c r="B34" t="str">
        <f>"600039"</f>
        <v>600039</v>
      </c>
      <c r="C34" t="s">
        <v>100</v>
      </c>
      <c r="D34" t="s">
        <v>101</v>
      </c>
      <c r="F34">
        <v>2855367237</v>
      </c>
      <c r="G34">
        <v>1684970209</v>
      </c>
      <c r="H34">
        <v>759140606</v>
      </c>
      <c r="I34">
        <v>255285933</v>
      </c>
      <c r="P34">
        <v>484</v>
      </c>
      <c r="Q34" t="s">
        <v>102</v>
      </c>
    </row>
    <row r="35" spans="1:17" x14ac:dyDescent="0.3">
      <c r="A35" t="s">
        <v>17</v>
      </c>
      <c r="B35" t="str">
        <f>"600048"</f>
        <v>600048</v>
      </c>
      <c r="C35" t="s">
        <v>103</v>
      </c>
      <c r="D35" t="s">
        <v>104</v>
      </c>
      <c r="F35">
        <v>1435783318</v>
      </c>
      <c r="G35">
        <v>1260470195</v>
      </c>
      <c r="H35">
        <v>56258733</v>
      </c>
      <c r="I35">
        <v>40945036</v>
      </c>
      <c r="P35">
        <v>8844</v>
      </c>
      <c r="Q35" t="s">
        <v>105</v>
      </c>
    </row>
    <row r="36" spans="1:17" x14ac:dyDescent="0.3">
      <c r="A36" t="s">
        <v>17</v>
      </c>
      <c r="B36" t="str">
        <f>"600050"</f>
        <v>600050</v>
      </c>
      <c r="C36" t="s">
        <v>106</v>
      </c>
      <c r="D36" t="s">
        <v>107</v>
      </c>
      <c r="F36">
        <v>4792173304</v>
      </c>
      <c r="G36">
        <v>2963703038</v>
      </c>
      <c r="H36">
        <v>1708969828</v>
      </c>
      <c r="I36">
        <v>872225770</v>
      </c>
      <c r="P36">
        <v>1304</v>
      </c>
      <c r="Q36" t="s">
        <v>108</v>
      </c>
    </row>
    <row r="37" spans="1:17" x14ac:dyDescent="0.3">
      <c r="A37" t="s">
        <v>17</v>
      </c>
      <c r="B37" t="str">
        <f>"600051"</f>
        <v>600051</v>
      </c>
      <c r="C37" t="s">
        <v>109</v>
      </c>
      <c r="D37" t="s">
        <v>110</v>
      </c>
      <c r="F37">
        <v>0</v>
      </c>
      <c r="G37">
        <v>0</v>
      </c>
      <c r="P37">
        <v>305</v>
      </c>
      <c r="Q37" t="s">
        <v>111</v>
      </c>
    </row>
    <row r="38" spans="1:17" x14ac:dyDescent="0.3">
      <c r="A38" t="s">
        <v>17</v>
      </c>
      <c r="B38" t="str">
        <f>"600052"</f>
        <v>600052</v>
      </c>
      <c r="C38" t="s">
        <v>112</v>
      </c>
      <c r="D38" t="s">
        <v>113</v>
      </c>
      <c r="F38">
        <v>2636344</v>
      </c>
      <c r="G38">
        <v>9608515</v>
      </c>
      <c r="H38">
        <v>4881451</v>
      </c>
      <c r="I38">
        <v>9341783</v>
      </c>
      <c r="P38">
        <v>133</v>
      </c>
      <c r="Q38" t="s">
        <v>114</v>
      </c>
    </row>
    <row r="39" spans="1:17" x14ac:dyDescent="0.3">
      <c r="A39" t="s">
        <v>17</v>
      </c>
      <c r="B39" t="str">
        <f>"600053"</f>
        <v>600053</v>
      </c>
      <c r="C39" t="s">
        <v>115</v>
      </c>
      <c r="D39" t="s">
        <v>116</v>
      </c>
      <c r="F39">
        <v>0</v>
      </c>
      <c r="G39">
        <v>0</v>
      </c>
      <c r="P39">
        <v>229</v>
      </c>
      <c r="Q39" t="s">
        <v>117</v>
      </c>
    </row>
    <row r="40" spans="1:17" x14ac:dyDescent="0.3">
      <c r="A40" t="s">
        <v>17</v>
      </c>
      <c r="B40" t="str">
        <f>"600054"</f>
        <v>600054</v>
      </c>
      <c r="C40" t="s">
        <v>118</v>
      </c>
      <c r="D40" t="s">
        <v>119</v>
      </c>
      <c r="F40">
        <v>0</v>
      </c>
      <c r="G40">
        <v>0</v>
      </c>
      <c r="P40">
        <v>380</v>
      </c>
      <c r="Q40" t="s">
        <v>120</v>
      </c>
    </row>
    <row r="41" spans="1:17" x14ac:dyDescent="0.3">
      <c r="A41" t="s">
        <v>17</v>
      </c>
      <c r="B41" t="str">
        <f>"600055"</f>
        <v>600055</v>
      </c>
      <c r="C41" t="s">
        <v>121</v>
      </c>
      <c r="D41" t="s">
        <v>122</v>
      </c>
      <c r="F41">
        <v>111478149</v>
      </c>
      <c r="G41">
        <v>86413609</v>
      </c>
      <c r="H41">
        <v>70187781</v>
      </c>
      <c r="I41">
        <v>61897093</v>
      </c>
      <c r="P41">
        <v>358</v>
      </c>
      <c r="Q41" t="s">
        <v>123</v>
      </c>
    </row>
    <row r="42" spans="1:17" x14ac:dyDescent="0.3">
      <c r="A42" t="s">
        <v>17</v>
      </c>
      <c r="B42" t="str">
        <f>"600056"</f>
        <v>600056</v>
      </c>
      <c r="C42" t="s">
        <v>124</v>
      </c>
      <c r="D42" t="s">
        <v>125</v>
      </c>
      <c r="F42">
        <v>57381981</v>
      </c>
      <c r="G42">
        <v>83798342</v>
      </c>
      <c r="H42">
        <v>107543657</v>
      </c>
      <c r="I42">
        <v>85997079</v>
      </c>
      <c r="P42">
        <v>890</v>
      </c>
      <c r="Q42" t="s">
        <v>126</v>
      </c>
    </row>
    <row r="43" spans="1:17" x14ac:dyDescent="0.3">
      <c r="A43" t="s">
        <v>17</v>
      </c>
      <c r="B43" t="str">
        <f>"600057"</f>
        <v>600057</v>
      </c>
      <c r="C43" t="s">
        <v>127</v>
      </c>
      <c r="D43" t="s">
        <v>128</v>
      </c>
      <c r="F43">
        <v>30740655</v>
      </c>
      <c r="G43">
        <v>23684112</v>
      </c>
      <c r="H43">
        <v>21003130</v>
      </c>
      <c r="I43">
        <v>18907339</v>
      </c>
      <c r="J43">
        <v>16686079</v>
      </c>
      <c r="P43">
        <v>411</v>
      </c>
      <c r="Q43" t="s">
        <v>129</v>
      </c>
    </row>
    <row r="44" spans="1:17" x14ac:dyDescent="0.3">
      <c r="A44" t="s">
        <v>17</v>
      </c>
      <c r="B44" t="str">
        <f>"600058"</f>
        <v>600058</v>
      </c>
      <c r="C44" t="s">
        <v>130</v>
      </c>
      <c r="D44" t="s">
        <v>131</v>
      </c>
      <c r="F44">
        <v>0</v>
      </c>
      <c r="G44">
        <v>0</v>
      </c>
      <c r="P44">
        <v>139</v>
      </c>
      <c r="Q44" t="s">
        <v>132</v>
      </c>
    </row>
    <row r="45" spans="1:17" x14ac:dyDescent="0.3">
      <c r="A45" t="s">
        <v>17</v>
      </c>
      <c r="B45" t="str">
        <f>"600059"</f>
        <v>600059</v>
      </c>
      <c r="C45" t="s">
        <v>133</v>
      </c>
      <c r="D45" t="s">
        <v>134</v>
      </c>
      <c r="F45">
        <v>18947255</v>
      </c>
      <c r="G45">
        <v>15535621</v>
      </c>
      <c r="H45">
        <v>10665982</v>
      </c>
      <c r="I45">
        <v>8293734</v>
      </c>
      <c r="P45">
        <v>323</v>
      </c>
      <c r="Q45" t="s">
        <v>135</v>
      </c>
    </row>
    <row r="46" spans="1:17" x14ac:dyDescent="0.3">
      <c r="A46" t="s">
        <v>17</v>
      </c>
      <c r="B46" t="str">
        <f>"600060"</f>
        <v>600060</v>
      </c>
      <c r="C46" t="s">
        <v>136</v>
      </c>
      <c r="D46" t="s">
        <v>137</v>
      </c>
      <c r="F46">
        <v>1851262660</v>
      </c>
      <c r="G46">
        <v>1740327745</v>
      </c>
      <c r="H46">
        <v>1426230431</v>
      </c>
      <c r="I46">
        <v>1193694778</v>
      </c>
      <c r="J46">
        <v>746807518</v>
      </c>
      <c r="P46">
        <v>532</v>
      </c>
      <c r="Q46" t="s">
        <v>138</v>
      </c>
    </row>
    <row r="47" spans="1:17" x14ac:dyDescent="0.3">
      <c r="A47" t="s">
        <v>17</v>
      </c>
      <c r="B47" t="str">
        <f>"600061"</f>
        <v>600061</v>
      </c>
      <c r="C47" t="s">
        <v>139</v>
      </c>
      <c r="D47" t="s">
        <v>140</v>
      </c>
      <c r="F47">
        <v>199777260</v>
      </c>
      <c r="G47">
        <v>0</v>
      </c>
      <c r="P47">
        <v>1304</v>
      </c>
      <c r="Q47" t="s">
        <v>141</v>
      </c>
    </row>
    <row r="48" spans="1:17" x14ac:dyDescent="0.3">
      <c r="A48" t="s">
        <v>17</v>
      </c>
      <c r="B48" t="str">
        <f>"600062"</f>
        <v>600062</v>
      </c>
      <c r="C48" t="s">
        <v>142</v>
      </c>
      <c r="D48" t="s">
        <v>143</v>
      </c>
      <c r="F48">
        <v>409592541</v>
      </c>
      <c r="G48">
        <v>291018163</v>
      </c>
      <c r="H48">
        <v>202006719</v>
      </c>
      <c r="I48">
        <v>144740640</v>
      </c>
      <c r="P48">
        <v>635</v>
      </c>
      <c r="Q48" t="s">
        <v>144</v>
      </c>
    </row>
    <row r="49" spans="1:17" x14ac:dyDescent="0.3">
      <c r="A49" t="s">
        <v>17</v>
      </c>
      <c r="B49" t="str">
        <f>"600063"</f>
        <v>600063</v>
      </c>
      <c r="C49" t="s">
        <v>145</v>
      </c>
      <c r="D49" t="s">
        <v>146</v>
      </c>
      <c r="F49">
        <v>344916886</v>
      </c>
      <c r="G49">
        <v>255778644</v>
      </c>
      <c r="H49">
        <v>248340156</v>
      </c>
      <c r="I49">
        <v>217032740</v>
      </c>
      <c r="P49">
        <v>222</v>
      </c>
      <c r="Q49" t="s">
        <v>147</v>
      </c>
    </row>
    <row r="50" spans="1:17" x14ac:dyDescent="0.3">
      <c r="A50" t="s">
        <v>17</v>
      </c>
      <c r="B50" t="str">
        <f>"600064"</f>
        <v>600064</v>
      </c>
      <c r="C50" t="s">
        <v>148</v>
      </c>
      <c r="D50" t="s">
        <v>104</v>
      </c>
      <c r="F50">
        <v>19884141</v>
      </c>
      <c r="G50">
        <v>13239461</v>
      </c>
      <c r="H50">
        <v>12327966</v>
      </c>
      <c r="I50">
        <v>11634766</v>
      </c>
      <c r="P50">
        <v>431</v>
      </c>
      <c r="Q50" t="s">
        <v>149</v>
      </c>
    </row>
    <row r="51" spans="1:17" x14ac:dyDescent="0.3">
      <c r="A51" t="s">
        <v>17</v>
      </c>
      <c r="B51" t="str">
        <f>"600065"</f>
        <v>600065</v>
      </c>
      <c r="C51" t="s">
        <v>150</v>
      </c>
      <c r="P51">
        <v>4</v>
      </c>
      <c r="Q51" t="s">
        <v>151</v>
      </c>
    </row>
    <row r="52" spans="1:17" x14ac:dyDescent="0.3">
      <c r="A52" t="s">
        <v>17</v>
      </c>
      <c r="B52" t="str">
        <f>"600066"</f>
        <v>600066</v>
      </c>
      <c r="C52" t="s">
        <v>152</v>
      </c>
      <c r="D52" t="s">
        <v>153</v>
      </c>
      <c r="F52">
        <v>1560769587</v>
      </c>
      <c r="G52">
        <v>1552007317</v>
      </c>
      <c r="H52">
        <v>1773599259</v>
      </c>
      <c r="I52">
        <v>1862869533</v>
      </c>
      <c r="P52">
        <v>2894</v>
      </c>
      <c r="Q52" t="s">
        <v>154</v>
      </c>
    </row>
    <row r="53" spans="1:17" x14ac:dyDescent="0.3">
      <c r="A53" t="s">
        <v>17</v>
      </c>
      <c r="B53" t="str">
        <f>"600067"</f>
        <v>600067</v>
      </c>
      <c r="C53" t="s">
        <v>155</v>
      </c>
      <c r="D53" t="s">
        <v>104</v>
      </c>
      <c r="F53">
        <v>160027499</v>
      </c>
      <c r="G53">
        <v>105252229</v>
      </c>
      <c r="H53">
        <v>110557528</v>
      </c>
      <c r="I53">
        <v>58574555</v>
      </c>
      <c r="P53">
        <v>222</v>
      </c>
      <c r="Q53" t="s">
        <v>156</v>
      </c>
    </row>
    <row r="54" spans="1:17" x14ac:dyDescent="0.3">
      <c r="A54" t="s">
        <v>17</v>
      </c>
      <c r="B54" t="str">
        <f>"600068"</f>
        <v>600068</v>
      </c>
      <c r="C54" t="s">
        <v>157</v>
      </c>
      <c r="G54">
        <v>3353680482</v>
      </c>
      <c r="H54">
        <v>2789157724</v>
      </c>
      <c r="I54">
        <v>1980553048</v>
      </c>
      <c r="P54">
        <v>843</v>
      </c>
      <c r="Q54" t="s">
        <v>158</v>
      </c>
    </row>
    <row r="55" spans="1:17" x14ac:dyDescent="0.3">
      <c r="A55" t="s">
        <v>17</v>
      </c>
      <c r="B55" t="str">
        <f>"600069"</f>
        <v>600069</v>
      </c>
      <c r="C55" t="s">
        <v>159</v>
      </c>
      <c r="H55">
        <v>42173236</v>
      </c>
      <c r="I55">
        <v>9379637</v>
      </c>
      <c r="P55">
        <v>48</v>
      </c>
      <c r="Q55" t="s">
        <v>160</v>
      </c>
    </row>
    <row r="56" spans="1:17" x14ac:dyDescent="0.3">
      <c r="A56" t="s">
        <v>17</v>
      </c>
      <c r="B56" t="str">
        <f>"600070"</f>
        <v>600070</v>
      </c>
      <c r="C56" t="s">
        <v>161</v>
      </c>
      <c r="D56" t="s">
        <v>110</v>
      </c>
      <c r="F56">
        <v>34987715</v>
      </c>
      <c r="G56">
        <v>101012891</v>
      </c>
      <c r="H56">
        <v>98337535</v>
      </c>
      <c r="I56">
        <v>90942595</v>
      </c>
      <c r="P56">
        <v>183</v>
      </c>
      <c r="Q56" t="s">
        <v>162</v>
      </c>
    </row>
    <row r="57" spans="1:17" x14ac:dyDescent="0.3">
      <c r="A57" t="s">
        <v>17</v>
      </c>
      <c r="B57" t="str">
        <f>"600071"</f>
        <v>600071</v>
      </c>
      <c r="C57" t="s">
        <v>163</v>
      </c>
      <c r="D57" t="s">
        <v>164</v>
      </c>
      <c r="F57">
        <v>72554480</v>
      </c>
      <c r="G57">
        <v>46834378</v>
      </c>
      <c r="H57">
        <v>38786696</v>
      </c>
      <c r="I57">
        <v>26000755</v>
      </c>
      <c r="P57">
        <v>97</v>
      </c>
      <c r="Q57" t="s">
        <v>165</v>
      </c>
    </row>
    <row r="58" spans="1:17" x14ac:dyDescent="0.3">
      <c r="A58" t="s">
        <v>17</v>
      </c>
      <c r="B58" t="str">
        <f>"600072"</f>
        <v>600072</v>
      </c>
      <c r="C58" t="s">
        <v>166</v>
      </c>
      <c r="D58" t="s">
        <v>167</v>
      </c>
      <c r="F58">
        <v>71719401</v>
      </c>
      <c r="G58">
        <v>60895833</v>
      </c>
      <c r="H58">
        <v>109713681</v>
      </c>
      <c r="I58">
        <v>98409899</v>
      </c>
      <c r="P58">
        <v>181</v>
      </c>
      <c r="Q58" t="s">
        <v>168</v>
      </c>
    </row>
    <row r="59" spans="1:17" x14ac:dyDescent="0.3">
      <c r="A59" t="s">
        <v>17</v>
      </c>
      <c r="B59" t="str">
        <f>"600073"</f>
        <v>600073</v>
      </c>
      <c r="C59" t="s">
        <v>169</v>
      </c>
      <c r="D59" t="s">
        <v>170</v>
      </c>
      <c r="F59">
        <v>59355542</v>
      </c>
      <c r="G59">
        <v>56114090</v>
      </c>
      <c r="H59">
        <v>43436419</v>
      </c>
      <c r="I59">
        <v>41358990</v>
      </c>
      <c r="P59">
        <v>442</v>
      </c>
      <c r="Q59" t="s">
        <v>171</v>
      </c>
    </row>
    <row r="60" spans="1:17" x14ac:dyDescent="0.3">
      <c r="A60" t="s">
        <v>17</v>
      </c>
      <c r="B60" t="str">
        <f>"600074"</f>
        <v>600074</v>
      </c>
      <c r="C60" t="s">
        <v>172</v>
      </c>
      <c r="H60">
        <v>5578698</v>
      </c>
      <c r="I60">
        <v>54210568</v>
      </c>
      <c r="P60">
        <v>61</v>
      </c>
      <c r="Q60" t="s">
        <v>173</v>
      </c>
    </row>
    <row r="61" spans="1:17" x14ac:dyDescent="0.3">
      <c r="A61" t="s">
        <v>17</v>
      </c>
      <c r="B61" t="str">
        <f>"600075"</f>
        <v>600075</v>
      </c>
      <c r="C61" t="s">
        <v>174</v>
      </c>
      <c r="D61" t="s">
        <v>175</v>
      </c>
      <c r="F61">
        <v>367474445</v>
      </c>
      <c r="G61">
        <v>263099412</v>
      </c>
      <c r="H61">
        <v>120775238</v>
      </c>
      <c r="I61">
        <v>109635719</v>
      </c>
      <c r="P61">
        <v>194</v>
      </c>
      <c r="Q61" t="s">
        <v>176</v>
      </c>
    </row>
    <row r="62" spans="1:17" x14ac:dyDescent="0.3">
      <c r="A62" t="s">
        <v>17</v>
      </c>
      <c r="B62" t="str">
        <f>"600076"</f>
        <v>600076</v>
      </c>
      <c r="C62" t="s">
        <v>177</v>
      </c>
      <c r="D62" t="s">
        <v>178</v>
      </c>
      <c r="F62">
        <v>49561338</v>
      </c>
      <c r="G62">
        <v>42304090</v>
      </c>
      <c r="H62">
        <v>33555412</v>
      </c>
      <c r="I62">
        <v>21148121</v>
      </c>
      <c r="P62">
        <v>200</v>
      </c>
      <c r="Q62" t="s">
        <v>179</v>
      </c>
    </row>
    <row r="63" spans="1:17" x14ac:dyDescent="0.3">
      <c r="A63" t="s">
        <v>17</v>
      </c>
      <c r="B63" t="str">
        <f>"600077"</f>
        <v>600077</v>
      </c>
      <c r="C63" t="s">
        <v>180</v>
      </c>
      <c r="D63" t="s">
        <v>104</v>
      </c>
      <c r="F63">
        <v>0</v>
      </c>
      <c r="G63">
        <v>0</v>
      </c>
      <c r="P63">
        <v>126</v>
      </c>
      <c r="Q63" t="s">
        <v>181</v>
      </c>
    </row>
    <row r="64" spans="1:17" x14ac:dyDescent="0.3">
      <c r="A64" t="s">
        <v>17</v>
      </c>
      <c r="B64" t="str">
        <f>"600078"</f>
        <v>600078</v>
      </c>
      <c r="C64" t="s">
        <v>182</v>
      </c>
      <c r="D64" t="s">
        <v>183</v>
      </c>
      <c r="F64">
        <v>0</v>
      </c>
      <c r="G64">
        <v>0</v>
      </c>
      <c r="P64">
        <v>85</v>
      </c>
      <c r="Q64" t="s">
        <v>184</v>
      </c>
    </row>
    <row r="65" spans="1:17" x14ac:dyDescent="0.3">
      <c r="A65" t="s">
        <v>17</v>
      </c>
      <c r="B65" t="str">
        <f>"600079"</f>
        <v>600079</v>
      </c>
      <c r="C65" t="s">
        <v>185</v>
      </c>
      <c r="D65" t="s">
        <v>143</v>
      </c>
      <c r="F65">
        <v>804806662</v>
      </c>
      <c r="G65">
        <v>764953864</v>
      </c>
      <c r="H65">
        <v>591164422</v>
      </c>
      <c r="I65">
        <v>484124762</v>
      </c>
      <c r="P65">
        <v>941</v>
      </c>
      <c r="Q65" t="s">
        <v>186</v>
      </c>
    </row>
    <row r="66" spans="1:17" x14ac:dyDescent="0.3">
      <c r="A66" t="s">
        <v>17</v>
      </c>
      <c r="B66" t="str">
        <f>"600080"</f>
        <v>600080</v>
      </c>
      <c r="C66" t="s">
        <v>187</v>
      </c>
      <c r="D66" t="s">
        <v>188</v>
      </c>
      <c r="F66">
        <v>15655776</v>
      </c>
      <c r="G66">
        <v>20071518</v>
      </c>
      <c r="H66">
        <v>18170579</v>
      </c>
      <c r="I66">
        <v>876932</v>
      </c>
      <c r="P66">
        <v>97</v>
      </c>
      <c r="Q66" t="s">
        <v>189</v>
      </c>
    </row>
    <row r="67" spans="1:17" x14ac:dyDescent="0.3">
      <c r="A67" t="s">
        <v>17</v>
      </c>
      <c r="B67" t="str">
        <f>"600081"</f>
        <v>600081</v>
      </c>
      <c r="C67" t="s">
        <v>190</v>
      </c>
      <c r="D67" t="s">
        <v>191</v>
      </c>
      <c r="F67">
        <v>245744796</v>
      </c>
      <c r="G67">
        <v>226273079</v>
      </c>
      <c r="H67">
        <v>195125118</v>
      </c>
      <c r="I67">
        <v>208647350</v>
      </c>
      <c r="P67">
        <v>205</v>
      </c>
      <c r="Q67" t="s">
        <v>192</v>
      </c>
    </row>
    <row r="68" spans="1:17" x14ac:dyDescent="0.3">
      <c r="A68" t="s">
        <v>17</v>
      </c>
      <c r="B68" t="str">
        <f>"600082"</f>
        <v>600082</v>
      </c>
      <c r="C68" t="s">
        <v>193</v>
      </c>
      <c r="D68" t="s">
        <v>194</v>
      </c>
      <c r="F68">
        <v>0</v>
      </c>
      <c r="G68">
        <v>0</v>
      </c>
      <c r="P68">
        <v>75</v>
      </c>
      <c r="Q68" t="s">
        <v>195</v>
      </c>
    </row>
    <row r="69" spans="1:17" x14ac:dyDescent="0.3">
      <c r="A69" t="s">
        <v>17</v>
      </c>
      <c r="B69" t="str">
        <f>"600083"</f>
        <v>600083</v>
      </c>
      <c r="C69" t="s">
        <v>196</v>
      </c>
      <c r="D69" t="s">
        <v>110</v>
      </c>
      <c r="F69">
        <v>0</v>
      </c>
      <c r="G69">
        <v>0</v>
      </c>
      <c r="H69">
        <v>5200881</v>
      </c>
      <c r="I69">
        <v>10596949</v>
      </c>
      <c r="P69">
        <v>83</v>
      </c>
      <c r="Q69" t="s">
        <v>197</v>
      </c>
    </row>
    <row r="70" spans="1:17" x14ac:dyDescent="0.3">
      <c r="A70" t="s">
        <v>17</v>
      </c>
      <c r="B70" t="str">
        <f>"600084"</f>
        <v>600084</v>
      </c>
      <c r="C70" t="s">
        <v>198</v>
      </c>
      <c r="D70" t="s">
        <v>134</v>
      </c>
      <c r="F70">
        <v>882524</v>
      </c>
      <c r="G70">
        <v>282524</v>
      </c>
      <c r="H70">
        <v>672964</v>
      </c>
      <c r="I70">
        <v>654604</v>
      </c>
      <c r="P70">
        <v>99</v>
      </c>
      <c r="Q70" t="s">
        <v>199</v>
      </c>
    </row>
    <row r="71" spans="1:17" x14ac:dyDescent="0.3">
      <c r="A71" t="s">
        <v>17</v>
      </c>
      <c r="B71" t="str">
        <f>"600085"</f>
        <v>600085</v>
      </c>
      <c r="C71" t="s">
        <v>200</v>
      </c>
      <c r="D71" t="s">
        <v>188</v>
      </c>
      <c r="F71">
        <v>175947131</v>
      </c>
      <c r="G71">
        <v>138124051</v>
      </c>
      <c r="H71">
        <v>111490556</v>
      </c>
      <c r="I71">
        <v>92911528</v>
      </c>
      <c r="P71">
        <v>2030</v>
      </c>
      <c r="Q71" t="s">
        <v>201</v>
      </c>
    </row>
    <row r="72" spans="1:17" x14ac:dyDescent="0.3">
      <c r="A72" t="s">
        <v>17</v>
      </c>
      <c r="B72" t="str">
        <f>"600086"</f>
        <v>600086</v>
      </c>
      <c r="C72" t="s">
        <v>202</v>
      </c>
      <c r="H72">
        <v>0</v>
      </c>
      <c r="I72">
        <v>0</v>
      </c>
      <c r="P72">
        <v>73</v>
      </c>
      <c r="Q72" t="s">
        <v>203</v>
      </c>
    </row>
    <row r="73" spans="1:17" x14ac:dyDescent="0.3">
      <c r="A73" t="s">
        <v>17</v>
      </c>
      <c r="B73" t="str">
        <f>"600087"</f>
        <v>600087</v>
      </c>
      <c r="C73" t="s">
        <v>204</v>
      </c>
      <c r="P73">
        <v>7</v>
      </c>
      <c r="Q73" t="s">
        <v>205</v>
      </c>
    </row>
    <row r="74" spans="1:17" x14ac:dyDescent="0.3">
      <c r="A74" t="s">
        <v>17</v>
      </c>
      <c r="B74" t="str">
        <f>"600088"</f>
        <v>600088</v>
      </c>
      <c r="C74" t="s">
        <v>206</v>
      </c>
      <c r="D74" t="s">
        <v>207</v>
      </c>
      <c r="F74">
        <v>0</v>
      </c>
      <c r="G74">
        <v>0</v>
      </c>
      <c r="P74">
        <v>114</v>
      </c>
      <c r="Q74" t="s">
        <v>208</v>
      </c>
    </row>
    <row r="75" spans="1:17" x14ac:dyDescent="0.3">
      <c r="A75" t="s">
        <v>17</v>
      </c>
      <c r="B75" t="str">
        <f>"600089"</f>
        <v>600089</v>
      </c>
      <c r="C75" t="s">
        <v>209</v>
      </c>
      <c r="D75" t="s">
        <v>210</v>
      </c>
      <c r="F75">
        <v>1104552824</v>
      </c>
      <c r="G75">
        <v>870133646</v>
      </c>
      <c r="H75">
        <v>559982189</v>
      </c>
      <c r="I75">
        <v>569233403</v>
      </c>
      <c r="P75">
        <v>1281</v>
      </c>
      <c r="Q75" t="s">
        <v>211</v>
      </c>
    </row>
    <row r="76" spans="1:17" x14ac:dyDescent="0.3">
      <c r="A76" t="s">
        <v>17</v>
      </c>
      <c r="B76" t="str">
        <f>"600090"</f>
        <v>600090</v>
      </c>
      <c r="C76" t="s">
        <v>212</v>
      </c>
      <c r="D76" t="s">
        <v>125</v>
      </c>
      <c r="G76">
        <v>0</v>
      </c>
      <c r="P76">
        <v>214</v>
      </c>
      <c r="Q76" t="s">
        <v>213</v>
      </c>
    </row>
    <row r="77" spans="1:17" x14ac:dyDescent="0.3">
      <c r="A77" t="s">
        <v>17</v>
      </c>
      <c r="B77" t="str">
        <f>"600091"</f>
        <v>600091</v>
      </c>
      <c r="C77" t="s">
        <v>214</v>
      </c>
      <c r="D77" t="s">
        <v>175</v>
      </c>
      <c r="F77">
        <v>0</v>
      </c>
      <c r="G77">
        <v>0</v>
      </c>
      <c r="P77">
        <v>58</v>
      </c>
      <c r="Q77" t="s">
        <v>215</v>
      </c>
    </row>
    <row r="78" spans="1:17" x14ac:dyDescent="0.3">
      <c r="A78" t="s">
        <v>17</v>
      </c>
      <c r="B78" t="str">
        <f>"600092"</f>
        <v>600092</v>
      </c>
      <c r="C78" t="s">
        <v>216</v>
      </c>
      <c r="P78">
        <v>3</v>
      </c>
      <c r="Q78" t="s">
        <v>217</v>
      </c>
    </row>
    <row r="79" spans="1:17" x14ac:dyDescent="0.3">
      <c r="A79" t="s">
        <v>17</v>
      </c>
      <c r="B79" t="str">
        <f>"600093"</f>
        <v>600093</v>
      </c>
      <c r="C79" t="s">
        <v>218</v>
      </c>
      <c r="D79" t="s">
        <v>219</v>
      </c>
      <c r="F79">
        <v>35634085</v>
      </c>
      <c r="G79">
        <v>37627294</v>
      </c>
      <c r="H79">
        <v>23514376</v>
      </c>
      <c r="I79">
        <v>18702651</v>
      </c>
      <c r="P79">
        <v>222</v>
      </c>
      <c r="Q79" t="s">
        <v>220</v>
      </c>
    </row>
    <row r="80" spans="1:17" x14ac:dyDescent="0.3">
      <c r="A80" t="s">
        <v>17</v>
      </c>
      <c r="B80" t="str">
        <f>"600094"</f>
        <v>600094</v>
      </c>
      <c r="C80" t="s">
        <v>221</v>
      </c>
      <c r="D80" t="s">
        <v>104</v>
      </c>
      <c r="F80">
        <v>0</v>
      </c>
      <c r="G80">
        <v>0</v>
      </c>
      <c r="P80">
        <v>159</v>
      </c>
      <c r="Q80" t="s">
        <v>222</v>
      </c>
    </row>
    <row r="81" spans="1:17" x14ac:dyDescent="0.3">
      <c r="A81" t="s">
        <v>17</v>
      </c>
      <c r="B81" t="str">
        <f>"600095"</f>
        <v>600095</v>
      </c>
      <c r="C81" t="s">
        <v>223</v>
      </c>
      <c r="D81" t="s">
        <v>80</v>
      </c>
      <c r="F81">
        <v>294434</v>
      </c>
      <c r="G81">
        <v>119419</v>
      </c>
      <c r="H81">
        <v>212898</v>
      </c>
      <c r="I81">
        <v>2617277</v>
      </c>
      <c r="P81">
        <v>330</v>
      </c>
      <c r="Q81" t="s">
        <v>224</v>
      </c>
    </row>
    <row r="82" spans="1:17" x14ac:dyDescent="0.3">
      <c r="A82" t="s">
        <v>17</v>
      </c>
      <c r="B82" t="str">
        <f>"600096"</f>
        <v>600096</v>
      </c>
      <c r="C82" t="s">
        <v>225</v>
      </c>
      <c r="D82" t="s">
        <v>183</v>
      </c>
      <c r="F82">
        <v>151570954</v>
      </c>
      <c r="G82">
        <v>80500099</v>
      </c>
      <c r="H82">
        <v>75146283</v>
      </c>
      <c r="I82">
        <v>52587109</v>
      </c>
      <c r="P82">
        <v>390</v>
      </c>
      <c r="Q82" t="s">
        <v>226</v>
      </c>
    </row>
    <row r="83" spans="1:17" x14ac:dyDescent="0.3">
      <c r="A83" t="s">
        <v>17</v>
      </c>
      <c r="B83" t="str">
        <f>"600097"</f>
        <v>600097</v>
      </c>
      <c r="C83" t="s">
        <v>227</v>
      </c>
      <c r="D83" t="s">
        <v>228</v>
      </c>
      <c r="F83">
        <v>0</v>
      </c>
      <c r="G83">
        <v>0</v>
      </c>
      <c r="P83">
        <v>116</v>
      </c>
      <c r="Q83" t="s">
        <v>229</v>
      </c>
    </row>
    <row r="84" spans="1:17" x14ac:dyDescent="0.3">
      <c r="A84" t="s">
        <v>17</v>
      </c>
      <c r="B84" t="str">
        <f>"600098"</f>
        <v>600098</v>
      </c>
      <c r="C84" t="s">
        <v>230</v>
      </c>
      <c r="D84" t="s">
        <v>41</v>
      </c>
      <c r="F84">
        <v>521268564</v>
      </c>
      <c r="G84">
        <v>487539087</v>
      </c>
      <c r="H84">
        <v>449660514</v>
      </c>
      <c r="I84">
        <v>292501683</v>
      </c>
      <c r="P84">
        <v>192</v>
      </c>
      <c r="Q84" t="s">
        <v>231</v>
      </c>
    </row>
    <row r="85" spans="1:17" x14ac:dyDescent="0.3">
      <c r="A85" t="s">
        <v>17</v>
      </c>
      <c r="B85" t="str">
        <f>"600099"</f>
        <v>600099</v>
      </c>
      <c r="C85" t="s">
        <v>232</v>
      </c>
      <c r="D85" t="s">
        <v>233</v>
      </c>
      <c r="F85">
        <v>12925704</v>
      </c>
      <c r="G85">
        <v>7363664</v>
      </c>
      <c r="H85">
        <v>6002476</v>
      </c>
      <c r="I85">
        <v>4978028</v>
      </c>
      <c r="P85">
        <v>74</v>
      </c>
      <c r="Q85" t="s">
        <v>234</v>
      </c>
    </row>
    <row r="86" spans="1:17" x14ac:dyDescent="0.3">
      <c r="A86" t="s">
        <v>17</v>
      </c>
      <c r="B86" t="str">
        <f>"600100"</f>
        <v>600100</v>
      </c>
      <c r="C86" t="s">
        <v>235</v>
      </c>
      <c r="D86" t="s">
        <v>236</v>
      </c>
      <c r="F86">
        <v>1406275017</v>
      </c>
      <c r="G86">
        <v>1238188337</v>
      </c>
      <c r="H86">
        <v>1055353776</v>
      </c>
      <c r="I86">
        <v>863650909</v>
      </c>
      <c r="P86">
        <v>321</v>
      </c>
      <c r="Q86" t="s">
        <v>237</v>
      </c>
    </row>
    <row r="87" spans="1:17" x14ac:dyDescent="0.3">
      <c r="A87" t="s">
        <v>17</v>
      </c>
      <c r="B87" t="str">
        <f>"600101"</f>
        <v>600101</v>
      </c>
      <c r="C87" t="s">
        <v>238</v>
      </c>
      <c r="D87" t="s">
        <v>239</v>
      </c>
      <c r="F87">
        <v>228565</v>
      </c>
      <c r="G87">
        <v>104003</v>
      </c>
      <c r="P87">
        <v>123</v>
      </c>
      <c r="Q87" t="s">
        <v>240</v>
      </c>
    </row>
    <row r="88" spans="1:17" x14ac:dyDescent="0.3">
      <c r="A88" t="s">
        <v>17</v>
      </c>
      <c r="B88" t="str">
        <f>"600102"</f>
        <v>600102</v>
      </c>
      <c r="C88" t="s">
        <v>241</v>
      </c>
      <c r="P88">
        <v>12</v>
      </c>
      <c r="Q88" t="s">
        <v>242</v>
      </c>
    </row>
    <row r="89" spans="1:17" x14ac:dyDescent="0.3">
      <c r="A89" t="s">
        <v>17</v>
      </c>
      <c r="B89" t="str">
        <f>"600103"</f>
        <v>600103</v>
      </c>
      <c r="C89" t="s">
        <v>243</v>
      </c>
      <c r="D89" t="s">
        <v>244</v>
      </c>
      <c r="F89">
        <v>49687175</v>
      </c>
      <c r="G89">
        <v>38872977</v>
      </c>
      <c r="H89">
        <v>39349356</v>
      </c>
      <c r="I89">
        <v>31381690</v>
      </c>
      <c r="P89">
        <v>138</v>
      </c>
      <c r="Q89" t="s">
        <v>245</v>
      </c>
    </row>
    <row r="90" spans="1:17" x14ac:dyDescent="0.3">
      <c r="A90" t="s">
        <v>17</v>
      </c>
      <c r="B90" t="str">
        <f>"600104"</f>
        <v>600104</v>
      </c>
      <c r="C90" t="s">
        <v>246</v>
      </c>
      <c r="D90" t="s">
        <v>247</v>
      </c>
      <c r="F90">
        <v>19668497537</v>
      </c>
      <c r="G90">
        <v>13395044388</v>
      </c>
      <c r="H90">
        <v>13394150277</v>
      </c>
      <c r="I90">
        <v>15385012641</v>
      </c>
      <c r="P90">
        <v>11366</v>
      </c>
      <c r="Q90" t="s">
        <v>248</v>
      </c>
    </row>
    <row r="91" spans="1:17" x14ac:dyDescent="0.3">
      <c r="A91" t="s">
        <v>17</v>
      </c>
      <c r="B91" t="str">
        <f>"600105"</f>
        <v>600105</v>
      </c>
      <c r="C91" t="s">
        <v>249</v>
      </c>
      <c r="D91" t="s">
        <v>250</v>
      </c>
      <c r="F91">
        <v>155885479</v>
      </c>
      <c r="G91">
        <v>167074163</v>
      </c>
      <c r="H91">
        <v>158080942</v>
      </c>
      <c r="I91">
        <v>148550524</v>
      </c>
      <c r="P91">
        <v>274</v>
      </c>
      <c r="Q91" t="s">
        <v>251</v>
      </c>
    </row>
    <row r="92" spans="1:17" x14ac:dyDescent="0.3">
      <c r="A92" t="s">
        <v>17</v>
      </c>
      <c r="B92" t="str">
        <f>"600106"</f>
        <v>600106</v>
      </c>
      <c r="C92" t="s">
        <v>252</v>
      </c>
      <c r="D92" t="s">
        <v>44</v>
      </c>
      <c r="F92">
        <v>0</v>
      </c>
      <c r="G92">
        <v>0</v>
      </c>
      <c r="P92">
        <v>145</v>
      </c>
      <c r="Q92" t="s">
        <v>253</v>
      </c>
    </row>
    <row r="93" spans="1:17" x14ac:dyDescent="0.3">
      <c r="A93" t="s">
        <v>17</v>
      </c>
      <c r="B93" t="str">
        <f>"600107"</f>
        <v>600107</v>
      </c>
      <c r="C93" t="s">
        <v>254</v>
      </c>
      <c r="D93" t="s">
        <v>255</v>
      </c>
      <c r="F93">
        <v>0</v>
      </c>
      <c r="G93">
        <v>0</v>
      </c>
      <c r="P93">
        <v>73</v>
      </c>
      <c r="Q93" t="s">
        <v>256</v>
      </c>
    </row>
    <row r="94" spans="1:17" x14ac:dyDescent="0.3">
      <c r="A94" t="s">
        <v>17</v>
      </c>
      <c r="B94" t="str">
        <f>"600108"</f>
        <v>600108</v>
      </c>
      <c r="C94" t="s">
        <v>257</v>
      </c>
      <c r="D94" t="s">
        <v>258</v>
      </c>
      <c r="F94">
        <v>23302974</v>
      </c>
      <c r="G94">
        <v>20551153</v>
      </c>
      <c r="H94">
        <v>10121503</v>
      </c>
      <c r="I94">
        <v>2270437</v>
      </c>
      <c r="P94">
        <v>120</v>
      </c>
      <c r="Q94" t="s">
        <v>259</v>
      </c>
    </row>
    <row r="95" spans="1:17" x14ac:dyDescent="0.3">
      <c r="A95" t="s">
        <v>17</v>
      </c>
      <c r="B95" t="str">
        <f>"600109"</f>
        <v>600109</v>
      </c>
      <c r="C95" t="s">
        <v>260</v>
      </c>
      <c r="D95" t="s">
        <v>80</v>
      </c>
      <c r="P95">
        <v>1130</v>
      </c>
      <c r="Q95" t="s">
        <v>261</v>
      </c>
    </row>
    <row r="96" spans="1:17" x14ac:dyDescent="0.3">
      <c r="A96" t="s">
        <v>17</v>
      </c>
      <c r="B96" t="str">
        <f>"600110"</f>
        <v>600110</v>
      </c>
      <c r="C96" t="s">
        <v>262</v>
      </c>
      <c r="D96" t="s">
        <v>263</v>
      </c>
      <c r="F96">
        <v>156845931</v>
      </c>
      <c r="G96">
        <v>73791732</v>
      </c>
      <c r="H96">
        <v>44998335</v>
      </c>
      <c r="I96">
        <v>47433581</v>
      </c>
      <c r="P96">
        <v>341</v>
      </c>
      <c r="Q96" t="s">
        <v>264</v>
      </c>
    </row>
    <row r="97" spans="1:17" x14ac:dyDescent="0.3">
      <c r="A97" t="s">
        <v>17</v>
      </c>
      <c r="B97" t="str">
        <f>"600111"</f>
        <v>600111</v>
      </c>
      <c r="C97" t="s">
        <v>265</v>
      </c>
      <c r="D97" t="s">
        <v>266</v>
      </c>
      <c r="F97">
        <v>160858211</v>
      </c>
      <c r="G97">
        <v>108121402</v>
      </c>
      <c r="H97">
        <v>73208990</v>
      </c>
      <c r="I97">
        <v>53254476</v>
      </c>
      <c r="P97">
        <v>1179</v>
      </c>
      <c r="Q97" t="s">
        <v>267</v>
      </c>
    </row>
    <row r="98" spans="1:17" x14ac:dyDescent="0.3">
      <c r="A98" t="s">
        <v>17</v>
      </c>
      <c r="B98" t="str">
        <f>"600112"</f>
        <v>600112</v>
      </c>
      <c r="C98" t="s">
        <v>268</v>
      </c>
      <c r="D98" t="s">
        <v>210</v>
      </c>
      <c r="F98">
        <v>3458758</v>
      </c>
      <c r="G98">
        <v>8018944</v>
      </c>
      <c r="H98">
        <v>13684020</v>
      </c>
      <c r="I98">
        <v>2897375</v>
      </c>
      <c r="J98">
        <v>1774070</v>
      </c>
      <c r="P98">
        <v>56</v>
      </c>
      <c r="Q98" t="s">
        <v>269</v>
      </c>
    </row>
    <row r="99" spans="1:17" x14ac:dyDescent="0.3">
      <c r="A99" t="s">
        <v>17</v>
      </c>
      <c r="B99" t="str">
        <f>"600113"</f>
        <v>600113</v>
      </c>
      <c r="C99" t="s">
        <v>270</v>
      </c>
      <c r="D99" t="s">
        <v>271</v>
      </c>
      <c r="F99">
        <v>7628405</v>
      </c>
      <c r="G99">
        <v>2455722</v>
      </c>
      <c r="P99">
        <v>135</v>
      </c>
      <c r="Q99" t="s">
        <v>272</v>
      </c>
    </row>
    <row r="100" spans="1:17" x14ac:dyDescent="0.3">
      <c r="A100" t="s">
        <v>17</v>
      </c>
      <c r="B100" t="str">
        <f>"600114"</f>
        <v>600114</v>
      </c>
      <c r="C100" t="s">
        <v>273</v>
      </c>
      <c r="D100" t="s">
        <v>274</v>
      </c>
      <c r="F100">
        <v>286091579</v>
      </c>
      <c r="G100">
        <v>244510528</v>
      </c>
      <c r="H100">
        <v>111027270</v>
      </c>
      <c r="I100">
        <v>98601597</v>
      </c>
      <c r="P100">
        <v>302</v>
      </c>
      <c r="Q100" t="s">
        <v>275</v>
      </c>
    </row>
    <row r="101" spans="1:17" x14ac:dyDescent="0.3">
      <c r="A101" t="s">
        <v>17</v>
      </c>
      <c r="B101" t="str">
        <f>"600115"</f>
        <v>600115</v>
      </c>
      <c r="C101" t="s">
        <v>276</v>
      </c>
      <c r="D101" t="s">
        <v>77</v>
      </c>
      <c r="F101">
        <v>315000000</v>
      </c>
      <c r="G101">
        <v>176000000</v>
      </c>
      <c r="H101">
        <v>160000000</v>
      </c>
      <c r="I101">
        <v>135000000</v>
      </c>
      <c r="P101">
        <v>690</v>
      </c>
      <c r="Q101" t="s">
        <v>277</v>
      </c>
    </row>
    <row r="102" spans="1:17" x14ac:dyDescent="0.3">
      <c r="A102" t="s">
        <v>17</v>
      </c>
      <c r="B102" t="str">
        <f>"600116"</f>
        <v>600116</v>
      </c>
      <c r="C102" t="s">
        <v>278</v>
      </c>
      <c r="D102" t="s">
        <v>239</v>
      </c>
      <c r="F102">
        <v>0</v>
      </c>
      <c r="G102">
        <v>0</v>
      </c>
      <c r="P102">
        <v>236</v>
      </c>
      <c r="Q102" t="s">
        <v>279</v>
      </c>
    </row>
    <row r="103" spans="1:17" x14ac:dyDescent="0.3">
      <c r="A103" t="s">
        <v>17</v>
      </c>
      <c r="B103" t="str">
        <f>"600117"</f>
        <v>600117</v>
      </c>
      <c r="C103" t="s">
        <v>280</v>
      </c>
      <c r="D103" t="s">
        <v>281</v>
      </c>
      <c r="F103">
        <v>450952027</v>
      </c>
      <c r="G103">
        <v>305888119</v>
      </c>
      <c r="H103">
        <v>53099748</v>
      </c>
      <c r="I103">
        <v>27013546</v>
      </c>
      <c r="P103">
        <v>116</v>
      </c>
      <c r="Q103" t="s">
        <v>282</v>
      </c>
    </row>
    <row r="104" spans="1:17" x14ac:dyDescent="0.3">
      <c r="A104" t="s">
        <v>17</v>
      </c>
      <c r="B104" t="str">
        <f>"600118"</f>
        <v>600118</v>
      </c>
      <c r="C104" t="s">
        <v>283</v>
      </c>
      <c r="D104" t="s">
        <v>284</v>
      </c>
      <c r="F104">
        <v>190128156</v>
      </c>
      <c r="G104">
        <v>180024800</v>
      </c>
      <c r="H104">
        <v>110671944</v>
      </c>
      <c r="I104">
        <v>108004410</v>
      </c>
      <c r="P104">
        <v>3372</v>
      </c>
      <c r="Q104" t="s">
        <v>285</v>
      </c>
    </row>
    <row r="105" spans="1:17" x14ac:dyDescent="0.3">
      <c r="A105" t="s">
        <v>17</v>
      </c>
      <c r="B105" t="str">
        <f>"600119"</f>
        <v>600119</v>
      </c>
      <c r="C105" t="s">
        <v>286</v>
      </c>
      <c r="D105" t="s">
        <v>287</v>
      </c>
      <c r="F105">
        <v>6423711</v>
      </c>
      <c r="G105">
        <v>7293124</v>
      </c>
      <c r="H105">
        <v>6509940</v>
      </c>
      <c r="I105">
        <v>19870250</v>
      </c>
      <c r="P105">
        <v>55</v>
      </c>
      <c r="Q105" t="s">
        <v>288</v>
      </c>
    </row>
    <row r="106" spans="1:17" x14ac:dyDescent="0.3">
      <c r="A106" t="s">
        <v>17</v>
      </c>
      <c r="B106" t="str">
        <f>"600120"</f>
        <v>600120</v>
      </c>
      <c r="C106" t="s">
        <v>289</v>
      </c>
      <c r="D106" t="s">
        <v>140</v>
      </c>
      <c r="F106">
        <v>0</v>
      </c>
      <c r="G106">
        <v>0</v>
      </c>
      <c r="H106">
        <v>0</v>
      </c>
      <c r="I106">
        <v>0</v>
      </c>
      <c r="P106">
        <v>193</v>
      </c>
      <c r="Q106" t="s">
        <v>290</v>
      </c>
    </row>
    <row r="107" spans="1:17" x14ac:dyDescent="0.3">
      <c r="A107" t="s">
        <v>17</v>
      </c>
      <c r="B107" t="str">
        <f>"600121"</f>
        <v>600121</v>
      </c>
      <c r="C107" t="s">
        <v>291</v>
      </c>
      <c r="D107" t="s">
        <v>292</v>
      </c>
      <c r="F107">
        <v>11554993</v>
      </c>
      <c r="G107">
        <v>9818804</v>
      </c>
      <c r="H107">
        <v>2577635</v>
      </c>
      <c r="I107">
        <v>2157987</v>
      </c>
      <c r="P107">
        <v>180</v>
      </c>
      <c r="Q107" t="s">
        <v>293</v>
      </c>
    </row>
    <row r="108" spans="1:17" x14ac:dyDescent="0.3">
      <c r="A108" t="s">
        <v>17</v>
      </c>
      <c r="B108" t="str">
        <f>"600122"</f>
        <v>600122</v>
      </c>
      <c r="C108" t="s">
        <v>294</v>
      </c>
      <c r="D108" t="s">
        <v>295</v>
      </c>
      <c r="F108">
        <v>9135919</v>
      </c>
      <c r="G108">
        <v>10265554</v>
      </c>
      <c r="H108">
        <v>28371488</v>
      </c>
      <c r="I108">
        <v>40052512</v>
      </c>
      <c r="P108">
        <v>96</v>
      </c>
      <c r="Q108" t="s">
        <v>296</v>
      </c>
    </row>
    <row r="109" spans="1:17" x14ac:dyDescent="0.3">
      <c r="A109" t="s">
        <v>17</v>
      </c>
      <c r="B109" t="str">
        <f>"600123"</f>
        <v>600123</v>
      </c>
      <c r="C109" t="s">
        <v>297</v>
      </c>
      <c r="D109" t="s">
        <v>298</v>
      </c>
      <c r="F109">
        <v>23710942</v>
      </c>
      <c r="G109">
        <v>0</v>
      </c>
      <c r="P109">
        <v>623</v>
      </c>
      <c r="Q109" t="s">
        <v>299</v>
      </c>
    </row>
    <row r="110" spans="1:17" x14ac:dyDescent="0.3">
      <c r="A110" t="s">
        <v>17</v>
      </c>
      <c r="B110" t="str">
        <f>"600125"</f>
        <v>600125</v>
      </c>
      <c r="C110" t="s">
        <v>300</v>
      </c>
      <c r="D110" t="s">
        <v>301</v>
      </c>
      <c r="F110">
        <v>4829544</v>
      </c>
      <c r="G110">
        <v>3600086</v>
      </c>
      <c r="H110">
        <v>2016038</v>
      </c>
      <c r="P110">
        <v>203</v>
      </c>
      <c r="Q110" t="s">
        <v>302</v>
      </c>
    </row>
    <row r="111" spans="1:17" x14ac:dyDescent="0.3">
      <c r="A111" t="s">
        <v>17</v>
      </c>
      <c r="B111" t="str">
        <f>"600126"</f>
        <v>600126</v>
      </c>
      <c r="C111" t="s">
        <v>303</v>
      </c>
      <c r="D111" t="s">
        <v>38</v>
      </c>
      <c r="F111">
        <v>529742152</v>
      </c>
      <c r="G111">
        <v>459096829</v>
      </c>
      <c r="H111">
        <v>419162107</v>
      </c>
      <c r="I111">
        <v>370343934</v>
      </c>
      <c r="P111">
        <v>231</v>
      </c>
      <c r="Q111" t="s">
        <v>304</v>
      </c>
    </row>
    <row r="112" spans="1:17" x14ac:dyDescent="0.3">
      <c r="A112" t="s">
        <v>17</v>
      </c>
      <c r="B112" t="str">
        <f>"600127"</f>
        <v>600127</v>
      </c>
      <c r="C112" t="s">
        <v>305</v>
      </c>
      <c r="D112" t="s">
        <v>306</v>
      </c>
      <c r="F112">
        <v>13027730</v>
      </c>
      <c r="G112">
        <v>11820739</v>
      </c>
      <c r="H112">
        <v>13110651</v>
      </c>
      <c r="I112">
        <v>6797660</v>
      </c>
      <c r="P112">
        <v>231</v>
      </c>
      <c r="Q112" t="s">
        <v>307</v>
      </c>
    </row>
    <row r="113" spans="1:17" x14ac:dyDescent="0.3">
      <c r="A113" t="s">
        <v>17</v>
      </c>
      <c r="B113" t="str">
        <f>"600128"</f>
        <v>600128</v>
      </c>
      <c r="C113" t="s">
        <v>308</v>
      </c>
      <c r="D113" t="s">
        <v>131</v>
      </c>
      <c r="F113">
        <v>0</v>
      </c>
      <c r="G113">
        <v>0</v>
      </c>
      <c r="H113">
        <v>0</v>
      </c>
      <c r="I113">
        <v>0</v>
      </c>
      <c r="P113">
        <v>77</v>
      </c>
      <c r="Q113" t="s">
        <v>309</v>
      </c>
    </row>
    <row r="114" spans="1:17" x14ac:dyDescent="0.3">
      <c r="A114" t="s">
        <v>17</v>
      </c>
      <c r="B114" t="str">
        <f>"600129"</f>
        <v>600129</v>
      </c>
      <c r="C114" t="s">
        <v>310</v>
      </c>
      <c r="D114" t="s">
        <v>188</v>
      </c>
      <c r="F114">
        <v>102554062</v>
      </c>
      <c r="G114">
        <v>96508691</v>
      </c>
      <c r="H114">
        <v>67174909</v>
      </c>
      <c r="I114">
        <v>42082372</v>
      </c>
      <c r="P114">
        <v>283</v>
      </c>
      <c r="Q114" t="s">
        <v>311</v>
      </c>
    </row>
    <row r="115" spans="1:17" x14ac:dyDescent="0.3">
      <c r="A115" t="s">
        <v>17</v>
      </c>
      <c r="B115" t="str">
        <f>"600130"</f>
        <v>600130</v>
      </c>
      <c r="C115" t="s">
        <v>312</v>
      </c>
      <c r="D115" t="s">
        <v>313</v>
      </c>
      <c r="F115">
        <v>19094536</v>
      </c>
      <c r="G115">
        <v>8436167</v>
      </c>
      <c r="H115">
        <v>8833626</v>
      </c>
      <c r="I115">
        <v>16512522</v>
      </c>
      <c r="P115">
        <v>93</v>
      </c>
      <c r="Q115" t="s">
        <v>314</v>
      </c>
    </row>
    <row r="116" spans="1:17" x14ac:dyDescent="0.3">
      <c r="A116" t="s">
        <v>17</v>
      </c>
      <c r="B116" t="str">
        <f>"600131"</f>
        <v>600131</v>
      </c>
      <c r="C116" t="s">
        <v>315</v>
      </c>
      <c r="D116" t="s">
        <v>316</v>
      </c>
      <c r="F116">
        <v>155939661</v>
      </c>
      <c r="G116">
        <v>242052032</v>
      </c>
      <c r="H116">
        <v>230789773</v>
      </c>
      <c r="P116">
        <v>209</v>
      </c>
      <c r="Q116" t="s">
        <v>317</v>
      </c>
    </row>
    <row r="117" spans="1:17" x14ac:dyDescent="0.3">
      <c r="A117" t="s">
        <v>17</v>
      </c>
      <c r="B117" t="str">
        <f>"600132"</f>
        <v>600132</v>
      </c>
      <c r="C117" t="s">
        <v>318</v>
      </c>
      <c r="D117" t="s">
        <v>319</v>
      </c>
      <c r="F117">
        <v>163151285</v>
      </c>
      <c r="G117">
        <v>84212617</v>
      </c>
      <c r="P117">
        <v>2098</v>
      </c>
      <c r="Q117" t="s">
        <v>320</v>
      </c>
    </row>
    <row r="118" spans="1:17" x14ac:dyDescent="0.3">
      <c r="A118" t="s">
        <v>17</v>
      </c>
      <c r="B118" t="str">
        <f>"600133"</f>
        <v>600133</v>
      </c>
      <c r="C118" t="s">
        <v>321</v>
      </c>
      <c r="D118" t="s">
        <v>101</v>
      </c>
      <c r="F118">
        <v>118463924</v>
      </c>
      <c r="G118">
        <v>107884733</v>
      </c>
      <c r="H118">
        <v>65404528</v>
      </c>
      <c r="I118">
        <v>22630571</v>
      </c>
      <c r="P118">
        <v>192</v>
      </c>
      <c r="Q118" t="s">
        <v>322</v>
      </c>
    </row>
    <row r="119" spans="1:17" x14ac:dyDescent="0.3">
      <c r="A119" t="s">
        <v>17</v>
      </c>
      <c r="B119" t="str">
        <f>"600135"</f>
        <v>600135</v>
      </c>
      <c r="C119" t="s">
        <v>323</v>
      </c>
      <c r="D119" t="s">
        <v>324</v>
      </c>
      <c r="F119">
        <v>113606768</v>
      </c>
      <c r="G119">
        <v>75306182</v>
      </c>
      <c r="H119">
        <v>87404913</v>
      </c>
      <c r="I119">
        <v>61661090</v>
      </c>
      <c r="P119">
        <v>112</v>
      </c>
      <c r="Q119" t="s">
        <v>325</v>
      </c>
    </row>
    <row r="120" spans="1:17" x14ac:dyDescent="0.3">
      <c r="A120" t="s">
        <v>17</v>
      </c>
      <c r="B120" t="str">
        <f>"600136"</f>
        <v>600136</v>
      </c>
      <c r="C120" t="s">
        <v>326</v>
      </c>
      <c r="D120" t="s">
        <v>327</v>
      </c>
      <c r="F120">
        <v>0</v>
      </c>
      <c r="G120">
        <v>0</v>
      </c>
      <c r="P120">
        <v>136</v>
      </c>
      <c r="Q120" t="s">
        <v>328</v>
      </c>
    </row>
    <row r="121" spans="1:17" x14ac:dyDescent="0.3">
      <c r="A121" t="s">
        <v>17</v>
      </c>
      <c r="B121" t="str">
        <f>"600137"</f>
        <v>600137</v>
      </c>
      <c r="C121" t="s">
        <v>329</v>
      </c>
      <c r="D121" t="s">
        <v>330</v>
      </c>
      <c r="F121">
        <v>13337000</v>
      </c>
      <c r="G121">
        <v>9743990</v>
      </c>
      <c r="H121">
        <v>10954655</v>
      </c>
      <c r="I121">
        <v>12781672</v>
      </c>
      <c r="P121">
        <v>75</v>
      </c>
      <c r="Q121" t="s">
        <v>331</v>
      </c>
    </row>
    <row r="122" spans="1:17" x14ac:dyDescent="0.3">
      <c r="A122" t="s">
        <v>17</v>
      </c>
      <c r="B122" t="str">
        <f>"600138"</f>
        <v>600138</v>
      </c>
      <c r="C122" t="s">
        <v>332</v>
      </c>
      <c r="D122" t="s">
        <v>333</v>
      </c>
      <c r="F122">
        <v>9351671</v>
      </c>
      <c r="G122">
        <v>11949437</v>
      </c>
      <c r="H122">
        <v>14176547</v>
      </c>
      <c r="I122">
        <v>6517491</v>
      </c>
      <c r="P122">
        <v>486</v>
      </c>
      <c r="Q122" t="s">
        <v>334</v>
      </c>
    </row>
    <row r="123" spans="1:17" x14ac:dyDescent="0.3">
      <c r="A123" t="s">
        <v>17</v>
      </c>
      <c r="B123" t="str">
        <f>"600139"</f>
        <v>600139</v>
      </c>
      <c r="C123" t="s">
        <v>335</v>
      </c>
      <c r="D123" t="s">
        <v>336</v>
      </c>
      <c r="F123">
        <v>0</v>
      </c>
      <c r="G123">
        <v>0</v>
      </c>
      <c r="I123">
        <v>7961096</v>
      </c>
      <c r="P123">
        <v>90</v>
      </c>
      <c r="Q123" t="s">
        <v>337</v>
      </c>
    </row>
    <row r="124" spans="1:17" x14ac:dyDescent="0.3">
      <c r="A124" t="s">
        <v>17</v>
      </c>
      <c r="B124" t="str">
        <f>"600141"</f>
        <v>600141</v>
      </c>
      <c r="C124" t="s">
        <v>338</v>
      </c>
      <c r="D124" t="s">
        <v>183</v>
      </c>
      <c r="F124">
        <v>862179277</v>
      </c>
      <c r="G124">
        <v>374064650</v>
      </c>
      <c r="H124">
        <v>274879291</v>
      </c>
      <c r="I124">
        <v>281512721</v>
      </c>
      <c r="P124">
        <v>426</v>
      </c>
      <c r="Q124" t="s">
        <v>339</v>
      </c>
    </row>
    <row r="125" spans="1:17" x14ac:dyDescent="0.3">
      <c r="A125" t="s">
        <v>17</v>
      </c>
      <c r="B125" t="str">
        <f>"600143"</f>
        <v>600143</v>
      </c>
      <c r="C125" t="s">
        <v>340</v>
      </c>
      <c r="D125" t="s">
        <v>341</v>
      </c>
      <c r="F125">
        <v>1455208166</v>
      </c>
      <c r="G125">
        <v>1438962962</v>
      </c>
      <c r="H125">
        <v>1170847023</v>
      </c>
      <c r="I125">
        <v>1014176546</v>
      </c>
      <c r="P125">
        <v>1349</v>
      </c>
      <c r="Q125" t="s">
        <v>342</v>
      </c>
    </row>
    <row r="126" spans="1:17" x14ac:dyDescent="0.3">
      <c r="A126" t="s">
        <v>17</v>
      </c>
      <c r="B126" t="str">
        <f>"600145"</f>
        <v>600145</v>
      </c>
      <c r="C126" t="s">
        <v>343</v>
      </c>
      <c r="D126" t="s">
        <v>131</v>
      </c>
      <c r="G126">
        <v>0</v>
      </c>
      <c r="P126">
        <v>46</v>
      </c>
      <c r="Q126" t="s">
        <v>344</v>
      </c>
    </row>
    <row r="127" spans="1:17" x14ac:dyDescent="0.3">
      <c r="A127" t="s">
        <v>17</v>
      </c>
      <c r="B127" t="str">
        <f>"600146"</f>
        <v>600146</v>
      </c>
      <c r="C127" t="s">
        <v>345</v>
      </c>
      <c r="D127" t="s">
        <v>255</v>
      </c>
      <c r="G127">
        <v>0</v>
      </c>
      <c r="P127">
        <v>70</v>
      </c>
      <c r="Q127" t="s">
        <v>346</v>
      </c>
    </row>
    <row r="128" spans="1:17" x14ac:dyDescent="0.3">
      <c r="A128" t="s">
        <v>17</v>
      </c>
      <c r="B128" t="str">
        <f>"600148"</f>
        <v>600148</v>
      </c>
      <c r="C128" t="s">
        <v>347</v>
      </c>
      <c r="D128" t="s">
        <v>348</v>
      </c>
      <c r="F128">
        <v>46844506</v>
      </c>
      <c r="G128">
        <v>43887384</v>
      </c>
      <c r="H128">
        <v>31800957</v>
      </c>
      <c r="I128">
        <v>42301260</v>
      </c>
      <c r="P128">
        <v>75</v>
      </c>
      <c r="Q128" t="s">
        <v>349</v>
      </c>
    </row>
    <row r="129" spans="1:17" x14ac:dyDescent="0.3">
      <c r="A129" t="s">
        <v>17</v>
      </c>
      <c r="B129" t="str">
        <f>"600149"</f>
        <v>600149</v>
      </c>
      <c r="C129" t="s">
        <v>350</v>
      </c>
      <c r="D129" t="s">
        <v>351</v>
      </c>
      <c r="F129">
        <v>914878</v>
      </c>
      <c r="G129">
        <v>0</v>
      </c>
      <c r="P129">
        <v>44</v>
      </c>
      <c r="Q129" t="s">
        <v>352</v>
      </c>
    </row>
    <row r="130" spans="1:17" x14ac:dyDescent="0.3">
      <c r="A130" t="s">
        <v>17</v>
      </c>
      <c r="B130" t="str">
        <f>"600150"</f>
        <v>600150</v>
      </c>
      <c r="C130" t="s">
        <v>353</v>
      </c>
      <c r="D130" t="s">
        <v>167</v>
      </c>
      <c r="F130">
        <v>3121263137</v>
      </c>
      <c r="G130">
        <v>3262783863</v>
      </c>
      <c r="H130">
        <v>1057213145</v>
      </c>
      <c r="I130">
        <v>899388462</v>
      </c>
      <c r="P130">
        <v>469</v>
      </c>
      <c r="Q130" t="s">
        <v>354</v>
      </c>
    </row>
    <row r="131" spans="1:17" x14ac:dyDescent="0.3">
      <c r="A131" t="s">
        <v>17</v>
      </c>
      <c r="B131" t="str">
        <f>"600151"</f>
        <v>600151</v>
      </c>
      <c r="C131" t="s">
        <v>355</v>
      </c>
      <c r="D131" t="s">
        <v>356</v>
      </c>
      <c r="F131">
        <v>171139152</v>
      </c>
      <c r="G131">
        <v>183654082</v>
      </c>
      <c r="H131">
        <v>277388259</v>
      </c>
      <c r="I131">
        <v>309778723</v>
      </c>
      <c r="P131">
        <v>165</v>
      </c>
      <c r="Q131" t="s">
        <v>357</v>
      </c>
    </row>
    <row r="132" spans="1:17" x14ac:dyDescent="0.3">
      <c r="A132" t="s">
        <v>17</v>
      </c>
      <c r="B132" t="str">
        <f>"600152"</f>
        <v>600152</v>
      </c>
      <c r="C132" t="s">
        <v>358</v>
      </c>
      <c r="D132" t="s">
        <v>359</v>
      </c>
      <c r="F132">
        <v>101470307</v>
      </c>
      <c r="G132">
        <v>84530735</v>
      </c>
      <c r="H132">
        <v>68533597</v>
      </c>
      <c r="I132">
        <v>63975738</v>
      </c>
      <c r="P132">
        <v>147</v>
      </c>
      <c r="Q132" t="s">
        <v>360</v>
      </c>
    </row>
    <row r="133" spans="1:17" x14ac:dyDescent="0.3">
      <c r="A133" t="s">
        <v>17</v>
      </c>
      <c r="B133" t="str">
        <f>"600153"</f>
        <v>600153</v>
      </c>
      <c r="C133" t="s">
        <v>361</v>
      </c>
      <c r="D133" t="s">
        <v>128</v>
      </c>
      <c r="F133">
        <v>73728410</v>
      </c>
      <c r="G133">
        <v>10026341</v>
      </c>
      <c r="H133">
        <v>13321144</v>
      </c>
      <c r="I133">
        <v>9496867</v>
      </c>
      <c r="P133">
        <v>2153</v>
      </c>
      <c r="Q133" t="s">
        <v>362</v>
      </c>
    </row>
    <row r="134" spans="1:17" x14ac:dyDescent="0.3">
      <c r="A134" t="s">
        <v>17</v>
      </c>
      <c r="B134" t="str">
        <f>"600155"</f>
        <v>600155</v>
      </c>
      <c r="C134" t="s">
        <v>363</v>
      </c>
      <c r="D134" t="s">
        <v>80</v>
      </c>
      <c r="F134">
        <v>0</v>
      </c>
      <c r="G134">
        <v>0</v>
      </c>
      <c r="P134">
        <v>630</v>
      </c>
      <c r="Q134" t="s">
        <v>364</v>
      </c>
    </row>
    <row r="135" spans="1:17" x14ac:dyDescent="0.3">
      <c r="A135" t="s">
        <v>17</v>
      </c>
      <c r="B135" t="str">
        <f>"600156"</f>
        <v>600156</v>
      </c>
      <c r="C135" t="s">
        <v>365</v>
      </c>
      <c r="D135" t="s">
        <v>366</v>
      </c>
      <c r="F135">
        <v>14193344</v>
      </c>
      <c r="G135">
        <v>10513595</v>
      </c>
      <c r="H135">
        <v>8084685</v>
      </c>
      <c r="I135">
        <v>5148410</v>
      </c>
      <c r="P135">
        <v>75</v>
      </c>
      <c r="Q135" t="s">
        <v>367</v>
      </c>
    </row>
    <row r="136" spans="1:17" x14ac:dyDescent="0.3">
      <c r="A136" t="s">
        <v>17</v>
      </c>
      <c r="B136" t="str">
        <f>"600157"</f>
        <v>600157</v>
      </c>
      <c r="C136" t="s">
        <v>368</v>
      </c>
      <c r="D136" t="s">
        <v>298</v>
      </c>
      <c r="F136">
        <v>120427423</v>
      </c>
      <c r="G136">
        <v>123129530</v>
      </c>
      <c r="H136">
        <v>167546211</v>
      </c>
      <c r="I136">
        <v>145346985</v>
      </c>
      <c r="P136">
        <v>226</v>
      </c>
      <c r="Q136" t="s">
        <v>369</v>
      </c>
    </row>
    <row r="137" spans="1:17" x14ac:dyDescent="0.3">
      <c r="A137" t="s">
        <v>17</v>
      </c>
      <c r="B137" t="str">
        <f>"600158"</f>
        <v>600158</v>
      </c>
      <c r="C137" t="s">
        <v>370</v>
      </c>
      <c r="D137" t="s">
        <v>327</v>
      </c>
      <c r="F137">
        <v>50261185</v>
      </c>
      <c r="G137">
        <v>126457518</v>
      </c>
      <c r="H137">
        <v>2496740</v>
      </c>
      <c r="I137">
        <v>5621732</v>
      </c>
      <c r="P137">
        <v>166</v>
      </c>
      <c r="Q137" t="s">
        <v>371</v>
      </c>
    </row>
    <row r="138" spans="1:17" x14ac:dyDescent="0.3">
      <c r="A138" t="s">
        <v>17</v>
      </c>
      <c r="B138" t="str">
        <f>"600159"</f>
        <v>600159</v>
      </c>
      <c r="C138" t="s">
        <v>372</v>
      </c>
      <c r="D138" t="s">
        <v>104</v>
      </c>
      <c r="F138">
        <v>0</v>
      </c>
      <c r="G138">
        <v>0</v>
      </c>
      <c r="P138">
        <v>87</v>
      </c>
      <c r="Q138" t="s">
        <v>373</v>
      </c>
    </row>
    <row r="139" spans="1:17" x14ac:dyDescent="0.3">
      <c r="A139" t="s">
        <v>17</v>
      </c>
      <c r="B139" t="str">
        <f>"600160"</f>
        <v>600160</v>
      </c>
      <c r="C139" t="s">
        <v>374</v>
      </c>
      <c r="D139" t="s">
        <v>375</v>
      </c>
      <c r="F139">
        <v>654072364</v>
      </c>
      <c r="G139">
        <v>459146664</v>
      </c>
      <c r="H139">
        <v>497954730</v>
      </c>
      <c r="I139">
        <v>496403923</v>
      </c>
      <c r="P139">
        <v>469</v>
      </c>
      <c r="Q139" t="s">
        <v>376</v>
      </c>
    </row>
    <row r="140" spans="1:17" x14ac:dyDescent="0.3">
      <c r="A140" t="s">
        <v>17</v>
      </c>
      <c r="B140" t="str">
        <f>"600161"</f>
        <v>600161</v>
      </c>
      <c r="C140" t="s">
        <v>377</v>
      </c>
      <c r="D140" t="s">
        <v>378</v>
      </c>
      <c r="F140">
        <v>133209660</v>
      </c>
      <c r="G140">
        <v>119874891</v>
      </c>
      <c r="H140">
        <v>118676554</v>
      </c>
      <c r="I140">
        <v>105363480</v>
      </c>
      <c r="P140">
        <v>1406</v>
      </c>
      <c r="Q140" t="s">
        <v>379</v>
      </c>
    </row>
    <row r="141" spans="1:17" x14ac:dyDescent="0.3">
      <c r="A141" t="s">
        <v>17</v>
      </c>
      <c r="B141" t="str">
        <f>"600162"</f>
        <v>600162</v>
      </c>
      <c r="C141" t="s">
        <v>380</v>
      </c>
      <c r="D141" t="s">
        <v>104</v>
      </c>
      <c r="F141">
        <v>0</v>
      </c>
      <c r="G141">
        <v>0</v>
      </c>
      <c r="P141">
        <v>170</v>
      </c>
      <c r="Q141" t="s">
        <v>381</v>
      </c>
    </row>
    <row r="142" spans="1:17" x14ac:dyDescent="0.3">
      <c r="A142" t="s">
        <v>17</v>
      </c>
      <c r="B142" t="str">
        <f>"600163"</f>
        <v>600163</v>
      </c>
      <c r="C142" t="s">
        <v>382</v>
      </c>
      <c r="D142" t="s">
        <v>383</v>
      </c>
      <c r="F142">
        <v>0</v>
      </c>
      <c r="G142">
        <v>0</v>
      </c>
      <c r="P142">
        <v>219</v>
      </c>
      <c r="Q142" t="s">
        <v>384</v>
      </c>
    </row>
    <row r="143" spans="1:17" x14ac:dyDescent="0.3">
      <c r="A143" t="s">
        <v>17</v>
      </c>
      <c r="B143" t="str">
        <f>"600165"</f>
        <v>600165</v>
      </c>
      <c r="C143" t="s">
        <v>385</v>
      </c>
      <c r="D143" t="s">
        <v>386</v>
      </c>
      <c r="F143">
        <v>20467396</v>
      </c>
      <c r="G143">
        <v>964884</v>
      </c>
      <c r="H143">
        <v>1635133</v>
      </c>
      <c r="I143">
        <v>711509</v>
      </c>
      <c r="P143">
        <v>70</v>
      </c>
      <c r="Q143" t="s">
        <v>387</v>
      </c>
    </row>
    <row r="144" spans="1:17" x14ac:dyDescent="0.3">
      <c r="A144" t="s">
        <v>17</v>
      </c>
      <c r="B144" t="str">
        <f>"600166"</f>
        <v>600166</v>
      </c>
      <c r="C144" t="s">
        <v>388</v>
      </c>
      <c r="D144" t="s">
        <v>27</v>
      </c>
      <c r="F144">
        <v>1715085738</v>
      </c>
      <c r="G144">
        <v>1834342286</v>
      </c>
      <c r="H144">
        <v>1720211110</v>
      </c>
      <c r="I144">
        <v>1516521556</v>
      </c>
      <c r="P144">
        <v>439</v>
      </c>
      <c r="Q144" t="s">
        <v>389</v>
      </c>
    </row>
    <row r="145" spans="1:17" x14ac:dyDescent="0.3">
      <c r="A145" t="s">
        <v>17</v>
      </c>
      <c r="B145" t="str">
        <f>"600167"</f>
        <v>600167</v>
      </c>
      <c r="C145" t="s">
        <v>390</v>
      </c>
      <c r="D145" t="s">
        <v>351</v>
      </c>
      <c r="F145">
        <v>22640408</v>
      </c>
      <c r="G145">
        <v>23250589</v>
      </c>
      <c r="H145">
        <v>23796027</v>
      </c>
      <c r="I145">
        <v>24384070</v>
      </c>
      <c r="P145">
        <v>39750</v>
      </c>
      <c r="Q145" t="s">
        <v>391</v>
      </c>
    </row>
    <row r="146" spans="1:17" x14ac:dyDescent="0.3">
      <c r="A146" t="s">
        <v>17</v>
      </c>
      <c r="B146" t="str">
        <f>"600168"</f>
        <v>600168</v>
      </c>
      <c r="C146" t="s">
        <v>392</v>
      </c>
      <c r="D146" t="s">
        <v>33</v>
      </c>
      <c r="F146">
        <v>58693636</v>
      </c>
      <c r="G146">
        <v>0</v>
      </c>
      <c r="P146">
        <v>168</v>
      </c>
      <c r="Q146" t="s">
        <v>393</v>
      </c>
    </row>
    <row r="147" spans="1:17" x14ac:dyDescent="0.3">
      <c r="A147" t="s">
        <v>17</v>
      </c>
      <c r="B147" t="str">
        <f>"600169"</f>
        <v>600169</v>
      </c>
      <c r="C147" t="s">
        <v>394</v>
      </c>
      <c r="D147" t="s">
        <v>395</v>
      </c>
      <c r="F147">
        <v>340033867</v>
      </c>
      <c r="G147">
        <v>215061530</v>
      </c>
      <c r="H147">
        <v>176635458</v>
      </c>
      <c r="I147">
        <v>149406062</v>
      </c>
      <c r="P147">
        <v>133</v>
      </c>
      <c r="Q147" t="s">
        <v>396</v>
      </c>
    </row>
    <row r="148" spans="1:17" x14ac:dyDescent="0.3">
      <c r="A148" t="s">
        <v>17</v>
      </c>
      <c r="B148" t="str">
        <f>"600170"</f>
        <v>600170</v>
      </c>
      <c r="C148" t="s">
        <v>397</v>
      </c>
      <c r="D148" t="s">
        <v>398</v>
      </c>
      <c r="F148">
        <v>9892811527</v>
      </c>
      <c r="G148">
        <v>8114047328</v>
      </c>
      <c r="H148">
        <v>6219718568</v>
      </c>
      <c r="I148">
        <v>5178923794</v>
      </c>
      <c r="P148">
        <v>698</v>
      </c>
      <c r="Q148" t="s">
        <v>399</v>
      </c>
    </row>
    <row r="149" spans="1:17" x14ac:dyDescent="0.3">
      <c r="A149" t="s">
        <v>17</v>
      </c>
      <c r="B149" t="str">
        <f>"600171"</f>
        <v>600171</v>
      </c>
      <c r="C149" t="s">
        <v>400</v>
      </c>
      <c r="D149" t="s">
        <v>401</v>
      </c>
      <c r="F149">
        <v>176647914</v>
      </c>
      <c r="G149">
        <v>115674234</v>
      </c>
      <c r="H149">
        <v>95781237</v>
      </c>
      <c r="I149">
        <v>88158313</v>
      </c>
      <c r="P149">
        <v>576</v>
      </c>
      <c r="Q149" t="s">
        <v>402</v>
      </c>
    </row>
    <row r="150" spans="1:17" x14ac:dyDescent="0.3">
      <c r="A150" t="s">
        <v>17</v>
      </c>
      <c r="B150" t="str">
        <f>"600172"</f>
        <v>600172</v>
      </c>
      <c r="C150" t="s">
        <v>403</v>
      </c>
      <c r="D150" t="s">
        <v>404</v>
      </c>
      <c r="F150">
        <v>77301374</v>
      </c>
      <c r="G150">
        <v>64342901</v>
      </c>
      <c r="H150">
        <v>56537525</v>
      </c>
      <c r="I150">
        <v>115675605</v>
      </c>
      <c r="P150">
        <v>325</v>
      </c>
      <c r="Q150" t="s">
        <v>405</v>
      </c>
    </row>
    <row r="151" spans="1:17" x14ac:dyDescent="0.3">
      <c r="A151" t="s">
        <v>17</v>
      </c>
      <c r="B151" t="str">
        <f>"600173"</f>
        <v>600173</v>
      </c>
      <c r="C151" t="s">
        <v>406</v>
      </c>
      <c r="D151" t="s">
        <v>104</v>
      </c>
      <c r="F151">
        <v>0</v>
      </c>
      <c r="G151">
        <v>0</v>
      </c>
      <c r="I151">
        <v>53063592</v>
      </c>
      <c r="P151">
        <v>302</v>
      </c>
      <c r="Q151" t="s">
        <v>407</v>
      </c>
    </row>
    <row r="152" spans="1:17" x14ac:dyDescent="0.3">
      <c r="A152" t="s">
        <v>17</v>
      </c>
      <c r="B152" t="str">
        <f>"600175"</f>
        <v>600175</v>
      </c>
      <c r="C152" t="s">
        <v>408</v>
      </c>
      <c r="H152">
        <v>62584689</v>
      </c>
      <c r="I152">
        <v>124691366</v>
      </c>
      <c r="P152">
        <v>58</v>
      </c>
      <c r="Q152" t="s">
        <v>409</v>
      </c>
    </row>
    <row r="153" spans="1:17" x14ac:dyDescent="0.3">
      <c r="A153" t="s">
        <v>17</v>
      </c>
      <c r="B153" t="str">
        <f>"600176"</f>
        <v>600176</v>
      </c>
      <c r="C153" t="s">
        <v>410</v>
      </c>
      <c r="D153" t="s">
        <v>411</v>
      </c>
      <c r="F153">
        <v>552223388</v>
      </c>
      <c r="G153">
        <v>341662981</v>
      </c>
      <c r="H153">
        <v>283805967</v>
      </c>
      <c r="I153">
        <v>288768066</v>
      </c>
      <c r="P153">
        <v>2781</v>
      </c>
      <c r="Q153" t="s">
        <v>412</v>
      </c>
    </row>
    <row r="154" spans="1:17" x14ac:dyDescent="0.3">
      <c r="A154" t="s">
        <v>17</v>
      </c>
      <c r="B154" t="str">
        <f>"600177"</f>
        <v>600177</v>
      </c>
      <c r="C154" t="s">
        <v>413</v>
      </c>
      <c r="D154" t="s">
        <v>255</v>
      </c>
      <c r="F154">
        <v>69931286</v>
      </c>
      <c r="G154">
        <v>67178626</v>
      </c>
      <c r="H154">
        <v>84912668</v>
      </c>
      <c r="I154">
        <v>46415016</v>
      </c>
      <c r="P154">
        <v>1571</v>
      </c>
      <c r="Q154" t="s">
        <v>414</v>
      </c>
    </row>
    <row r="155" spans="1:17" x14ac:dyDescent="0.3">
      <c r="A155" t="s">
        <v>17</v>
      </c>
      <c r="B155" t="str">
        <f>"600178"</f>
        <v>600178</v>
      </c>
      <c r="C155" t="s">
        <v>415</v>
      </c>
      <c r="D155" t="s">
        <v>348</v>
      </c>
      <c r="F155">
        <v>175990310</v>
      </c>
      <c r="G155">
        <v>98162156</v>
      </c>
      <c r="H155">
        <v>26444573</v>
      </c>
      <c r="I155">
        <v>20884060</v>
      </c>
      <c r="P155">
        <v>119</v>
      </c>
      <c r="Q155" t="s">
        <v>416</v>
      </c>
    </row>
    <row r="156" spans="1:17" x14ac:dyDescent="0.3">
      <c r="A156" t="s">
        <v>17</v>
      </c>
      <c r="B156" t="str">
        <f>"600179"</f>
        <v>600179</v>
      </c>
      <c r="C156" t="s">
        <v>417</v>
      </c>
      <c r="D156" t="s">
        <v>69</v>
      </c>
      <c r="F156">
        <v>0</v>
      </c>
      <c r="G156">
        <v>9098844</v>
      </c>
      <c r="H156">
        <v>8014951</v>
      </c>
      <c r="I156">
        <v>3855214</v>
      </c>
      <c r="P156">
        <v>127</v>
      </c>
      <c r="Q156" t="s">
        <v>418</v>
      </c>
    </row>
    <row r="157" spans="1:17" x14ac:dyDescent="0.3">
      <c r="A157" t="s">
        <v>17</v>
      </c>
      <c r="B157" t="str">
        <f>"600180"</f>
        <v>600180</v>
      </c>
      <c r="C157" t="s">
        <v>419</v>
      </c>
      <c r="D157" t="s">
        <v>128</v>
      </c>
      <c r="F157">
        <v>3610242</v>
      </c>
      <c r="G157">
        <v>2599266</v>
      </c>
      <c r="P157">
        <v>151</v>
      </c>
      <c r="Q157" t="s">
        <v>420</v>
      </c>
    </row>
    <row r="158" spans="1:17" x14ac:dyDescent="0.3">
      <c r="A158" t="s">
        <v>17</v>
      </c>
      <c r="B158" t="str">
        <f>"600182"</f>
        <v>600182</v>
      </c>
      <c r="C158" t="s">
        <v>421</v>
      </c>
      <c r="D158" t="s">
        <v>422</v>
      </c>
      <c r="F158">
        <v>22397465</v>
      </c>
      <c r="G158">
        <v>19495872</v>
      </c>
      <c r="H158">
        <v>7967072</v>
      </c>
      <c r="I158">
        <v>5002814</v>
      </c>
      <c r="P158">
        <v>77</v>
      </c>
      <c r="Q158" t="s">
        <v>423</v>
      </c>
    </row>
    <row r="159" spans="1:17" x14ac:dyDescent="0.3">
      <c r="A159" t="s">
        <v>17</v>
      </c>
      <c r="B159" t="str">
        <f>"600183"</f>
        <v>600183</v>
      </c>
      <c r="C159" t="s">
        <v>424</v>
      </c>
      <c r="D159" t="s">
        <v>425</v>
      </c>
      <c r="F159">
        <v>964472947</v>
      </c>
      <c r="G159">
        <v>710765835</v>
      </c>
      <c r="H159">
        <v>605104206</v>
      </c>
      <c r="I159">
        <v>528797714</v>
      </c>
      <c r="P159">
        <v>2338</v>
      </c>
      <c r="Q159" t="s">
        <v>426</v>
      </c>
    </row>
    <row r="160" spans="1:17" x14ac:dyDescent="0.3">
      <c r="A160" t="s">
        <v>17</v>
      </c>
      <c r="B160" t="str">
        <f>"600184"</f>
        <v>600184</v>
      </c>
      <c r="C160" t="s">
        <v>427</v>
      </c>
      <c r="D160" t="s">
        <v>428</v>
      </c>
      <c r="F160">
        <v>147815976</v>
      </c>
      <c r="G160">
        <v>147796840</v>
      </c>
      <c r="H160">
        <v>116653456</v>
      </c>
      <c r="I160">
        <v>120889577</v>
      </c>
      <c r="P160">
        <v>143</v>
      </c>
      <c r="Q160" t="s">
        <v>429</v>
      </c>
    </row>
    <row r="161" spans="1:17" x14ac:dyDescent="0.3">
      <c r="A161" t="s">
        <v>17</v>
      </c>
      <c r="B161" t="str">
        <f>"600185"</f>
        <v>600185</v>
      </c>
      <c r="C161" t="s">
        <v>430</v>
      </c>
      <c r="D161" t="s">
        <v>104</v>
      </c>
      <c r="F161">
        <v>2922548</v>
      </c>
      <c r="G161">
        <v>0</v>
      </c>
      <c r="P161">
        <v>321</v>
      </c>
      <c r="Q161" t="s">
        <v>431</v>
      </c>
    </row>
    <row r="162" spans="1:17" x14ac:dyDescent="0.3">
      <c r="A162" t="s">
        <v>17</v>
      </c>
      <c r="B162" t="str">
        <f>"600186"</f>
        <v>600186</v>
      </c>
      <c r="C162" t="s">
        <v>432</v>
      </c>
      <c r="D162" t="s">
        <v>433</v>
      </c>
      <c r="F162">
        <v>22072411</v>
      </c>
      <c r="G162">
        <v>17720340</v>
      </c>
      <c r="H162">
        <v>984250</v>
      </c>
      <c r="P162">
        <v>182</v>
      </c>
      <c r="Q162" t="s">
        <v>434</v>
      </c>
    </row>
    <row r="163" spans="1:17" x14ac:dyDescent="0.3">
      <c r="A163" t="s">
        <v>17</v>
      </c>
      <c r="B163" t="str">
        <f>"600187"</f>
        <v>600187</v>
      </c>
      <c r="C163" t="s">
        <v>435</v>
      </c>
      <c r="D163" t="s">
        <v>33</v>
      </c>
      <c r="F163">
        <v>5105731</v>
      </c>
      <c r="G163">
        <v>5353083</v>
      </c>
      <c r="H163">
        <v>5804223</v>
      </c>
      <c r="I163">
        <v>7364072</v>
      </c>
      <c r="P163">
        <v>116</v>
      </c>
      <c r="Q163" t="s">
        <v>436</v>
      </c>
    </row>
    <row r="164" spans="1:17" x14ac:dyDescent="0.3">
      <c r="A164" t="s">
        <v>17</v>
      </c>
      <c r="B164" t="str">
        <f>"600188"</f>
        <v>600188</v>
      </c>
      <c r="C164" t="s">
        <v>437</v>
      </c>
      <c r="D164" t="s">
        <v>292</v>
      </c>
      <c r="F164">
        <v>1139629000</v>
      </c>
      <c r="G164">
        <v>509506000</v>
      </c>
      <c r="H164">
        <v>265014000</v>
      </c>
      <c r="I164">
        <v>157561000</v>
      </c>
      <c r="P164">
        <v>1939</v>
      </c>
      <c r="Q164" t="s">
        <v>438</v>
      </c>
    </row>
    <row r="165" spans="1:17" x14ac:dyDescent="0.3">
      <c r="A165" t="s">
        <v>17</v>
      </c>
      <c r="B165" t="str">
        <f>"600189"</f>
        <v>600189</v>
      </c>
      <c r="C165" t="s">
        <v>439</v>
      </c>
      <c r="D165" t="s">
        <v>440</v>
      </c>
      <c r="F165">
        <v>18051875</v>
      </c>
      <c r="G165">
        <v>19841342</v>
      </c>
      <c r="H165">
        <v>24774693</v>
      </c>
      <c r="I165">
        <v>22483649</v>
      </c>
      <c r="P165">
        <v>177</v>
      </c>
      <c r="Q165" t="s">
        <v>441</v>
      </c>
    </row>
    <row r="166" spans="1:17" x14ac:dyDescent="0.3">
      <c r="A166" t="s">
        <v>17</v>
      </c>
      <c r="B166" t="str">
        <f>"600190"</f>
        <v>600190</v>
      </c>
      <c r="C166" t="s">
        <v>442</v>
      </c>
      <c r="D166" t="s">
        <v>51</v>
      </c>
      <c r="F166">
        <v>0</v>
      </c>
      <c r="G166">
        <v>0</v>
      </c>
      <c r="P166">
        <v>90</v>
      </c>
      <c r="Q166" t="s">
        <v>443</v>
      </c>
    </row>
    <row r="167" spans="1:17" x14ac:dyDescent="0.3">
      <c r="A167" t="s">
        <v>17</v>
      </c>
      <c r="B167" t="str">
        <f>"600191"</f>
        <v>600191</v>
      </c>
      <c r="C167" t="s">
        <v>444</v>
      </c>
      <c r="D167" t="s">
        <v>445</v>
      </c>
      <c r="F167">
        <v>0</v>
      </c>
      <c r="G167">
        <v>0</v>
      </c>
      <c r="P167">
        <v>121</v>
      </c>
      <c r="Q167" t="s">
        <v>446</v>
      </c>
    </row>
    <row r="168" spans="1:17" x14ac:dyDescent="0.3">
      <c r="A168" t="s">
        <v>17</v>
      </c>
      <c r="B168" t="str">
        <f>"600192"</f>
        <v>600192</v>
      </c>
      <c r="C168" t="s">
        <v>447</v>
      </c>
      <c r="D168" t="s">
        <v>210</v>
      </c>
      <c r="F168">
        <v>76701991</v>
      </c>
      <c r="G168">
        <v>91955351</v>
      </c>
      <c r="H168">
        <v>58198021</v>
      </c>
      <c r="I168">
        <v>54548788</v>
      </c>
      <c r="P168">
        <v>76</v>
      </c>
      <c r="Q168" t="s">
        <v>448</v>
      </c>
    </row>
    <row r="169" spans="1:17" x14ac:dyDescent="0.3">
      <c r="A169" t="s">
        <v>17</v>
      </c>
      <c r="B169" t="str">
        <f>"600193"</f>
        <v>600193</v>
      </c>
      <c r="C169" t="s">
        <v>449</v>
      </c>
      <c r="D169" t="s">
        <v>450</v>
      </c>
      <c r="F169">
        <v>0</v>
      </c>
      <c r="G169">
        <v>0</v>
      </c>
      <c r="P169">
        <v>57</v>
      </c>
      <c r="Q169" t="s">
        <v>451</v>
      </c>
    </row>
    <row r="170" spans="1:17" x14ac:dyDescent="0.3">
      <c r="A170" t="s">
        <v>17</v>
      </c>
      <c r="B170" t="str">
        <f>"600195"</f>
        <v>600195</v>
      </c>
      <c r="C170" t="s">
        <v>452</v>
      </c>
      <c r="D170" t="s">
        <v>453</v>
      </c>
      <c r="F170">
        <v>162572296</v>
      </c>
      <c r="G170">
        <v>169864868</v>
      </c>
      <c r="H170">
        <v>172956859</v>
      </c>
      <c r="I170">
        <v>166590821</v>
      </c>
      <c r="P170">
        <v>373</v>
      </c>
      <c r="Q170" t="s">
        <v>454</v>
      </c>
    </row>
    <row r="171" spans="1:17" x14ac:dyDescent="0.3">
      <c r="A171" t="s">
        <v>17</v>
      </c>
      <c r="B171" t="str">
        <f>"600196"</f>
        <v>600196</v>
      </c>
      <c r="C171" t="s">
        <v>455</v>
      </c>
      <c r="D171" t="s">
        <v>143</v>
      </c>
      <c r="F171">
        <v>3834482890</v>
      </c>
      <c r="G171">
        <v>2795494051</v>
      </c>
      <c r="H171">
        <v>2041400644</v>
      </c>
      <c r="I171">
        <v>1479612338</v>
      </c>
      <c r="P171">
        <v>3821</v>
      </c>
      <c r="Q171" t="s">
        <v>456</v>
      </c>
    </row>
    <row r="172" spans="1:17" x14ac:dyDescent="0.3">
      <c r="A172" t="s">
        <v>17</v>
      </c>
      <c r="B172" t="str">
        <f>"600197"</f>
        <v>600197</v>
      </c>
      <c r="C172" t="s">
        <v>457</v>
      </c>
      <c r="D172" t="s">
        <v>458</v>
      </c>
      <c r="F172">
        <v>18623115</v>
      </c>
      <c r="G172">
        <v>16355036</v>
      </c>
      <c r="H172">
        <v>17762249</v>
      </c>
      <c r="I172">
        <v>17961918</v>
      </c>
      <c r="P172">
        <v>1080</v>
      </c>
      <c r="Q172" t="s">
        <v>459</v>
      </c>
    </row>
    <row r="173" spans="1:17" x14ac:dyDescent="0.3">
      <c r="A173" t="s">
        <v>17</v>
      </c>
      <c r="B173" t="str">
        <f>"600198"</f>
        <v>600198</v>
      </c>
      <c r="C173" t="s">
        <v>460</v>
      </c>
      <c r="D173" t="s">
        <v>461</v>
      </c>
      <c r="F173">
        <v>248214687</v>
      </c>
      <c r="G173">
        <v>293576102</v>
      </c>
      <c r="H173">
        <v>274587636</v>
      </c>
      <c r="I173">
        <v>145077559</v>
      </c>
      <c r="P173">
        <v>286</v>
      </c>
      <c r="Q173" t="s">
        <v>462</v>
      </c>
    </row>
    <row r="174" spans="1:17" x14ac:dyDescent="0.3">
      <c r="A174" t="s">
        <v>17</v>
      </c>
      <c r="B174" t="str">
        <f>"600199"</f>
        <v>600199</v>
      </c>
      <c r="C174" t="s">
        <v>463</v>
      </c>
      <c r="D174" t="s">
        <v>458</v>
      </c>
      <c r="F174">
        <v>30459905</v>
      </c>
      <c r="G174">
        <v>8923483</v>
      </c>
      <c r="H174">
        <v>17187220</v>
      </c>
      <c r="I174">
        <v>17020890</v>
      </c>
      <c r="P174">
        <v>383</v>
      </c>
      <c r="Q174" t="s">
        <v>464</v>
      </c>
    </row>
    <row r="175" spans="1:17" x14ac:dyDescent="0.3">
      <c r="A175" t="s">
        <v>17</v>
      </c>
      <c r="B175" t="str">
        <f>"600200"</f>
        <v>600200</v>
      </c>
      <c r="C175" t="s">
        <v>465</v>
      </c>
      <c r="D175" t="s">
        <v>143</v>
      </c>
      <c r="F175">
        <v>21092048</v>
      </c>
      <c r="G175">
        <v>37477620</v>
      </c>
      <c r="H175">
        <v>13600037</v>
      </c>
      <c r="I175">
        <v>51028359</v>
      </c>
      <c r="P175">
        <v>143</v>
      </c>
      <c r="Q175" t="s">
        <v>466</v>
      </c>
    </row>
    <row r="176" spans="1:17" x14ac:dyDescent="0.3">
      <c r="A176" t="s">
        <v>17</v>
      </c>
      <c r="B176" t="str">
        <f>"600201"</f>
        <v>600201</v>
      </c>
      <c r="C176" t="s">
        <v>467</v>
      </c>
      <c r="D176" t="s">
        <v>453</v>
      </c>
      <c r="F176">
        <v>165939974</v>
      </c>
      <c r="G176">
        <v>130828818</v>
      </c>
      <c r="H176">
        <v>86661496</v>
      </c>
      <c r="I176">
        <v>107431887</v>
      </c>
      <c r="P176">
        <v>1764</v>
      </c>
      <c r="Q176" t="s">
        <v>468</v>
      </c>
    </row>
    <row r="177" spans="1:17" x14ac:dyDescent="0.3">
      <c r="A177" t="s">
        <v>17</v>
      </c>
      <c r="B177" t="str">
        <f>"600202"</f>
        <v>600202</v>
      </c>
      <c r="C177" t="s">
        <v>469</v>
      </c>
      <c r="D177" t="s">
        <v>470</v>
      </c>
      <c r="F177">
        <v>32437791</v>
      </c>
      <c r="G177">
        <v>34694856</v>
      </c>
      <c r="H177">
        <v>34501493</v>
      </c>
      <c r="I177">
        <v>22981086</v>
      </c>
      <c r="P177">
        <v>76</v>
      </c>
      <c r="Q177" t="s">
        <v>471</v>
      </c>
    </row>
    <row r="178" spans="1:17" x14ac:dyDescent="0.3">
      <c r="A178" t="s">
        <v>17</v>
      </c>
      <c r="B178" t="str">
        <f>"600203"</f>
        <v>600203</v>
      </c>
      <c r="C178" t="s">
        <v>472</v>
      </c>
      <c r="D178" t="s">
        <v>313</v>
      </c>
      <c r="F178">
        <v>234413170</v>
      </c>
      <c r="G178">
        <v>240258544</v>
      </c>
      <c r="H178">
        <v>370111746</v>
      </c>
      <c r="I178">
        <v>349982866</v>
      </c>
      <c r="P178">
        <v>143</v>
      </c>
      <c r="Q178" t="s">
        <v>473</v>
      </c>
    </row>
    <row r="179" spans="1:17" x14ac:dyDescent="0.3">
      <c r="A179" t="s">
        <v>17</v>
      </c>
      <c r="B179" t="str">
        <f>"600206"</f>
        <v>600206</v>
      </c>
      <c r="C179" t="s">
        <v>474</v>
      </c>
      <c r="D179" t="s">
        <v>475</v>
      </c>
      <c r="F179">
        <v>190831054</v>
      </c>
      <c r="G179">
        <v>129125301</v>
      </c>
      <c r="H179">
        <v>98680536</v>
      </c>
      <c r="I179">
        <v>89037462</v>
      </c>
      <c r="P179">
        <v>421</v>
      </c>
      <c r="Q179" t="s">
        <v>476</v>
      </c>
    </row>
    <row r="180" spans="1:17" x14ac:dyDescent="0.3">
      <c r="A180" t="s">
        <v>17</v>
      </c>
      <c r="B180" t="str">
        <f>"600207"</f>
        <v>600207</v>
      </c>
      <c r="C180" t="s">
        <v>477</v>
      </c>
      <c r="D180" t="s">
        <v>478</v>
      </c>
      <c r="F180">
        <v>49599687</v>
      </c>
      <c r="G180">
        <v>28637884</v>
      </c>
      <c r="H180">
        <v>748370</v>
      </c>
      <c r="I180">
        <v>712801</v>
      </c>
      <c r="P180">
        <v>146</v>
      </c>
      <c r="Q180" t="s">
        <v>479</v>
      </c>
    </row>
    <row r="181" spans="1:17" x14ac:dyDescent="0.3">
      <c r="A181" t="s">
        <v>17</v>
      </c>
      <c r="B181" t="str">
        <f>"600208"</f>
        <v>600208</v>
      </c>
      <c r="C181" t="s">
        <v>480</v>
      </c>
      <c r="D181" t="s">
        <v>104</v>
      </c>
      <c r="F181">
        <v>0</v>
      </c>
      <c r="G181">
        <v>0</v>
      </c>
      <c r="P181">
        <v>331</v>
      </c>
      <c r="Q181" t="s">
        <v>481</v>
      </c>
    </row>
    <row r="182" spans="1:17" x14ac:dyDescent="0.3">
      <c r="A182" t="s">
        <v>17</v>
      </c>
      <c r="B182" t="str">
        <f>"600209"</f>
        <v>600209</v>
      </c>
      <c r="C182" t="s">
        <v>482</v>
      </c>
      <c r="D182" t="s">
        <v>450</v>
      </c>
      <c r="F182">
        <v>4106350</v>
      </c>
      <c r="G182">
        <v>0</v>
      </c>
      <c r="P182">
        <v>49</v>
      </c>
      <c r="Q182" t="s">
        <v>483</v>
      </c>
    </row>
    <row r="183" spans="1:17" x14ac:dyDescent="0.3">
      <c r="A183" t="s">
        <v>17</v>
      </c>
      <c r="B183" t="str">
        <f>"600210"</f>
        <v>600210</v>
      </c>
      <c r="C183" t="s">
        <v>484</v>
      </c>
      <c r="D183" t="s">
        <v>485</v>
      </c>
      <c r="F183">
        <v>298279759</v>
      </c>
      <c r="G183">
        <v>222134773</v>
      </c>
      <c r="H183">
        <v>178046707</v>
      </c>
      <c r="I183">
        <v>159205677</v>
      </c>
      <c r="P183">
        <v>192</v>
      </c>
      <c r="Q183" t="s">
        <v>486</v>
      </c>
    </row>
    <row r="184" spans="1:17" x14ac:dyDescent="0.3">
      <c r="A184" t="s">
        <v>17</v>
      </c>
      <c r="B184" t="str">
        <f>"600211"</f>
        <v>600211</v>
      </c>
      <c r="C184" t="s">
        <v>487</v>
      </c>
      <c r="D184" t="s">
        <v>188</v>
      </c>
      <c r="F184">
        <v>60857487</v>
      </c>
      <c r="G184">
        <v>7459290</v>
      </c>
      <c r="H184">
        <v>11074371</v>
      </c>
      <c r="I184">
        <v>8207689</v>
      </c>
      <c r="P184">
        <v>530</v>
      </c>
      <c r="Q184" t="s">
        <v>488</v>
      </c>
    </row>
    <row r="185" spans="1:17" x14ac:dyDescent="0.3">
      <c r="A185" t="s">
        <v>17</v>
      </c>
      <c r="B185" t="str">
        <f>"600212"</f>
        <v>600212</v>
      </c>
      <c r="C185" t="s">
        <v>489</v>
      </c>
      <c r="D185" t="s">
        <v>110</v>
      </c>
      <c r="F185">
        <v>0</v>
      </c>
      <c r="G185">
        <v>0</v>
      </c>
      <c r="P185">
        <v>56</v>
      </c>
      <c r="Q185" t="s">
        <v>490</v>
      </c>
    </row>
    <row r="186" spans="1:17" x14ac:dyDescent="0.3">
      <c r="A186" t="s">
        <v>17</v>
      </c>
      <c r="B186" t="str">
        <f>"600213"</f>
        <v>600213</v>
      </c>
      <c r="C186" t="s">
        <v>491</v>
      </c>
      <c r="D186" t="s">
        <v>153</v>
      </c>
      <c r="F186">
        <v>65963940</v>
      </c>
      <c r="G186">
        <v>59022768</v>
      </c>
      <c r="H186">
        <v>88843171</v>
      </c>
      <c r="I186">
        <v>75077670</v>
      </c>
      <c r="P186">
        <v>109</v>
      </c>
      <c r="Q186" t="s">
        <v>492</v>
      </c>
    </row>
    <row r="187" spans="1:17" x14ac:dyDescent="0.3">
      <c r="A187" t="s">
        <v>17</v>
      </c>
      <c r="B187" t="str">
        <f>"600215"</f>
        <v>600215</v>
      </c>
      <c r="C187" t="s">
        <v>493</v>
      </c>
      <c r="D187" t="s">
        <v>104</v>
      </c>
      <c r="F187">
        <v>0</v>
      </c>
      <c r="G187">
        <v>0</v>
      </c>
      <c r="P187">
        <v>77</v>
      </c>
      <c r="Q187" t="s">
        <v>494</v>
      </c>
    </row>
    <row r="188" spans="1:17" x14ac:dyDescent="0.3">
      <c r="A188" t="s">
        <v>17</v>
      </c>
      <c r="B188" t="str">
        <f>"600216"</f>
        <v>600216</v>
      </c>
      <c r="C188" t="s">
        <v>495</v>
      </c>
      <c r="D188" t="s">
        <v>496</v>
      </c>
      <c r="F188">
        <v>806858993</v>
      </c>
      <c r="G188">
        <v>546091346</v>
      </c>
      <c r="H188">
        <v>450424836</v>
      </c>
      <c r="I188">
        <v>321556410</v>
      </c>
      <c r="P188">
        <v>461</v>
      </c>
      <c r="Q188" t="s">
        <v>497</v>
      </c>
    </row>
    <row r="189" spans="1:17" x14ac:dyDescent="0.3">
      <c r="A189" t="s">
        <v>17</v>
      </c>
      <c r="B189" t="str">
        <f>"600217"</f>
        <v>600217</v>
      </c>
      <c r="C189" t="s">
        <v>498</v>
      </c>
      <c r="D189" t="s">
        <v>499</v>
      </c>
      <c r="F189">
        <v>633006</v>
      </c>
      <c r="G189">
        <v>978599</v>
      </c>
      <c r="H189">
        <v>162660</v>
      </c>
      <c r="I189">
        <v>1379862</v>
      </c>
      <c r="P189">
        <v>439</v>
      </c>
      <c r="Q189" t="s">
        <v>500</v>
      </c>
    </row>
    <row r="190" spans="1:17" x14ac:dyDescent="0.3">
      <c r="A190" t="s">
        <v>17</v>
      </c>
      <c r="B190" t="str">
        <f>"600218"</f>
        <v>600218</v>
      </c>
      <c r="C190" t="s">
        <v>501</v>
      </c>
      <c r="D190" t="s">
        <v>348</v>
      </c>
      <c r="F190">
        <v>181118259</v>
      </c>
      <c r="G190">
        <v>168776850</v>
      </c>
      <c r="H190">
        <v>146294409</v>
      </c>
      <c r="I190">
        <v>133100463</v>
      </c>
      <c r="P190">
        <v>166</v>
      </c>
      <c r="Q190" t="s">
        <v>502</v>
      </c>
    </row>
    <row r="191" spans="1:17" x14ac:dyDescent="0.3">
      <c r="A191" t="s">
        <v>17</v>
      </c>
      <c r="B191" t="str">
        <f>"600219"</f>
        <v>600219</v>
      </c>
      <c r="C191" t="s">
        <v>503</v>
      </c>
      <c r="D191" t="s">
        <v>504</v>
      </c>
      <c r="F191">
        <v>1374287879</v>
      </c>
      <c r="G191">
        <v>1481217187</v>
      </c>
      <c r="H191">
        <v>843288725</v>
      </c>
      <c r="I191">
        <v>135948857</v>
      </c>
      <c r="P191">
        <v>609</v>
      </c>
      <c r="Q191" t="s">
        <v>505</v>
      </c>
    </row>
    <row r="192" spans="1:17" x14ac:dyDescent="0.3">
      <c r="A192" t="s">
        <v>17</v>
      </c>
      <c r="B192" t="str">
        <f>"600220"</f>
        <v>600220</v>
      </c>
      <c r="C192" t="s">
        <v>506</v>
      </c>
      <c r="D192" t="s">
        <v>366</v>
      </c>
      <c r="F192">
        <v>13677552</v>
      </c>
      <c r="G192">
        <v>13748001</v>
      </c>
      <c r="H192">
        <v>16640978</v>
      </c>
      <c r="I192">
        <v>18072219</v>
      </c>
      <c r="P192">
        <v>118</v>
      </c>
      <c r="Q192" t="s">
        <v>507</v>
      </c>
    </row>
    <row r="193" spans="1:17" x14ac:dyDescent="0.3">
      <c r="A193" t="s">
        <v>17</v>
      </c>
      <c r="B193" t="str">
        <f>"600221"</f>
        <v>600221</v>
      </c>
      <c r="C193" t="s">
        <v>508</v>
      </c>
      <c r="D193" t="s">
        <v>77</v>
      </c>
      <c r="F193">
        <v>91343000</v>
      </c>
      <c r="G193">
        <v>118637000</v>
      </c>
      <c r="H193">
        <v>33918000</v>
      </c>
      <c r="P193">
        <v>427</v>
      </c>
      <c r="Q193" t="s">
        <v>509</v>
      </c>
    </row>
    <row r="194" spans="1:17" x14ac:dyDescent="0.3">
      <c r="A194" t="s">
        <v>17</v>
      </c>
      <c r="B194" t="str">
        <f>"600222"</f>
        <v>600222</v>
      </c>
      <c r="C194" t="s">
        <v>510</v>
      </c>
      <c r="D194" t="s">
        <v>188</v>
      </c>
      <c r="F194">
        <v>56496131</v>
      </c>
      <c r="G194">
        <v>63664588</v>
      </c>
      <c r="H194">
        <v>59385704</v>
      </c>
      <c r="I194">
        <v>58116911</v>
      </c>
      <c r="P194">
        <v>132</v>
      </c>
      <c r="Q194" t="s">
        <v>511</v>
      </c>
    </row>
    <row r="195" spans="1:17" x14ac:dyDescent="0.3">
      <c r="A195" t="s">
        <v>17</v>
      </c>
      <c r="B195" t="str">
        <f>"600223"</f>
        <v>600223</v>
      </c>
      <c r="C195" t="s">
        <v>512</v>
      </c>
      <c r="D195" t="s">
        <v>104</v>
      </c>
      <c r="F195">
        <v>118752088</v>
      </c>
      <c r="G195">
        <v>77166219</v>
      </c>
      <c r="H195">
        <v>46067256</v>
      </c>
      <c r="I195">
        <v>30132733</v>
      </c>
      <c r="P195">
        <v>361</v>
      </c>
      <c r="Q195" t="s">
        <v>513</v>
      </c>
    </row>
    <row r="196" spans="1:17" x14ac:dyDescent="0.3">
      <c r="A196" t="s">
        <v>17</v>
      </c>
      <c r="B196" t="str">
        <f>"600225"</f>
        <v>600225</v>
      </c>
      <c r="C196" t="s">
        <v>514</v>
      </c>
      <c r="D196" t="s">
        <v>104</v>
      </c>
      <c r="F196">
        <v>101831800</v>
      </c>
      <c r="G196">
        <v>94140864</v>
      </c>
      <c r="H196">
        <v>72469126</v>
      </c>
      <c r="I196">
        <v>38649534</v>
      </c>
      <c r="P196">
        <v>110</v>
      </c>
      <c r="Q196" t="s">
        <v>515</v>
      </c>
    </row>
    <row r="197" spans="1:17" x14ac:dyDescent="0.3">
      <c r="A197" t="s">
        <v>17</v>
      </c>
      <c r="B197" t="str">
        <f>"600226"</f>
        <v>600226</v>
      </c>
      <c r="C197" t="s">
        <v>516</v>
      </c>
      <c r="D197" t="s">
        <v>517</v>
      </c>
      <c r="F197">
        <v>19556096</v>
      </c>
      <c r="G197">
        <v>176761403</v>
      </c>
      <c r="H197">
        <v>61487806</v>
      </c>
      <c r="I197">
        <v>80713697</v>
      </c>
      <c r="P197">
        <v>109</v>
      </c>
      <c r="Q197" t="s">
        <v>518</v>
      </c>
    </row>
    <row r="198" spans="1:17" x14ac:dyDescent="0.3">
      <c r="A198" t="s">
        <v>17</v>
      </c>
      <c r="B198" t="str">
        <f>"600227"</f>
        <v>600227</v>
      </c>
      <c r="C198" t="s">
        <v>519</v>
      </c>
      <c r="D198" t="s">
        <v>143</v>
      </c>
      <c r="F198">
        <v>95625800</v>
      </c>
      <c r="G198">
        <v>72434976</v>
      </c>
      <c r="H198">
        <v>73476284</v>
      </c>
      <c r="I198">
        <v>56401974</v>
      </c>
      <c r="J198">
        <v>25785917</v>
      </c>
      <c r="P198">
        <v>114</v>
      </c>
      <c r="Q198" t="s">
        <v>520</v>
      </c>
    </row>
    <row r="199" spans="1:17" x14ac:dyDescent="0.3">
      <c r="A199" t="s">
        <v>17</v>
      </c>
      <c r="B199" t="str">
        <f>"600228"</f>
        <v>600228</v>
      </c>
      <c r="C199" t="s">
        <v>521</v>
      </c>
      <c r="D199" t="s">
        <v>522</v>
      </c>
      <c r="F199">
        <v>49501746</v>
      </c>
      <c r="G199">
        <v>11926544</v>
      </c>
      <c r="H199">
        <v>14416910</v>
      </c>
      <c r="I199">
        <v>15760327</v>
      </c>
      <c r="P199">
        <v>68</v>
      </c>
      <c r="Q199" t="s">
        <v>523</v>
      </c>
    </row>
    <row r="200" spans="1:17" x14ac:dyDescent="0.3">
      <c r="A200" t="s">
        <v>17</v>
      </c>
      <c r="B200" t="str">
        <f>"600229"</f>
        <v>600229</v>
      </c>
      <c r="C200" t="s">
        <v>524</v>
      </c>
      <c r="D200" t="s">
        <v>525</v>
      </c>
      <c r="F200">
        <v>1655964</v>
      </c>
      <c r="G200">
        <v>1342740</v>
      </c>
      <c r="H200">
        <v>1179948</v>
      </c>
      <c r="P200">
        <v>174</v>
      </c>
      <c r="Q200" t="s">
        <v>526</v>
      </c>
    </row>
    <row r="201" spans="1:17" x14ac:dyDescent="0.3">
      <c r="A201" t="s">
        <v>17</v>
      </c>
      <c r="B201" t="str">
        <f>"600230"</f>
        <v>600230</v>
      </c>
      <c r="C201" t="s">
        <v>527</v>
      </c>
      <c r="D201" t="s">
        <v>528</v>
      </c>
      <c r="F201">
        <v>22436629</v>
      </c>
      <c r="G201">
        <v>20037568</v>
      </c>
      <c r="H201">
        <v>37410835</v>
      </c>
      <c r="I201">
        <v>14240571</v>
      </c>
      <c r="P201">
        <v>382</v>
      </c>
      <c r="Q201" t="s">
        <v>529</v>
      </c>
    </row>
    <row r="202" spans="1:17" x14ac:dyDescent="0.3">
      <c r="A202" t="s">
        <v>17</v>
      </c>
      <c r="B202" t="str">
        <f>"600231"</f>
        <v>600231</v>
      </c>
      <c r="C202" t="s">
        <v>530</v>
      </c>
      <c r="D202" t="s">
        <v>531</v>
      </c>
      <c r="F202">
        <v>12013326</v>
      </c>
      <c r="G202">
        <v>9346843</v>
      </c>
      <c r="H202">
        <v>9818687</v>
      </c>
      <c r="I202">
        <v>10286631</v>
      </c>
      <c r="P202">
        <v>187</v>
      </c>
      <c r="Q202" t="s">
        <v>532</v>
      </c>
    </row>
    <row r="203" spans="1:17" x14ac:dyDescent="0.3">
      <c r="A203" t="s">
        <v>17</v>
      </c>
      <c r="B203" t="str">
        <f>"600232"</f>
        <v>600232</v>
      </c>
      <c r="C203" t="s">
        <v>533</v>
      </c>
      <c r="D203" t="s">
        <v>534</v>
      </c>
      <c r="F203">
        <v>17667779</v>
      </c>
      <c r="G203">
        <v>15055276</v>
      </c>
      <c r="H203">
        <v>10712382</v>
      </c>
      <c r="I203">
        <v>5086583</v>
      </c>
      <c r="P203">
        <v>88</v>
      </c>
      <c r="Q203" t="s">
        <v>535</v>
      </c>
    </row>
    <row r="204" spans="1:17" x14ac:dyDescent="0.3">
      <c r="A204" t="s">
        <v>17</v>
      </c>
      <c r="B204" t="str">
        <f>"600233"</f>
        <v>600233</v>
      </c>
      <c r="C204" t="s">
        <v>536</v>
      </c>
      <c r="D204" t="s">
        <v>537</v>
      </c>
      <c r="F204">
        <v>32385238</v>
      </c>
      <c r="G204">
        <v>43690770</v>
      </c>
      <c r="H204">
        <v>61521890</v>
      </c>
      <c r="I204">
        <v>49689735</v>
      </c>
      <c r="P204">
        <v>733</v>
      </c>
      <c r="Q204" t="s">
        <v>538</v>
      </c>
    </row>
    <row r="205" spans="1:17" x14ac:dyDescent="0.3">
      <c r="A205" t="s">
        <v>17</v>
      </c>
      <c r="B205" t="str">
        <f>"600234"</f>
        <v>600234</v>
      </c>
      <c r="C205" t="s">
        <v>539</v>
      </c>
      <c r="D205" t="s">
        <v>110</v>
      </c>
      <c r="F205">
        <v>2915713</v>
      </c>
      <c r="G205">
        <v>0</v>
      </c>
      <c r="P205">
        <v>59</v>
      </c>
      <c r="Q205" t="s">
        <v>540</v>
      </c>
    </row>
    <row r="206" spans="1:17" x14ac:dyDescent="0.3">
      <c r="A206" t="s">
        <v>17</v>
      </c>
      <c r="B206" t="str">
        <f>"600235"</f>
        <v>600235</v>
      </c>
      <c r="C206" t="s">
        <v>541</v>
      </c>
      <c r="D206" t="s">
        <v>244</v>
      </c>
      <c r="F206">
        <v>47072588</v>
      </c>
      <c r="G206">
        <v>48020085</v>
      </c>
      <c r="H206">
        <v>51972936</v>
      </c>
      <c r="I206">
        <v>58512439</v>
      </c>
      <c r="P206">
        <v>71</v>
      </c>
      <c r="Q206" t="s">
        <v>542</v>
      </c>
    </row>
    <row r="207" spans="1:17" x14ac:dyDescent="0.3">
      <c r="A207" t="s">
        <v>17</v>
      </c>
      <c r="B207" t="str">
        <f>"600236"</f>
        <v>600236</v>
      </c>
      <c r="C207" t="s">
        <v>543</v>
      </c>
      <c r="D207" t="s">
        <v>66</v>
      </c>
      <c r="F207">
        <v>4843529</v>
      </c>
      <c r="G207">
        <v>0</v>
      </c>
      <c r="P207">
        <v>651</v>
      </c>
      <c r="Q207" t="s">
        <v>544</v>
      </c>
    </row>
    <row r="208" spans="1:17" x14ac:dyDescent="0.3">
      <c r="A208" t="s">
        <v>17</v>
      </c>
      <c r="B208" t="str">
        <f>"600237"</f>
        <v>600237</v>
      </c>
      <c r="C208" t="s">
        <v>545</v>
      </c>
      <c r="D208" t="s">
        <v>546</v>
      </c>
      <c r="F208">
        <v>36097461</v>
      </c>
      <c r="G208">
        <v>27265894</v>
      </c>
      <c r="H208">
        <v>23735336</v>
      </c>
      <c r="I208">
        <v>26274137</v>
      </c>
      <c r="P208">
        <v>152</v>
      </c>
      <c r="Q208" t="s">
        <v>547</v>
      </c>
    </row>
    <row r="209" spans="1:17" x14ac:dyDescent="0.3">
      <c r="A209" t="s">
        <v>17</v>
      </c>
      <c r="B209" t="str">
        <f>"600238"</f>
        <v>600238</v>
      </c>
      <c r="C209" t="s">
        <v>548</v>
      </c>
      <c r="D209" t="s">
        <v>134</v>
      </c>
      <c r="F209">
        <v>5872982</v>
      </c>
      <c r="G209">
        <v>4373836</v>
      </c>
      <c r="H209">
        <v>5554209</v>
      </c>
      <c r="I209">
        <v>3703785</v>
      </c>
      <c r="P209">
        <v>146</v>
      </c>
      <c r="Q209" t="s">
        <v>549</v>
      </c>
    </row>
    <row r="210" spans="1:17" x14ac:dyDescent="0.3">
      <c r="A210" t="s">
        <v>17</v>
      </c>
      <c r="B210" t="str">
        <f>"600239"</f>
        <v>600239</v>
      </c>
      <c r="C210" t="s">
        <v>550</v>
      </c>
      <c r="D210" t="s">
        <v>104</v>
      </c>
      <c r="F210">
        <v>0</v>
      </c>
      <c r="G210">
        <v>0</v>
      </c>
      <c r="P210">
        <v>128</v>
      </c>
      <c r="Q210" t="s">
        <v>551</v>
      </c>
    </row>
    <row r="211" spans="1:17" x14ac:dyDescent="0.3">
      <c r="A211" t="s">
        <v>17</v>
      </c>
      <c r="B211" t="str">
        <f>"600240"</f>
        <v>600240</v>
      </c>
      <c r="C211" t="s">
        <v>552</v>
      </c>
      <c r="H211">
        <v>0</v>
      </c>
      <c r="I211">
        <v>0</v>
      </c>
      <c r="P211">
        <v>94</v>
      </c>
      <c r="Q211" t="s">
        <v>553</v>
      </c>
    </row>
    <row r="212" spans="1:17" x14ac:dyDescent="0.3">
      <c r="A212" t="s">
        <v>17</v>
      </c>
      <c r="B212" t="str">
        <f>"600241"</f>
        <v>600241</v>
      </c>
      <c r="C212" t="s">
        <v>554</v>
      </c>
      <c r="D212" t="s">
        <v>555</v>
      </c>
      <c r="F212">
        <v>31402079</v>
      </c>
      <c r="G212">
        <v>21470042</v>
      </c>
      <c r="H212">
        <v>24090531</v>
      </c>
      <c r="I212">
        <v>25896580</v>
      </c>
      <c r="P212">
        <v>51</v>
      </c>
      <c r="Q212" t="s">
        <v>556</v>
      </c>
    </row>
    <row r="213" spans="1:17" x14ac:dyDescent="0.3">
      <c r="A213" t="s">
        <v>17</v>
      </c>
      <c r="B213" t="str">
        <f>"600242"</f>
        <v>600242</v>
      </c>
      <c r="C213" t="s">
        <v>557</v>
      </c>
      <c r="D213" t="s">
        <v>207</v>
      </c>
      <c r="F213">
        <v>0</v>
      </c>
      <c r="G213">
        <v>735835</v>
      </c>
      <c r="H213">
        <v>2090622</v>
      </c>
      <c r="I213">
        <v>18439035</v>
      </c>
      <c r="P213">
        <v>84</v>
      </c>
      <c r="Q213" t="s">
        <v>558</v>
      </c>
    </row>
    <row r="214" spans="1:17" x14ac:dyDescent="0.3">
      <c r="A214" t="s">
        <v>17</v>
      </c>
      <c r="B214" t="str">
        <f>"600243"</f>
        <v>600243</v>
      </c>
      <c r="C214" t="s">
        <v>559</v>
      </c>
      <c r="D214" t="s">
        <v>560</v>
      </c>
      <c r="F214">
        <v>15263612</v>
      </c>
      <c r="G214">
        <v>21416545</v>
      </c>
      <c r="H214">
        <v>30526466</v>
      </c>
      <c r="I214">
        <v>36675791</v>
      </c>
      <c r="P214">
        <v>72</v>
      </c>
      <c r="Q214" t="s">
        <v>561</v>
      </c>
    </row>
    <row r="215" spans="1:17" x14ac:dyDescent="0.3">
      <c r="A215" t="s">
        <v>17</v>
      </c>
      <c r="B215" t="str">
        <f>"600246"</f>
        <v>600246</v>
      </c>
      <c r="C215" t="s">
        <v>562</v>
      </c>
      <c r="D215" t="s">
        <v>104</v>
      </c>
      <c r="F215">
        <v>0</v>
      </c>
      <c r="G215">
        <v>0</v>
      </c>
      <c r="P215">
        <v>122</v>
      </c>
      <c r="Q215" t="s">
        <v>563</v>
      </c>
    </row>
    <row r="216" spans="1:17" x14ac:dyDescent="0.3">
      <c r="A216" t="s">
        <v>17</v>
      </c>
      <c r="B216" t="str">
        <f>"600247"</f>
        <v>600247</v>
      </c>
      <c r="C216" t="s">
        <v>564</v>
      </c>
      <c r="H216">
        <v>0</v>
      </c>
      <c r="I216">
        <v>0</v>
      </c>
      <c r="P216">
        <v>29</v>
      </c>
      <c r="Q216" t="s">
        <v>565</v>
      </c>
    </row>
    <row r="217" spans="1:17" x14ac:dyDescent="0.3">
      <c r="A217" t="s">
        <v>17</v>
      </c>
      <c r="B217" t="str">
        <f>"600248"</f>
        <v>600248</v>
      </c>
      <c r="C217" t="s">
        <v>566</v>
      </c>
      <c r="D217" t="s">
        <v>398</v>
      </c>
      <c r="F217">
        <v>848871774</v>
      </c>
      <c r="G217">
        <v>589477442</v>
      </c>
      <c r="H217">
        <v>7512104</v>
      </c>
      <c r="I217">
        <v>4160002</v>
      </c>
      <c r="P217">
        <v>143</v>
      </c>
      <c r="Q217" t="s">
        <v>567</v>
      </c>
    </row>
    <row r="218" spans="1:17" x14ac:dyDescent="0.3">
      <c r="A218" t="s">
        <v>17</v>
      </c>
      <c r="B218" t="str">
        <f>"600249"</f>
        <v>600249</v>
      </c>
      <c r="C218" t="s">
        <v>568</v>
      </c>
      <c r="D218" t="s">
        <v>569</v>
      </c>
      <c r="F218">
        <v>11743941</v>
      </c>
      <c r="G218">
        <v>11464324</v>
      </c>
      <c r="H218">
        <v>14252402</v>
      </c>
      <c r="I218">
        <v>11253241</v>
      </c>
      <c r="P218">
        <v>90</v>
      </c>
      <c r="Q218" t="s">
        <v>570</v>
      </c>
    </row>
    <row r="219" spans="1:17" x14ac:dyDescent="0.3">
      <c r="A219" t="s">
        <v>17</v>
      </c>
      <c r="B219" t="str">
        <f>"600250"</f>
        <v>600250</v>
      </c>
      <c r="C219" t="s">
        <v>571</v>
      </c>
      <c r="D219" t="s">
        <v>131</v>
      </c>
      <c r="F219">
        <v>6688167</v>
      </c>
      <c r="G219">
        <v>5325189</v>
      </c>
      <c r="P219">
        <v>70</v>
      </c>
      <c r="Q219" t="s">
        <v>572</v>
      </c>
    </row>
    <row r="220" spans="1:17" x14ac:dyDescent="0.3">
      <c r="A220" t="s">
        <v>17</v>
      </c>
      <c r="B220" t="str">
        <f>"600251"</f>
        <v>600251</v>
      </c>
      <c r="C220" t="s">
        <v>573</v>
      </c>
      <c r="D220" t="s">
        <v>574</v>
      </c>
      <c r="F220">
        <v>7310991</v>
      </c>
      <c r="G220">
        <v>2709331</v>
      </c>
      <c r="H220">
        <v>620413</v>
      </c>
      <c r="I220">
        <v>298971</v>
      </c>
      <c r="P220">
        <v>148</v>
      </c>
      <c r="Q220" t="s">
        <v>575</v>
      </c>
    </row>
    <row r="221" spans="1:17" x14ac:dyDescent="0.3">
      <c r="A221" t="s">
        <v>17</v>
      </c>
      <c r="B221" t="str">
        <f>"600252"</f>
        <v>600252</v>
      </c>
      <c r="C221" t="s">
        <v>576</v>
      </c>
      <c r="D221" t="s">
        <v>188</v>
      </c>
      <c r="F221">
        <v>197662220</v>
      </c>
      <c r="G221">
        <v>131519651</v>
      </c>
      <c r="H221">
        <v>63965531</v>
      </c>
      <c r="I221">
        <v>44744888</v>
      </c>
      <c r="P221">
        <v>362</v>
      </c>
      <c r="Q221" t="s">
        <v>577</v>
      </c>
    </row>
    <row r="222" spans="1:17" x14ac:dyDescent="0.3">
      <c r="A222" t="s">
        <v>17</v>
      </c>
      <c r="B222" t="str">
        <f>"600253"</f>
        <v>600253</v>
      </c>
      <c r="C222" t="s">
        <v>578</v>
      </c>
      <c r="P222">
        <v>3</v>
      </c>
      <c r="Q222" t="s">
        <v>579</v>
      </c>
    </row>
    <row r="223" spans="1:17" x14ac:dyDescent="0.3">
      <c r="A223" t="s">
        <v>17</v>
      </c>
      <c r="B223" t="str">
        <f>"600255"</f>
        <v>600255</v>
      </c>
      <c r="C223" t="s">
        <v>580</v>
      </c>
      <c r="D223" t="s">
        <v>581</v>
      </c>
      <c r="F223">
        <v>134160946</v>
      </c>
      <c r="G223">
        <v>85465499</v>
      </c>
      <c r="H223">
        <v>75994194</v>
      </c>
      <c r="I223">
        <v>111877721</v>
      </c>
      <c r="P223">
        <v>82</v>
      </c>
      <c r="Q223" t="s">
        <v>582</v>
      </c>
    </row>
    <row r="224" spans="1:17" x14ac:dyDescent="0.3">
      <c r="A224" t="s">
        <v>17</v>
      </c>
      <c r="B224" t="str">
        <f>"600256"</f>
        <v>600256</v>
      </c>
      <c r="C224" t="s">
        <v>583</v>
      </c>
      <c r="D224" t="s">
        <v>584</v>
      </c>
      <c r="F224">
        <v>343582711</v>
      </c>
      <c r="G224">
        <v>168049965</v>
      </c>
      <c r="H224">
        <v>113325519</v>
      </c>
      <c r="I224">
        <v>11669721</v>
      </c>
      <c r="P224">
        <v>494</v>
      </c>
      <c r="Q224" t="s">
        <v>585</v>
      </c>
    </row>
    <row r="225" spans="1:17" x14ac:dyDescent="0.3">
      <c r="A225" t="s">
        <v>17</v>
      </c>
      <c r="B225" t="str">
        <f>"600257"</f>
        <v>600257</v>
      </c>
      <c r="C225" t="s">
        <v>586</v>
      </c>
      <c r="D225" t="s">
        <v>587</v>
      </c>
      <c r="F225">
        <v>363103</v>
      </c>
      <c r="G225">
        <v>6279002</v>
      </c>
      <c r="H225">
        <v>7041486</v>
      </c>
      <c r="I225">
        <v>2225001</v>
      </c>
      <c r="P225">
        <v>96</v>
      </c>
      <c r="Q225" t="s">
        <v>588</v>
      </c>
    </row>
    <row r="226" spans="1:17" x14ac:dyDescent="0.3">
      <c r="A226" t="s">
        <v>17</v>
      </c>
      <c r="B226" t="str">
        <f>"600258"</f>
        <v>600258</v>
      </c>
      <c r="C226" t="s">
        <v>589</v>
      </c>
      <c r="D226" t="s">
        <v>590</v>
      </c>
      <c r="F226">
        <v>56621367</v>
      </c>
      <c r="G226">
        <v>44257231</v>
      </c>
      <c r="H226">
        <v>26392563</v>
      </c>
      <c r="I226">
        <v>29983913</v>
      </c>
      <c r="P226">
        <v>514</v>
      </c>
      <c r="Q226" t="s">
        <v>591</v>
      </c>
    </row>
    <row r="227" spans="1:17" x14ac:dyDescent="0.3">
      <c r="A227" t="s">
        <v>17</v>
      </c>
      <c r="B227" t="str">
        <f>"600259"</f>
        <v>600259</v>
      </c>
      <c r="C227" t="s">
        <v>592</v>
      </c>
      <c r="D227" t="s">
        <v>266</v>
      </c>
      <c r="F227">
        <v>43493309</v>
      </c>
      <c r="G227">
        <v>13070711</v>
      </c>
      <c r="H227">
        <v>6627775</v>
      </c>
      <c r="I227">
        <v>6426016</v>
      </c>
      <c r="P227">
        <v>221</v>
      </c>
      <c r="Q227" t="s">
        <v>593</v>
      </c>
    </row>
    <row r="228" spans="1:17" x14ac:dyDescent="0.3">
      <c r="A228" t="s">
        <v>17</v>
      </c>
      <c r="B228" t="str">
        <f>"600260"</f>
        <v>600260</v>
      </c>
      <c r="C228" t="s">
        <v>594</v>
      </c>
      <c r="D228" t="s">
        <v>595</v>
      </c>
      <c r="F228">
        <v>108680490</v>
      </c>
      <c r="G228">
        <v>303282138</v>
      </c>
      <c r="H228">
        <v>529028388</v>
      </c>
      <c r="I228">
        <v>557717194</v>
      </c>
      <c r="P228">
        <v>467</v>
      </c>
      <c r="Q228" t="s">
        <v>596</v>
      </c>
    </row>
    <row r="229" spans="1:17" x14ac:dyDescent="0.3">
      <c r="A229" t="s">
        <v>17</v>
      </c>
      <c r="B229" t="str">
        <f>"600261"</f>
        <v>600261</v>
      </c>
      <c r="C229" t="s">
        <v>597</v>
      </c>
      <c r="D229" t="s">
        <v>598</v>
      </c>
      <c r="F229">
        <v>154799509</v>
      </c>
      <c r="G229">
        <v>189664939</v>
      </c>
      <c r="H229">
        <v>216674293</v>
      </c>
      <c r="I229">
        <v>216334477</v>
      </c>
      <c r="P229">
        <v>440</v>
      </c>
      <c r="Q229" t="s">
        <v>599</v>
      </c>
    </row>
    <row r="230" spans="1:17" x14ac:dyDescent="0.3">
      <c r="A230" t="s">
        <v>17</v>
      </c>
      <c r="B230" t="str">
        <f>"600262"</f>
        <v>600262</v>
      </c>
      <c r="C230" t="s">
        <v>600</v>
      </c>
      <c r="D230" t="s">
        <v>395</v>
      </c>
      <c r="F230">
        <v>58020899</v>
      </c>
      <c r="G230">
        <v>53293182</v>
      </c>
      <c r="H230">
        <v>18111510</v>
      </c>
      <c r="I230">
        <v>14475607</v>
      </c>
      <c r="P230">
        <v>75</v>
      </c>
      <c r="Q230" t="s">
        <v>601</v>
      </c>
    </row>
    <row r="231" spans="1:17" x14ac:dyDescent="0.3">
      <c r="A231" t="s">
        <v>17</v>
      </c>
      <c r="B231" t="str">
        <f>"600265"</f>
        <v>600265</v>
      </c>
      <c r="C231" t="s">
        <v>602</v>
      </c>
      <c r="D231" t="s">
        <v>603</v>
      </c>
      <c r="F231">
        <v>0</v>
      </c>
      <c r="G231">
        <v>0</v>
      </c>
      <c r="H231">
        <v>352465</v>
      </c>
      <c r="P231">
        <v>46</v>
      </c>
      <c r="Q231" t="s">
        <v>604</v>
      </c>
    </row>
    <row r="232" spans="1:17" x14ac:dyDescent="0.3">
      <c r="A232" t="s">
        <v>17</v>
      </c>
      <c r="B232" t="str">
        <f>"600266"</f>
        <v>600266</v>
      </c>
      <c r="C232" t="s">
        <v>605</v>
      </c>
      <c r="D232" t="s">
        <v>104</v>
      </c>
      <c r="F232">
        <v>26639132</v>
      </c>
      <c r="G232">
        <v>0</v>
      </c>
      <c r="P232">
        <v>338</v>
      </c>
      <c r="Q232" t="s">
        <v>606</v>
      </c>
    </row>
    <row r="233" spans="1:17" x14ac:dyDescent="0.3">
      <c r="A233" t="s">
        <v>17</v>
      </c>
      <c r="B233" t="str">
        <f>"600267"</f>
        <v>600267</v>
      </c>
      <c r="C233" t="s">
        <v>607</v>
      </c>
      <c r="D233" t="s">
        <v>496</v>
      </c>
      <c r="F233">
        <v>372796101</v>
      </c>
      <c r="G233">
        <v>401148861</v>
      </c>
      <c r="H233">
        <v>903816658</v>
      </c>
      <c r="I233">
        <v>639529889</v>
      </c>
      <c r="P233">
        <v>532</v>
      </c>
      <c r="Q233" t="s">
        <v>608</v>
      </c>
    </row>
    <row r="234" spans="1:17" x14ac:dyDescent="0.3">
      <c r="A234" t="s">
        <v>17</v>
      </c>
      <c r="B234" t="str">
        <f>"600268"</f>
        <v>600268</v>
      </c>
      <c r="C234" t="s">
        <v>609</v>
      </c>
      <c r="D234" t="s">
        <v>610</v>
      </c>
      <c r="F234">
        <v>352179417</v>
      </c>
      <c r="G234">
        <v>319108663</v>
      </c>
      <c r="H234">
        <v>268218660</v>
      </c>
      <c r="I234">
        <v>254045571</v>
      </c>
      <c r="P234">
        <v>245</v>
      </c>
      <c r="Q234" t="s">
        <v>611</v>
      </c>
    </row>
    <row r="235" spans="1:17" x14ac:dyDescent="0.3">
      <c r="A235" t="s">
        <v>17</v>
      </c>
      <c r="B235" t="str">
        <f>"600269"</f>
        <v>600269</v>
      </c>
      <c r="C235" t="s">
        <v>612</v>
      </c>
      <c r="D235" t="s">
        <v>44</v>
      </c>
      <c r="F235">
        <v>60661619</v>
      </c>
      <c r="G235">
        <v>68508796</v>
      </c>
      <c r="H235">
        <v>46126933</v>
      </c>
      <c r="I235">
        <v>20718713</v>
      </c>
      <c r="P235">
        <v>405</v>
      </c>
      <c r="Q235" t="s">
        <v>613</v>
      </c>
    </row>
    <row r="236" spans="1:17" x14ac:dyDescent="0.3">
      <c r="A236" t="s">
        <v>17</v>
      </c>
      <c r="B236" t="str">
        <f>"600270"</f>
        <v>600270</v>
      </c>
      <c r="C236" t="s">
        <v>614</v>
      </c>
      <c r="P236">
        <v>101</v>
      </c>
      <c r="Q236" t="s">
        <v>615</v>
      </c>
    </row>
    <row r="237" spans="1:17" x14ac:dyDescent="0.3">
      <c r="A237" t="s">
        <v>17</v>
      </c>
      <c r="B237" t="str">
        <f>"600271"</f>
        <v>600271</v>
      </c>
      <c r="C237" t="s">
        <v>616</v>
      </c>
      <c r="D237" t="s">
        <v>316</v>
      </c>
      <c r="F237">
        <v>851776735</v>
      </c>
      <c r="G237">
        <v>930343809</v>
      </c>
      <c r="H237">
        <v>788809631</v>
      </c>
      <c r="I237">
        <v>549766459</v>
      </c>
      <c r="P237">
        <v>16700</v>
      </c>
      <c r="Q237" t="s">
        <v>617</v>
      </c>
    </row>
    <row r="238" spans="1:17" x14ac:dyDescent="0.3">
      <c r="A238" t="s">
        <v>17</v>
      </c>
      <c r="B238" t="str">
        <f>"600272"</f>
        <v>600272</v>
      </c>
      <c r="C238" t="s">
        <v>618</v>
      </c>
      <c r="D238" t="s">
        <v>125</v>
      </c>
      <c r="F238">
        <v>0</v>
      </c>
      <c r="G238">
        <v>0</v>
      </c>
      <c r="P238">
        <v>66</v>
      </c>
      <c r="Q238" t="s">
        <v>619</v>
      </c>
    </row>
    <row r="239" spans="1:17" x14ac:dyDescent="0.3">
      <c r="A239" t="s">
        <v>17</v>
      </c>
      <c r="B239" t="str">
        <f>"600273"</f>
        <v>600273</v>
      </c>
      <c r="C239" t="s">
        <v>620</v>
      </c>
      <c r="D239" t="s">
        <v>386</v>
      </c>
      <c r="F239">
        <v>319622769</v>
      </c>
      <c r="G239">
        <v>212309620</v>
      </c>
      <c r="H239">
        <v>193057990</v>
      </c>
      <c r="I239">
        <v>199132157</v>
      </c>
      <c r="P239">
        <v>3516</v>
      </c>
      <c r="Q239" t="s">
        <v>621</v>
      </c>
    </row>
    <row r="240" spans="1:17" x14ac:dyDescent="0.3">
      <c r="A240" t="s">
        <v>17</v>
      </c>
      <c r="B240" t="str">
        <f>"600275"</f>
        <v>600275</v>
      </c>
      <c r="C240" t="s">
        <v>622</v>
      </c>
      <c r="D240" t="s">
        <v>587</v>
      </c>
      <c r="F240">
        <v>0</v>
      </c>
      <c r="G240">
        <v>0</v>
      </c>
      <c r="P240">
        <v>47</v>
      </c>
      <c r="Q240" t="s">
        <v>623</v>
      </c>
    </row>
    <row r="241" spans="1:17" x14ac:dyDescent="0.3">
      <c r="A241" t="s">
        <v>17</v>
      </c>
      <c r="B241" t="str">
        <f>"600276"</f>
        <v>600276</v>
      </c>
      <c r="C241" t="s">
        <v>624</v>
      </c>
      <c r="D241" t="s">
        <v>143</v>
      </c>
      <c r="F241">
        <v>5943306005</v>
      </c>
      <c r="G241">
        <v>4988958232</v>
      </c>
      <c r="H241">
        <v>3896335999</v>
      </c>
      <c r="I241">
        <v>2670480551</v>
      </c>
      <c r="P241">
        <v>70860</v>
      </c>
      <c r="Q241" t="s">
        <v>625</v>
      </c>
    </row>
    <row r="242" spans="1:17" x14ac:dyDescent="0.3">
      <c r="A242" t="s">
        <v>17</v>
      </c>
      <c r="B242" t="str">
        <f>"600277"</f>
        <v>600277</v>
      </c>
      <c r="C242" t="s">
        <v>626</v>
      </c>
      <c r="D242" t="s">
        <v>175</v>
      </c>
      <c r="F242">
        <v>410811692</v>
      </c>
      <c r="G242">
        <v>214446785</v>
      </c>
      <c r="H242">
        <v>136967483</v>
      </c>
      <c r="I242">
        <v>23127544</v>
      </c>
      <c r="P242">
        <v>187</v>
      </c>
      <c r="Q242" t="s">
        <v>627</v>
      </c>
    </row>
    <row r="243" spans="1:17" x14ac:dyDescent="0.3">
      <c r="A243" t="s">
        <v>17</v>
      </c>
      <c r="B243" t="str">
        <f>"600278"</f>
        <v>600278</v>
      </c>
      <c r="C243" t="s">
        <v>628</v>
      </c>
      <c r="D243" t="s">
        <v>131</v>
      </c>
      <c r="F243">
        <v>2878233</v>
      </c>
      <c r="G243">
        <v>3210994</v>
      </c>
      <c r="P243">
        <v>90</v>
      </c>
      <c r="Q243" t="s">
        <v>629</v>
      </c>
    </row>
    <row r="244" spans="1:17" x14ac:dyDescent="0.3">
      <c r="A244" t="s">
        <v>17</v>
      </c>
      <c r="B244" t="str">
        <f>"600279"</f>
        <v>600279</v>
      </c>
      <c r="C244" t="s">
        <v>630</v>
      </c>
      <c r="D244" t="s">
        <v>51</v>
      </c>
      <c r="F244">
        <v>0</v>
      </c>
      <c r="G244">
        <v>0</v>
      </c>
      <c r="P244">
        <v>125</v>
      </c>
      <c r="Q244" t="s">
        <v>631</v>
      </c>
    </row>
    <row r="245" spans="1:17" x14ac:dyDescent="0.3">
      <c r="A245" t="s">
        <v>17</v>
      </c>
      <c r="B245" t="str">
        <f>"600280"</f>
        <v>600280</v>
      </c>
      <c r="C245" t="s">
        <v>632</v>
      </c>
      <c r="D245" t="s">
        <v>633</v>
      </c>
      <c r="F245">
        <v>0</v>
      </c>
      <c r="G245">
        <v>0</v>
      </c>
      <c r="P245">
        <v>81</v>
      </c>
      <c r="Q245" t="s">
        <v>634</v>
      </c>
    </row>
    <row r="246" spans="1:17" x14ac:dyDescent="0.3">
      <c r="A246" t="s">
        <v>17</v>
      </c>
      <c r="B246" t="str">
        <f>"600281"</f>
        <v>600281</v>
      </c>
      <c r="C246" t="s">
        <v>635</v>
      </c>
      <c r="D246" t="s">
        <v>636</v>
      </c>
      <c r="F246">
        <v>0</v>
      </c>
      <c r="G246">
        <v>0</v>
      </c>
      <c r="I246">
        <v>414886</v>
      </c>
      <c r="P246">
        <v>68</v>
      </c>
      <c r="Q246" t="s">
        <v>637</v>
      </c>
    </row>
    <row r="247" spans="1:17" x14ac:dyDescent="0.3">
      <c r="A247" t="s">
        <v>17</v>
      </c>
      <c r="B247" t="str">
        <f>"600282"</f>
        <v>600282</v>
      </c>
      <c r="C247" t="s">
        <v>638</v>
      </c>
      <c r="D247" t="s">
        <v>38</v>
      </c>
      <c r="F247">
        <v>2134580072</v>
      </c>
      <c r="G247">
        <v>848911621</v>
      </c>
      <c r="H247">
        <v>582046361</v>
      </c>
      <c r="I247">
        <v>446113983</v>
      </c>
      <c r="P247">
        <v>1311</v>
      </c>
      <c r="Q247" t="s">
        <v>639</v>
      </c>
    </row>
    <row r="248" spans="1:17" x14ac:dyDescent="0.3">
      <c r="A248" t="s">
        <v>17</v>
      </c>
      <c r="B248" t="str">
        <f>"600283"</f>
        <v>600283</v>
      </c>
      <c r="C248" t="s">
        <v>640</v>
      </c>
      <c r="D248" t="s">
        <v>33</v>
      </c>
      <c r="F248">
        <v>5214345</v>
      </c>
      <c r="G248">
        <v>6585140</v>
      </c>
      <c r="H248">
        <v>3713510</v>
      </c>
      <c r="P248">
        <v>122</v>
      </c>
      <c r="Q248" t="s">
        <v>641</v>
      </c>
    </row>
    <row r="249" spans="1:17" x14ac:dyDescent="0.3">
      <c r="A249" t="s">
        <v>17</v>
      </c>
      <c r="B249" t="str">
        <f>"600284"</f>
        <v>600284</v>
      </c>
      <c r="C249" t="s">
        <v>642</v>
      </c>
      <c r="D249" t="s">
        <v>101</v>
      </c>
      <c r="F249">
        <v>385562399</v>
      </c>
      <c r="G249">
        <v>277893760</v>
      </c>
      <c r="H249">
        <v>235890972</v>
      </c>
      <c r="I249">
        <v>148261889</v>
      </c>
      <c r="P249">
        <v>172</v>
      </c>
      <c r="Q249" t="s">
        <v>643</v>
      </c>
    </row>
    <row r="250" spans="1:17" x14ac:dyDescent="0.3">
      <c r="A250" t="s">
        <v>17</v>
      </c>
      <c r="B250" t="str">
        <f>"600285"</f>
        <v>600285</v>
      </c>
      <c r="C250" t="s">
        <v>644</v>
      </c>
      <c r="D250" t="s">
        <v>188</v>
      </c>
      <c r="F250">
        <v>86206247</v>
      </c>
      <c r="G250">
        <v>97763376</v>
      </c>
      <c r="H250">
        <v>78671382</v>
      </c>
      <c r="I250">
        <v>57716928</v>
      </c>
      <c r="P250">
        <v>606</v>
      </c>
      <c r="Q250" t="s">
        <v>645</v>
      </c>
    </row>
    <row r="251" spans="1:17" x14ac:dyDescent="0.3">
      <c r="A251" t="s">
        <v>17</v>
      </c>
      <c r="B251" t="str">
        <f>"600286"</f>
        <v>600286</v>
      </c>
      <c r="C251" t="s">
        <v>646</v>
      </c>
      <c r="P251">
        <v>18</v>
      </c>
      <c r="Q251" t="s">
        <v>647</v>
      </c>
    </row>
    <row r="252" spans="1:17" x14ac:dyDescent="0.3">
      <c r="A252" t="s">
        <v>17</v>
      </c>
      <c r="B252" t="str">
        <f>"600287"</f>
        <v>600287</v>
      </c>
      <c r="C252" t="s">
        <v>648</v>
      </c>
      <c r="D252" t="s">
        <v>131</v>
      </c>
      <c r="F252">
        <v>0</v>
      </c>
      <c r="G252">
        <v>0</v>
      </c>
      <c r="P252">
        <v>72</v>
      </c>
      <c r="Q252" t="s">
        <v>649</v>
      </c>
    </row>
    <row r="253" spans="1:17" x14ac:dyDescent="0.3">
      <c r="A253" t="s">
        <v>17</v>
      </c>
      <c r="B253" t="str">
        <f>"600288"</f>
        <v>600288</v>
      </c>
      <c r="C253" t="s">
        <v>650</v>
      </c>
      <c r="D253" t="s">
        <v>651</v>
      </c>
      <c r="F253">
        <v>224916641</v>
      </c>
      <c r="G253">
        <v>197891997</v>
      </c>
      <c r="H253">
        <v>194430984</v>
      </c>
      <c r="I253">
        <v>183025678</v>
      </c>
      <c r="P253">
        <v>95</v>
      </c>
      <c r="Q253" t="s">
        <v>652</v>
      </c>
    </row>
    <row r="254" spans="1:17" x14ac:dyDescent="0.3">
      <c r="A254" t="s">
        <v>17</v>
      </c>
      <c r="B254" t="str">
        <f>"600289"</f>
        <v>600289</v>
      </c>
      <c r="C254" t="s">
        <v>653</v>
      </c>
      <c r="D254" t="s">
        <v>654</v>
      </c>
      <c r="F254">
        <v>110601688</v>
      </c>
      <c r="G254">
        <v>191129423</v>
      </c>
      <c r="H254">
        <v>277602145</v>
      </c>
      <c r="I254">
        <v>264942368</v>
      </c>
      <c r="P254">
        <v>74</v>
      </c>
      <c r="Q254" t="s">
        <v>655</v>
      </c>
    </row>
    <row r="255" spans="1:17" x14ac:dyDescent="0.3">
      <c r="A255" t="s">
        <v>17</v>
      </c>
      <c r="B255" t="str">
        <f>"600290"</f>
        <v>600290</v>
      </c>
      <c r="C255" t="s">
        <v>656</v>
      </c>
      <c r="D255" t="s">
        <v>657</v>
      </c>
      <c r="F255">
        <v>37034082</v>
      </c>
      <c r="G255">
        <v>34208594</v>
      </c>
      <c r="H255">
        <v>46427039</v>
      </c>
      <c r="I255">
        <v>65787268</v>
      </c>
      <c r="P255">
        <v>68</v>
      </c>
      <c r="Q255" t="s">
        <v>658</v>
      </c>
    </row>
    <row r="256" spans="1:17" x14ac:dyDescent="0.3">
      <c r="A256" t="s">
        <v>17</v>
      </c>
      <c r="B256" t="str">
        <f>"600291"</f>
        <v>600291</v>
      </c>
      <c r="C256" t="s">
        <v>659</v>
      </c>
      <c r="D256" t="s">
        <v>660</v>
      </c>
      <c r="P256">
        <v>276</v>
      </c>
      <c r="Q256" t="s">
        <v>661</v>
      </c>
    </row>
    <row r="257" spans="1:17" x14ac:dyDescent="0.3">
      <c r="A257" t="s">
        <v>17</v>
      </c>
      <c r="B257" t="str">
        <f>"600292"</f>
        <v>600292</v>
      </c>
      <c r="C257" t="s">
        <v>662</v>
      </c>
      <c r="D257" t="s">
        <v>663</v>
      </c>
      <c r="F257">
        <v>69627715</v>
      </c>
      <c r="G257">
        <v>66923823</v>
      </c>
      <c r="H257">
        <v>55133460</v>
      </c>
      <c r="I257">
        <v>29420409</v>
      </c>
      <c r="P257">
        <v>144</v>
      </c>
      <c r="Q257" t="s">
        <v>664</v>
      </c>
    </row>
    <row r="258" spans="1:17" x14ac:dyDescent="0.3">
      <c r="A258" t="s">
        <v>17</v>
      </c>
      <c r="B258" t="str">
        <f>"600293"</f>
        <v>600293</v>
      </c>
      <c r="C258" t="s">
        <v>665</v>
      </c>
      <c r="D258" t="s">
        <v>666</v>
      </c>
      <c r="F258">
        <v>60481922</v>
      </c>
      <c r="G258">
        <v>71118972</v>
      </c>
      <c r="H258">
        <v>23198522</v>
      </c>
      <c r="I258">
        <v>6605844</v>
      </c>
      <c r="P258">
        <v>126</v>
      </c>
      <c r="Q258" t="s">
        <v>667</v>
      </c>
    </row>
    <row r="259" spans="1:17" x14ac:dyDescent="0.3">
      <c r="A259" t="s">
        <v>17</v>
      </c>
      <c r="B259" t="str">
        <f>"600295"</f>
        <v>600295</v>
      </c>
      <c r="C259" t="s">
        <v>668</v>
      </c>
      <c r="D259" t="s">
        <v>669</v>
      </c>
      <c r="F259">
        <v>539354653</v>
      </c>
      <c r="G259">
        <v>529915700</v>
      </c>
      <c r="H259">
        <v>258301703</v>
      </c>
      <c r="I259">
        <v>35052923</v>
      </c>
      <c r="P259">
        <v>435</v>
      </c>
      <c r="Q259" t="s">
        <v>670</v>
      </c>
    </row>
    <row r="260" spans="1:17" x14ac:dyDescent="0.3">
      <c r="A260" t="s">
        <v>17</v>
      </c>
      <c r="B260" t="str">
        <f>"600297"</f>
        <v>600297</v>
      </c>
      <c r="C260" t="s">
        <v>671</v>
      </c>
      <c r="D260" t="s">
        <v>672</v>
      </c>
      <c r="F260">
        <v>0</v>
      </c>
      <c r="G260">
        <v>0</v>
      </c>
      <c r="P260">
        <v>469</v>
      </c>
      <c r="Q260" t="s">
        <v>673</v>
      </c>
    </row>
    <row r="261" spans="1:17" x14ac:dyDescent="0.3">
      <c r="A261" t="s">
        <v>17</v>
      </c>
      <c r="B261" t="str">
        <f>"600298"</f>
        <v>600298</v>
      </c>
      <c r="C261" t="s">
        <v>674</v>
      </c>
      <c r="D261" t="s">
        <v>433</v>
      </c>
      <c r="F261">
        <v>475198936</v>
      </c>
      <c r="G261">
        <v>386191432</v>
      </c>
      <c r="H261">
        <v>333462090</v>
      </c>
      <c r="I261">
        <v>279653142</v>
      </c>
      <c r="P261">
        <v>4513</v>
      </c>
      <c r="Q261" t="s">
        <v>675</v>
      </c>
    </row>
    <row r="262" spans="1:17" x14ac:dyDescent="0.3">
      <c r="A262" t="s">
        <v>17</v>
      </c>
      <c r="B262" t="str">
        <f>"600299"</f>
        <v>600299</v>
      </c>
      <c r="C262" t="s">
        <v>676</v>
      </c>
      <c r="D262" t="s">
        <v>677</v>
      </c>
      <c r="F262">
        <v>340578020</v>
      </c>
      <c r="G262">
        <v>301295739</v>
      </c>
      <c r="H262">
        <v>294254663</v>
      </c>
      <c r="I262">
        <v>298112113</v>
      </c>
      <c r="P262">
        <v>497</v>
      </c>
      <c r="Q262" t="s">
        <v>678</v>
      </c>
    </row>
    <row r="263" spans="1:17" x14ac:dyDescent="0.3">
      <c r="A263" t="s">
        <v>17</v>
      </c>
      <c r="B263" t="str">
        <f>"600300"</f>
        <v>600300</v>
      </c>
      <c r="C263" t="s">
        <v>679</v>
      </c>
      <c r="D263" t="s">
        <v>440</v>
      </c>
      <c r="F263">
        <v>3357734</v>
      </c>
      <c r="G263">
        <v>3507075</v>
      </c>
      <c r="H263">
        <v>1822279</v>
      </c>
      <c r="I263">
        <v>5482384</v>
      </c>
      <c r="P263">
        <v>209</v>
      </c>
      <c r="Q263" t="s">
        <v>680</v>
      </c>
    </row>
    <row r="264" spans="1:17" x14ac:dyDescent="0.3">
      <c r="A264" t="s">
        <v>17</v>
      </c>
      <c r="B264" t="str">
        <f>"600301"</f>
        <v>600301</v>
      </c>
      <c r="C264" t="s">
        <v>681</v>
      </c>
      <c r="D264" t="s">
        <v>131</v>
      </c>
      <c r="F264">
        <v>927018</v>
      </c>
      <c r="G264">
        <v>0</v>
      </c>
      <c r="P264">
        <v>53</v>
      </c>
      <c r="Q264" t="s">
        <v>682</v>
      </c>
    </row>
    <row r="265" spans="1:17" x14ac:dyDescent="0.3">
      <c r="A265" t="s">
        <v>17</v>
      </c>
      <c r="B265" t="str">
        <f>"600302"</f>
        <v>600302</v>
      </c>
      <c r="C265" t="s">
        <v>683</v>
      </c>
      <c r="D265" t="s">
        <v>534</v>
      </c>
      <c r="F265">
        <v>33336953</v>
      </c>
      <c r="G265">
        <v>30845635</v>
      </c>
      <c r="H265">
        <v>39429424</v>
      </c>
      <c r="I265">
        <v>35522336</v>
      </c>
      <c r="P265">
        <v>51</v>
      </c>
      <c r="Q265" t="s">
        <v>684</v>
      </c>
    </row>
    <row r="266" spans="1:17" x14ac:dyDescent="0.3">
      <c r="A266" t="s">
        <v>17</v>
      </c>
      <c r="B266" t="str">
        <f>"600303"</f>
        <v>600303</v>
      </c>
      <c r="C266" t="s">
        <v>685</v>
      </c>
      <c r="D266" t="s">
        <v>153</v>
      </c>
      <c r="F266">
        <v>79824721</v>
      </c>
      <c r="G266">
        <v>76386229</v>
      </c>
      <c r="H266">
        <v>74697222</v>
      </c>
      <c r="I266">
        <v>66290402</v>
      </c>
      <c r="P266">
        <v>131</v>
      </c>
      <c r="Q266" t="s">
        <v>686</v>
      </c>
    </row>
    <row r="267" spans="1:17" x14ac:dyDescent="0.3">
      <c r="A267" t="s">
        <v>17</v>
      </c>
      <c r="B267" t="str">
        <f>"600305"</f>
        <v>600305</v>
      </c>
      <c r="C267" t="s">
        <v>687</v>
      </c>
      <c r="D267" t="s">
        <v>433</v>
      </c>
      <c r="F267">
        <v>78542779</v>
      </c>
      <c r="G267">
        <v>57769207</v>
      </c>
      <c r="H267">
        <v>52943612</v>
      </c>
      <c r="I267">
        <v>47729157</v>
      </c>
      <c r="P267">
        <v>2155</v>
      </c>
      <c r="Q267" t="s">
        <v>688</v>
      </c>
    </row>
    <row r="268" spans="1:17" x14ac:dyDescent="0.3">
      <c r="A268" t="s">
        <v>17</v>
      </c>
      <c r="B268" t="str">
        <f>"600306"</f>
        <v>600306</v>
      </c>
      <c r="C268" t="s">
        <v>689</v>
      </c>
      <c r="D268" t="s">
        <v>633</v>
      </c>
      <c r="F268">
        <v>0</v>
      </c>
      <c r="G268">
        <v>0</v>
      </c>
      <c r="P268">
        <v>71</v>
      </c>
      <c r="Q268" t="s">
        <v>690</v>
      </c>
    </row>
    <row r="269" spans="1:17" x14ac:dyDescent="0.3">
      <c r="A269" t="s">
        <v>17</v>
      </c>
      <c r="B269" t="str">
        <f>"600307"</f>
        <v>600307</v>
      </c>
      <c r="C269" t="s">
        <v>691</v>
      </c>
      <c r="D269" t="s">
        <v>38</v>
      </c>
      <c r="F269">
        <v>741284649</v>
      </c>
      <c r="G269">
        <v>508660969</v>
      </c>
      <c r="H269">
        <v>396990052</v>
      </c>
      <c r="I269">
        <v>392574633</v>
      </c>
      <c r="P269">
        <v>211</v>
      </c>
      <c r="Q269" t="s">
        <v>692</v>
      </c>
    </row>
    <row r="270" spans="1:17" x14ac:dyDescent="0.3">
      <c r="A270" t="s">
        <v>17</v>
      </c>
      <c r="B270" t="str">
        <f>"600308"</f>
        <v>600308</v>
      </c>
      <c r="C270" t="s">
        <v>693</v>
      </c>
      <c r="D270" t="s">
        <v>694</v>
      </c>
      <c r="F270">
        <v>348197773</v>
      </c>
      <c r="G270">
        <v>254492199</v>
      </c>
      <c r="H270">
        <v>170508735</v>
      </c>
      <c r="I270">
        <v>141200778</v>
      </c>
      <c r="P270">
        <v>644</v>
      </c>
      <c r="Q270" t="s">
        <v>695</v>
      </c>
    </row>
    <row r="271" spans="1:17" x14ac:dyDescent="0.3">
      <c r="A271" t="s">
        <v>17</v>
      </c>
      <c r="B271" t="str">
        <f>"600309"</f>
        <v>600309</v>
      </c>
      <c r="C271" t="s">
        <v>696</v>
      </c>
      <c r="D271" t="s">
        <v>528</v>
      </c>
      <c r="F271">
        <v>3168070387</v>
      </c>
      <c r="G271">
        <v>2043039570</v>
      </c>
      <c r="H271">
        <v>1704767184</v>
      </c>
      <c r="I271">
        <v>1610117529</v>
      </c>
      <c r="P271">
        <v>7475</v>
      </c>
      <c r="Q271" t="s">
        <v>697</v>
      </c>
    </row>
    <row r="272" spans="1:17" x14ac:dyDescent="0.3">
      <c r="A272" t="s">
        <v>17</v>
      </c>
      <c r="B272" t="str">
        <f>"600310"</f>
        <v>600310</v>
      </c>
      <c r="C272" t="s">
        <v>698</v>
      </c>
      <c r="D272" t="s">
        <v>239</v>
      </c>
      <c r="F272">
        <v>919658</v>
      </c>
      <c r="G272">
        <v>0</v>
      </c>
      <c r="P272">
        <v>115</v>
      </c>
      <c r="Q272" t="s">
        <v>699</v>
      </c>
    </row>
    <row r="273" spans="1:17" x14ac:dyDescent="0.3">
      <c r="A273" t="s">
        <v>17</v>
      </c>
      <c r="B273" t="str">
        <f>"600311"</f>
        <v>600311</v>
      </c>
      <c r="C273" t="s">
        <v>700</v>
      </c>
      <c r="D273" t="s">
        <v>701</v>
      </c>
      <c r="F273">
        <v>0</v>
      </c>
      <c r="G273">
        <v>0</v>
      </c>
      <c r="P273">
        <v>53</v>
      </c>
      <c r="Q273" t="s">
        <v>702</v>
      </c>
    </row>
    <row r="274" spans="1:17" x14ac:dyDescent="0.3">
      <c r="A274" t="s">
        <v>17</v>
      </c>
      <c r="B274" t="str">
        <f>"600312"</f>
        <v>600312</v>
      </c>
      <c r="C274" t="s">
        <v>703</v>
      </c>
      <c r="D274" t="s">
        <v>210</v>
      </c>
      <c r="F274">
        <v>310145338</v>
      </c>
      <c r="G274">
        <v>233992001</v>
      </c>
      <c r="H274">
        <v>235117155</v>
      </c>
      <c r="I274">
        <v>98027374</v>
      </c>
      <c r="P274">
        <v>634</v>
      </c>
      <c r="Q274" t="s">
        <v>704</v>
      </c>
    </row>
    <row r="275" spans="1:17" x14ac:dyDescent="0.3">
      <c r="A275" t="s">
        <v>17</v>
      </c>
      <c r="B275" t="str">
        <f>"600313"</f>
        <v>600313</v>
      </c>
      <c r="C275" t="s">
        <v>705</v>
      </c>
      <c r="D275" t="s">
        <v>706</v>
      </c>
      <c r="F275">
        <v>35709115</v>
      </c>
      <c r="G275">
        <v>34511069</v>
      </c>
      <c r="H275">
        <v>34263487</v>
      </c>
      <c r="I275">
        <v>37165962</v>
      </c>
      <c r="P275">
        <v>173</v>
      </c>
      <c r="Q275" t="s">
        <v>707</v>
      </c>
    </row>
    <row r="276" spans="1:17" x14ac:dyDescent="0.3">
      <c r="A276" t="s">
        <v>17</v>
      </c>
      <c r="B276" t="str">
        <f>"600315"</f>
        <v>600315</v>
      </c>
      <c r="C276" t="s">
        <v>708</v>
      </c>
      <c r="D276" t="s">
        <v>709</v>
      </c>
      <c r="F276">
        <v>163127113</v>
      </c>
      <c r="G276">
        <v>144274797</v>
      </c>
      <c r="H276">
        <v>172829946</v>
      </c>
      <c r="I276">
        <v>149509044</v>
      </c>
      <c r="J276">
        <v>152905339</v>
      </c>
      <c r="P276">
        <v>1245</v>
      </c>
      <c r="Q276" t="s">
        <v>710</v>
      </c>
    </row>
    <row r="277" spans="1:17" x14ac:dyDescent="0.3">
      <c r="A277" t="s">
        <v>17</v>
      </c>
      <c r="B277" t="str">
        <f>"600316"</f>
        <v>600316</v>
      </c>
      <c r="C277" t="s">
        <v>711</v>
      </c>
      <c r="D277" t="s">
        <v>98</v>
      </c>
      <c r="F277">
        <v>84313732</v>
      </c>
      <c r="G277">
        <v>58851439</v>
      </c>
      <c r="H277">
        <v>49981578</v>
      </c>
      <c r="I277">
        <v>47662682</v>
      </c>
      <c r="P277">
        <v>387</v>
      </c>
      <c r="Q277" t="s">
        <v>712</v>
      </c>
    </row>
    <row r="278" spans="1:17" x14ac:dyDescent="0.3">
      <c r="A278" t="s">
        <v>17</v>
      </c>
      <c r="B278" t="str">
        <f>"600317"</f>
        <v>600317</v>
      </c>
      <c r="C278" t="s">
        <v>713</v>
      </c>
      <c r="H278">
        <v>0</v>
      </c>
      <c r="I278">
        <v>0</v>
      </c>
      <c r="P278">
        <v>92</v>
      </c>
      <c r="Q278" t="s">
        <v>714</v>
      </c>
    </row>
    <row r="279" spans="1:17" x14ac:dyDescent="0.3">
      <c r="A279" t="s">
        <v>17</v>
      </c>
      <c r="B279" t="str">
        <f>"600318"</f>
        <v>600318</v>
      </c>
      <c r="C279" t="s">
        <v>715</v>
      </c>
      <c r="D279" t="s">
        <v>140</v>
      </c>
      <c r="F279">
        <v>7541287</v>
      </c>
      <c r="G279">
        <v>4931272</v>
      </c>
      <c r="H279">
        <v>2865843</v>
      </c>
      <c r="P279">
        <v>104</v>
      </c>
      <c r="Q279" t="s">
        <v>716</v>
      </c>
    </row>
    <row r="280" spans="1:17" x14ac:dyDescent="0.3">
      <c r="A280" t="s">
        <v>17</v>
      </c>
      <c r="B280" t="str">
        <f>"600319"</f>
        <v>600319</v>
      </c>
      <c r="C280" t="s">
        <v>717</v>
      </c>
      <c r="D280" t="s">
        <v>175</v>
      </c>
      <c r="F280">
        <v>5150159</v>
      </c>
      <c r="G280">
        <v>2256863</v>
      </c>
      <c r="H280">
        <v>4619233</v>
      </c>
      <c r="I280">
        <v>2691731</v>
      </c>
      <c r="P280">
        <v>57</v>
      </c>
      <c r="Q280" t="s">
        <v>718</v>
      </c>
    </row>
    <row r="281" spans="1:17" x14ac:dyDescent="0.3">
      <c r="A281" t="s">
        <v>17</v>
      </c>
      <c r="B281" t="str">
        <f>"600320"</f>
        <v>600320</v>
      </c>
      <c r="C281" t="s">
        <v>719</v>
      </c>
      <c r="D281" t="s">
        <v>395</v>
      </c>
      <c r="F281">
        <v>883154222</v>
      </c>
      <c r="G281">
        <v>737468137</v>
      </c>
      <c r="H281">
        <v>887096178</v>
      </c>
      <c r="I281">
        <v>672614073</v>
      </c>
      <c r="P281">
        <v>190</v>
      </c>
      <c r="Q281" t="s">
        <v>720</v>
      </c>
    </row>
    <row r="282" spans="1:17" x14ac:dyDescent="0.3">
      <c r="A282" t="s">
        <v>17</v>
      </c>
      <c r="B282" t="str">
        <f>"600321"</f>
        <v>600321</v>
      </c>
      <c r="C282" t="s">
        <v>721</v>
      </c>
      <c r="D282" t="s">
        <v>722</v>
      </c>
      <c r="F282">
        <v>0</v>
      </c>
      <c r="G282">
        <v>0</v>
      </c>
      <c r="P282">
        <v>74</v>
      </c>
      <c r="Q282" t="s">
        <v>723</v>
      </c>
    </row>
    <row r="283" spans="1:17" x14ac:dyDescent="0.3">
      <c r="A283" t="s">
        <v>17</v>
      </c>
      <c r="B283" t="str">
        <f>"600322"</f>
        <v>600322</v>
      </c>
      <c r="C283" t="s">
        <v>724</v>
      </c>
      <c r="D283" t="s">
        <v>104</v>
      </c>
      <c r="F283">
        <v>0</v>
      </c>
      <c r="G283">
        <v>0</v>
      </c>
      <c r="P283">
        <v>84</v>
      </c>
      <c r="Q283" t="s">
        <v>725</v>
      </c>
    </row>
    <row r="284" spans="1:17" x14ac:dyDescent="0.3">
      <c r="A284" t="s">
        <v>17</v>
      </c>
      <c r="B284" t="str">
        <f>"600323"</f>
        <v>600323</v>
      </c>
      <c r="C284" t="s">
        <v>726</v>
      </c>
      <c r="D284" t="s">
        <v>499</v>
      </c>
      <c r="F284">
        <v>127954954</v>
      </c>
      <c r="G284">
        <v>110703210</v>
      </c>
      <c r="H284">
        <v>67524752</v>
      </c>
      <c r="I284">
        <v>55076149</v>
      </c>
      <c r="P284">
        <v>1151</v>
      </c>
      <c r="Q284" t="s">
        <v>727</v>
      </c>
    </row>
    <row r="285" spans="1:17" x14ac:dyDescent="0.3">
      <c r="A285" t="s">
        <v>17</v>
      </c>
      <c r="B285" t="str">
        <f>"600325"</f>
        <v>600325</v>
      </c>
      <c r="C285" t="s">
        <v>728</v>
      </c>
      <c r="D285" t="s">
        <v>104</v>
      </c>
      <c r="F285">
        <v>78997851</v>
      </c>
      <c r="G285">
        <v>37213855</v>
      </c>
      <c r="H285">
        <v>83523636</v>
      </c>
      <c r="P285">
        <v>1184</v>
      </c>
      <c r="Q285" t="s">
        <v>729</v>
      </c>
    </row>
    <row r="286" spans="1:17" x14ac:dyDescent="0.3">
      <c r="A286" t="s">
        <v>17</v>
      </c>
      <c r="B286" t="str">
        <f>"600326"</f>
        <v>600326</v>
      </c>
      <c r="C286" t="s">
        <v>730</v>
      </c>
      <c r="D286" t="s">
        <v>731</v>
      </c>
      <c r="F286">
        <v>137044111</v>
      </c>
      <c r="G286">
        <v>162080084</v>
      </c>
      <c r="H286">
        <v>162501675</v>
      </c>
      <c r="I286">
        <v>160487426</v>
      </c>
      <c r="P286">
        <v>275</v>
      </c>
      <c r="Q286" t="s">
        <v>732</v>
      </c>
    </row>
    <row r="287" spans="1:17" x14ac:dyDescent="0.3">
      <c r="A287" t="s">
        <v>17</v>
      </c>
      <c r="B287" t="str">
        <f>"600327"</f>
        <v>600327</v>
      </c>
      <c r="C287" t="s">
        <v>733</v>
      </c>
      <c r="D287" t="s">
        <v>672</v>
      </c>
      <c r="F287">
        <v>3401817</v>
      </c>
      <c r="G287">
        <v>0</v>
      </c>
      <c r="P287">
        <v>221</v>
      </c>
      <c r="Q287" t="s">
        <v>734</v>
      </c>
    </row>
    <row r="288" spans="1:17" x14ac:dyDescent="0.3">
      <c r="A288" t="s">
        <v>17</v>
      </c>
      <c r="B288" t="str">
        <f>"600328"</f>
        <v>600328</v>
      </c>
      <c r="C288" t="s">
        <v>735</v>
      </c>
      <c r="D288" t="s">
        <v>736</v>
      </c>
      <c r="F288">
        <v>291920891</v>
      </c>
      <c r="G288">
        <v>122292892</v>
      </c>
      <c r="H288">
        <v>64400738</v>
      </c>
      <c r="I288">
        <v>17615870</v>
      </c>
      <c r="P288">
        <v>261</v>
      </c>
      <c r="Q288" t="s">
        <v>737</v>
      </c>
    </row>
    <row r="289" spans="1:17" x14ac:dyDescent="0.3">
      <c r="A289" t="s">
        <v>17</v>
      </c>
      <c r="B289" t="str">
        <f>"600329"</f>
        <v>600329</v>
      </c>
      <c r="C289" t="s">
        <v>738</v>
      </c>
      <c r="D289" t="s">
        <v>188</v>
      </c>
      <c r="F289">
        <v>161052222</v>
      </c>
      <c r="G289">
        <v>149202410</v>
      </c>
      <c r="H289">
        <v>133360707</v>
      </c>
      <c r="I289">
        <v>100925212</v>
      </c>
      <c r="P289">
        <v>553</v>
      </c>
      <c r="Q289" t="s">
        <v>739</v>
      </c>
    </row>
    <row r="290" spans="1:17" x14ac:dyDescent="0.3">
      <c r="A290" t="s">
        <v>17</v>
      </c>
      <c r="B290" t="str">
        <f>"600330"</f>
        <v>600330</v>
      </c>
      <c r="C290" t="s">
        <v>740</v>
      </c>
      <c r="D290" t="s">
        <v>741</v>
      </c>
      <c r="F290">
        <v>255473614</v>
      </c>
      <c r="G290">
        <v>173409923</v>
      </c>
      <c r="H290">
        <v>163190175</v>
      </c>
      <c r="I290">
        <v>158560709</v>
      </c>
      <c r="P290">
        <v>3157</v>
      </c>
      <c r="Q290" t="s">
        <v>742</v>
      </c>
    </row>
    <row r="291" spans="1:17" x14ac:dyDescent="0.3">
      <c r="A291" t="s">
        <v>17</v>
      </c>
      <c r="B291" t="str">
        <f>"600331"</f>
        <v>600331</v>
      </c>
      <c r="C291" t="s">
        <v>743</v>
      </c>
      <c r="D291" t="s">
        <v>744</v>
      </c>
      <c r="F291">
        <v>89766</v>
      </c>
      <c r="G291">
        <v>252074</v>
      </c>
      <c r="H291">
        <v>86616</v>
      </c>
      <c r="I291">
        <v>344843</v>
      </c>
      <c r="P291">
        <v>117</v>
      </c>
      <c r="Q291" t="s">
        <v>745</v>
      </c>
    </row>
    <row r="292" spans="1:17" x14ac:dyDescent="0.3">
      <c r="A292" t="s">
        <v>17</v>
      </c>
      <c r="B292" t="str">
        <f>"600332"</f>
        <v>600332</v>
      </c>
      <c r="C292" t="s">
        <v>746</v>
      </c>
      <c r="D292" t="s">
        <v>188</v>
      </c>
      <c r="F292">
        <v>874719982</v>
      </c>
      <c r="G292">
        <v>611934929</v>
      </c>
      <c r="H292">
        <v>576511023</v>
      </c>
      <c r="I292">
        <v>585497705</v>
      </c>
      <c r="P292">
        <v>2231</v>
      </c>
      <c r="Q292" t="s">
        <v>747</v>
      </c>
    </row>
    <row r="293" spans="1:17" x14ac:dyDescent="0.3">
      <c r="A293" t="s">
        <v>17</v>
      </c>
      <c r="B293" t="str">
        <f>"600333"</f>
        <v>600333</v>
      </c>
      <c r="C293" t="s">
        <v>748</v>
      </c>
      <c r="D293" t="s">
        <v>749</v>
      </c>
      <c r="F293">
        <v>4969039</v>
      </c>
      <c r="G293">
        <v>3218089</v>
      </c>
      <c r="H293">
        <v>2852213</v>
      </c>
      <c r="I293">
        <v>3552013</v>
      </c>
      <c r="P293">
        <v>103</v>
      </c>
      <c r="Q293" t="s">
        <v>750</v>
      </c>
    </row>
    <row r="294" spans="1:17" x14ac:dyDescent="0.3">
      <c r="A294" t="s">
        <v>17</v>
      </c>
      <c r="B294" t="str">
        <f>"600335"</f>
        <v>600335</v>
      </c>
      <c r="C294" t="s">
        <v>751</v>
      </c>
      <c r="D294" t="s">
        <v>672</v>
      </c>
      <c r="F294">
        <v>609205952</v>
      </c>
      <c r="G294">
        <v>588853033</v>
      </c>
      <c r="H294">
        <v>659305269</v>
      </c>
      <c r="I294">
        <v>1977618</v>
      </c>
      <c r="P294">
        <v>150</v>
      </c>
      <c r="Q294" t="s">
        <v>752</v>
      </c>
    </row>
    <row r="295" spans="1:17" x14ac:dyDescent="0.3">
      <c r="A295" t="s">
        <v>17</v>
      </c>
      <c r="B295" t="str">
        <f>"600336"</f>
        <v>600336</v>
      </c>
      <c r="C295" t="s">
        <v>753</v>
      </c>
      <c r="D295" t="s">
        <v>754</v>
      </c>
      <c r="F295">
        <v>218821656</v>
      </c>
      <c r="G295">
        <v>162835823</v>
      </c>
      <c r="H295">
        <v>134707801</v>
      </c>
      <c r="I295">
        <v>112227179</v>
      </c>
      <c r="P295">
        <v>223</v>
      </c>
      <c r="Q295" t="s">
        <v>755</v>
      </c>
    </row>
    <row r="296" spans="1:17" x14ac:dyDescent="0.3">
      <c r="A296" t="s">
        <v>17</v>
      </c>
      <c r="B296" t="str">
        <f>"600337"</f>
        <v>600337</v>
      </c>
      <c r="C296" t="s">
        <v>756</v>
      </c>
      <c r="D296" t="s">
        <v>757</v>
      </c>
      <c r="F296">
        <v>77803011</v>
      </c>
      <c r="G296">
        <v>68509053</v>
      </c>
      <c r="H296">
        <v>97497001</v>
      </c>
      <c r="I296">
        <v>69442437</v>
      </c>
      <c r="P296">
        <v>226</v>
      </c>
      <c r="Q296" t="s">
        <v>758</v>
      </c>
    </row>
    <row r="297" spans="1:17" x14ac:dyDescent="0.3">
      <c r="A297" t="s">
        <v>17</v>
      </c>
      <c r="B297" t="str">
        <f>"600338"</f>
        <v>600338</v>
      </c>
      <c r="C297" t="s">
        <v>759</v>
      </c>
      <c r="D297" t="s">
        <v>744</v>
      </c>
      <c r="F297">
        <v>0</v>
      </c>
      <c r="G297">
        <v>0</v>
      </c>
      <c r="P297">
        <v>4533</v>
      </c>
      <c r="Q297" t="s">
        <v>760</v>
      </c>
    </row>
    <row r="298" spans="1:17" x14ac:dyDescent="0.3">
      <c r="A298" t="s">
        <v>17</v>
      </c>
      <c r="B298" t="str">
        <f>"600339"</f>
        <v>600339</v>
      </c>
      <c r="C298" t="s">
        <v>761</v>
      </c>
      <c r="D298" t="s">
        <v>762</v>
      </c>
      <c r="F298">
        <v>974661975</v>
      </c>
      <c r="G298">
        <v>595170703</v>
      </c>
      <c r="H298">
        <v>306806439</v>
      </c>
      <c r="I298">
        <v>125042130</v>
      </c>
      <c r="P298">
        <v>232</v>
      </c>
      <c r="Q298" t="s">
        <v>763</v>
      </c>
    </row>
    <row r="299" spans="1:17" x14ac:dyDescent="0.3">
      <c r="A299" t="s">
        <v>17</v>
      </c>
      <c r="B299" t="str">
        <f>"600340"</f>
        <v>600340</v>
      </c>
      <c r="C299" t="s">
        <v>764</v>
      </c>
      <c r="D299" t="s">
        <v>194</v>
      </c>
      <c r="F299">
        <v>12044117</v>
      </c>
      <c r="G299">
        <v>19949322</v>
      </c>
      <c r="H299">
        <v>10460383</v>
      </c>
      <c r="I299">
        <v>13569085</v>
      </c>
      <c r="P299">
        <v>22451</v>
      </c>
      <c r="Q299" t="s">
        <v>765</v>
      </c>
    </row>
    <row r="300" spans="1:17" x14ac:dyDescent="0.3">
      <c r="A300" t="s">
        <v>17</v>
      </c>
      <c r="B300" t="str">
        <f>"600343"</f>
        <v>600343</v>
      </c>
      <c r="C300" t="s">
        <v>766</v>
      </c>
      <c r="D300" t="s">
        <v>284</v>
      </c>
      <c r="F300">
        <v>61209383</v>
      </c>
      <c r="G300">
        <v>60612205</v>
      </c>
      <c r="H300">
        <v>56958701</v>
      </c>
      <c r="I300">
        <v>22708699</v>
      </c>
      <c r="P300">
        <v>128</v>
      </c>
      <c r="Q300" t="s">
        <v>767</v>
      </c>
    </row>
    <row r="301" spans="1:17" x14ac:dyDescent="0.3">
      <c r="A301" t="s">
        <v>17</v>
      </c>
      <c r="B301" t="str">
        <f>"600345"</f>
        <v>600345</v>
      </c>
      <c r="C301" t="s">
        <v>768</v>
      </c>
      <c r="D301" t="s">
        <v>595</v>
      </c>
      <c r="F301">
        <v>14970620</v>
      </c>
      <c r="G301">
        <v>10966044</v>
      </c>
      <c r="H301">
        <v>5460553</v>
      </c>
      <c r="I301">
        <v>5353726</v>
      </c>
      <c r="P301">
        <v>208</v>
      </c>
      <c r="Q301" t="s">
        <v>769</v>
      </c>
    </row>
    <row r="302" spans="1:17" x14ac:dyDescent="0.3">
      <c r="A302" t="s">
        <v>17</v>
      </c>
      <c r="B302" t="str">
        <f>"600346"</f>
        <v>600346</v>
      </c>
      <c r="C302" t="s">
        <v>770</v>
      </c>
      <c r="D302" t="s">
        <v>74</v>
      </c>
      <c r="F302">
        <v>1019452367</v>
      </c>
      <c r="G302">
        <v>825974629</v>
      </c>
      <c r="H302">
        <v>958349359</v>
      </c>
      <c r="I302">
        <v>834214470</v>
      </c>
      <c r="P302">
        <v>1652</v>
      </c>
      <c r="Q302" t="s">
        <v>771</v>
      </c>
    </row>
    <row r="303" spans="1:17" x14ac:dyDescent="0.3">
      <c r="A303" t="s">
        <v>17</v>
      </c>
      <c r="B303" t="str">
        <f>"600348"</f>
        <v>600348</v>
      </c>
      <c r="C303" t="s">
        <v>772</v>
      </c>
      <c r="D303" t="s">
        <v>298</v>
      </c>
      <c r="F303">
        <v>341282225</v>
      </c>
      <c r="G303">
        <v>245167432</v>
      </c>
      <c r="H303">
        <v>242761583</v>
      </c>
      <c r="I303">
        <v>211634228</v>
      </c>
      <c r="P303">
        <v>1285</v>
      </c>
      <c r="Q303" t="s">
        <v>773</v>
      </c>
    </row>
    <row r="304" spans="1:17" x14ac:dyDescent="0.3">
      <c r="A304" t="s">
        <v>17</v>
      </c>
      <c r="B304" t="str">
        <f>"600350"</f>
        <v>600350</v>
      </c>
      <c r="C304" t="s">
        <v>774</v>
      </c>
      <c r="D304" t="s">
        <v>44</v>
      </c>
      <c r="F304">
        <v>135698651</v>
      </c>
      <c r="G304">
        <v>67632819</v>
      </c>
      <c r="H304">
        <v>5163716</v>
      </c>
      <c r="I304">
        <v>2098569</v>
      </c>
      <c r="P304">
        <v>1230</v>
      </c>
      <c r="Q304" t="s">
        <v>775</v>
      </c>
    </row>
    <row r="305" spans="1:17" x14ac:dyDescent="0.3">
      <c r="A305" t="s">
        <v>17</v>
      </c>
      <c r="B305" t="str">
        <f>"600351"</f>
        <v>600351</v>
      </c>
      <c r="C305" t="s">
        <v>776</v>
      </c>
      <c r="D305" t="s">
        <v>188</v>
      </c>
      <c r="F305">
        <v>157125458</v>
      </c>
      <c r="G305">
        <v>144463190</v>
      </c>
      <c r="H305">
        <v>112789552</v>
      </c>
      <c r="I305">
        <v>112127834</v>
      </c>
      <c r="P305">
        <v>234</v>
      </c>
      <c r="Q305" t="s">
        <v>777</v>
      </c>
    </row>
    <row r="306" spans="1:17" x14ac:dyDescent="0.3">
      <c r="A306" t="s">
        <v>17</v>
      </c>
      <c r="B306" t="str">
        <f>"600352"</f>
        <v>600352</v>
      </c>
      <c r="C306" t="s">
        <v>778</v>
      </c>
      <c r="D306" t="s">
        <v>779</v>
      </c>
      <c r="F306">
        <v>652528853</v>
      </c>
      <c r="G306">
        <v>704449706</v>
      </c>
      <c r="H306">
        <v>788934909</v>
      </c>
      <c r="I306">
        <v>731546103</v>
      </c>
      <c r="P306">
        <v>1666</v>
      </c>
      <c r="Q306" t="s">
        <v>780</v>
      </c>
    </row>
    <row r="307" spans="1:17" x14ac:dyDescent="0.3">
      <c r="A307" t="s">
        <v>17</v>
      </c>
      <c r="B307" t="str">
        <f>"600353"</f>
        <v>600353</v>
      </c>
      <c r="C307" t="s">
        <v>781</v>
      </c>
      <c r="D307" t="s">
        <v>651</v>
      </c>
      <c r="F307">
        <v>38859914</v>
      </c>
      <c r="G307">
        <v>35206779</v>
      </c>
      <c r="H307">
        <v>42898111</v>
      </c>
      <c r="I307">
        <v>15146715</v>
      </c>
      <c r="P307">
        <v>141</v>
      </c>
      <c r="Q307" t="s">
        <v>782</v>
      </c>
    </row>
    <row r="308" spans="1:17" x14ac:dyDescent="0.3">
      <c r="A308" t="s">
        <v>17</v>
      </c>
      <c r="B308" t="str">
        <f>"600354"</f>
        <v>600354</v>
      </c>
      <c r="C308" t="s">
        <v>783</v>
      </c>
      <c r="D308" t="s">
        <v>706</v>
      </c>
      <c r="F308">
        <v>14824329</v>
      </c>
      <c r="G308">
        <v>7079646</v>
      </c>
      <c r="H308">
        <v>7182669</v>
      </c>
      <c r="I308">
        <v>10573763</v>
      </c>
      <c r="P308">
        <v>121</v>
      </c>
      <c r="Q308" t="s">
        <v>784</v>
      </c>
    </row>
    <row r="309" spans="1:17" x14ac:dyDescent="0.3">
      <c r="A309" t="s">
        <v>17</v>
      </c>
      <c r="B309" t="str">
        <f>"600355"</f>
        <v>600355</v>
      </c>
      <c r="C309" t="s">
        <v>785</v>
      </c>
      <c r="D309" t="s">
        <v>786</v>
      </c>
      <c r="F309">
        <v>34853636</v>
      </c>
      <c r="G309">
        <v>31391742</v>
      </c>
      <c r="H309">
        <v>67978101</v>
      </c>
      <c r="I309">
        <v>39385530</v>
      </c>
      <c r="P309">
        <v>109</v>
      </c>
      <c r="Q309" t="s">
        <v>787</v>
      </c>
    </row>
    <row r="310" spans="1:17" x14ac:dyDescent="0.3">
      <c r="A310" t="s">
        <v>17</v>
      </c>
      <c r="B310" t="str">
        <f>"600356"</f>
        <v>600356</v>
      </c>
      <c r="C310" t="s">
        <v>788</v>
      </c>
      <c r="D310" t="s">
        <v>244</v>
      </c>
      <c r="F310">
        <v>78013483</v>
      </c>
      <c r="G310">
        <v>88168437</v>
      </c>
      <c r="H310">
        <v>55342670</v>
      </c>
      <c r="I310">
        <v>26619044</v>
      </c>
      <c r="P310">
        <v>116</v>
      </c>
      <c r="Q310" t="s">
        <v>789</v>
      </c>
    </row>
    <row r="311" spans="1:17" x14ac:dyDescent="0.3">
      <c r="A311" t="s">
        <v>17</v>
      </c>
      <c r="B311" t="str">
        <f>"600358"</f>
        <v>600358</v>
      </c>
      <c r="C311" t="s">
        <v>790</v>
      </c>
      <c r="D311" t="s">
        <v>207</v>
      </c>
      <c r="F311">
        <v>2280000</v>
      </c>
      <c r="G311">
        <v>5635005</v>
      </c>
      <c r="H311">
        <v>2467927</v>
      </c>
      <c r="I311">
        <v>469587</v>
      </c>
      <c r="P311">
        <v>64</v>
      </c>
      <c r="Q311" t="s">
        <v>791</v>
      </c>
    </row>
    <row r="312" spans="1:17" x14ac:dyDescent="0.3">
      <c r="A312" t="s">
        <v>17</v>
      </c>
      <c r="B312" t="str">
        <f>"600359"</f>
        <v>600359</v>
      </c>
      <c r="C312" t="s">
        <v>792</v>
      </c>
      <c r="D312" t="s">
        <v>258</v>
      </c>
      <c r="F312">
        <v>13045378</v>
      </c>
      <c r="G312">
        <v>6601952</v>
      </c>
      <c r="H312">
        <v>7675287</v>
      </c>
      <c r="I312">
        <v>5997308</v>
      </c>
      <c r="P312">
        <v>111</v>
      </c>
      <c r="Q312" t="s">
        <v>793</v>
      </c>
    </row>
    <row r="313" spans="1:17" x14ac:dyDescent="0.3">
      <c r="A313" t="s">
        <v>17</v>
      </c>
      <c r="B313" t="str">
        <f>"600360"</f>
        <v>600360</v>
      </c>
      <c r="C313" t="s">
        <v>794</v>
      </c>
      <c r="D313" t="s">
        <v>795</v>
      </c>
      <c r="F313">
        <v>91867692</v>
      </c>
      <c r="G313">
        <v>66202614</v>
      </c>
      <c r="H313">
        <v>43029244</v>
      </c>
      <c r="I313">
        <v>36815519</v>
      </c>
      <c r="P313">
        <v>318</v>
      </c>
      <c r="Q313" t="s">
        <v>796</v>
      </c>
    </row>
    <row r="314" spans="1:17" x14ac:dyDescent="0.3">
      <c r="A314" t="s">
        <v>17</v>
      </c>
      <c r="B314" t="str">
        <f>"600361"</f>
        <v>600361</v>
      </c>
      <c r="C314" t="s">
        <v>797</v>
      </c>
      <c r="D314" t="s">
        <v>798</v>
      </c>
      <c r="F314">
        <v>0</v>
      </c>
      <c r="G314">
        <v>0</v>
      </c>
      <c r="P314">
        <v>134</v>
      </c>
      <c r="Q314" t="s">
        <v>799</v>
      </c>
    </row>
    <row r="315" spans="1:17" x14ac:dyDescent="0.3">
      <c r="A315" t="s">
        <v>17</v>
      </c>
      <c r="B315" t="str">
        <f>"600362"</f>
        <v>600362</v>
      </c>
      <c r="C315" t="s">
        <v>800</v>
      </c>
      <c r="D315" t="s">
        <v>263</v>
      </c>
      <c r="F315">
        <v>874110910</v>
      </c>
      <c r="G315">
        <v>661241915</v>
      </c>
      <c r="H315">
        <v>585688950</v>
      </c>
      <c r="I315">
        <v>206932138</v>
      </c>
      <c r="P315">
        <v>911</v>
      </c>
      <c r="Q315" t="s">
        <v>801</v>
      </c>
    </row>
    <row r="316" spans="1:17" x14ac:dyDescent="0.3">
      <c r="A316" t="s">
        <v>17</v>
      </c>
      <c r="B316" t="str">
        <f>"600363"</f>
        <v>600363</v>
      </c>
      <c r="C316" t="s">
        <v>802</v>
      </c>
      <c r="D316" t="s">
        <v>803</v>
      </c>
      <c r="F316">
        <v>169752731</v>
      </c>
      <c r="G316">
        <v>146986450</v>
      </c>
      <c r="H316">
        <v>152651004</v>
      </c>
      <c r="I316">
        <v>126053259</v>
      </c>
      <c r="P316">
        <v>202</v>
      </c>
      <c r="Q316" t="s">
        <v>804</v>
      </c>
    </row>
    <row r="317" spans="1:17" x14ac:dyDescent="0.3">
      <c r="A317" t="s">
        <v>17</v>
      </c>
      <c r="B317" t="str">
        <f>"600365"</f>
        <v>600365</v>
      </c>
      <c r="C317" t="s">
        <v>805</v>
      </c>
      <c r="D317" t="s">
        <v>134</v>
      </c>
      <c r="F317">
        <v>751791</v>
      </c>
      <c r="G317">
        <v>704208</v>
      </c>
      <c r="H317">
        <v>738921</v>
      </c>
      <c r="I317">
        <v>726341</v>
      </c>
      <c r="P317">
        <v>90</v>
      </c>
      <c r="Q317" t="s">
        <v>806</v>
      </c>
    </row>
    <row r="318" spans="1:17" x14ac:dyDescent="0.3">
      <c r="A318" t="s">
        <v>17</v>
      </c>
      <c r="B318" t="str">
        <f>"600366"</f>
        <v>600366</v>
      </c>
      <c r="C318" t="s">
        <v>807</v>
      </c>
      <c r="D318" t="s">
        <v>808</v>
      </c>
      <c r="F318">
        <v>230872997</v>
      </c>
      <c r="G318">
        <v>143790332</v>
      </c>
      <c r="H318">
        <v>126940095</v>
      </c>
      <c r="I318">
        <v>139939907</v>
      </c>
      <c r="P318">
        <v>238</v>
      </c>
      <c r="Q318" t="s">
        <v>809</v>
      </c>
    </row>
    <row r="319" spans="1:17" x14ac:dyDescent="0.3">
      <c r="A319" t="s">
        <v>17</v>
      </c>
      <c r="B319" t="str">
        <f>"600367"</f>
        <v>600367</v>
      </c>
      <c r="C319" t="s">
        <v>810</v>
      </c>
      <c r="D319" t="s">
        <v>736</v>
      </c>
      <c r="F319">
        <v>2070906</v>
      </c>
      <c r="G319">
        <v>525388</v>
      </c>
      <c r="H319">
        <v>698591</v>
      </c>
      <c r="I319">
        <v>8480835</v>
      </c>
      <c r="P319">
        <v>115</v>
      </c>
      <c r="Q319" t="s">
        <v>811</v>
      </c>
    </row>
    <row r="320" spans="1:17" x14ac:dyDescent="0.3">
      <c r="A320" t="s">
        <v>17</v>
      </c>
      <c r="B320" t="str">
        <f>"600368"</f>
        <v>600368</v>
      </c>
      <c r="C320" t="s">
        <v>812</v>
      </c>
      <c r="D320" t="s">
        <v>44</v>
      </c>
      <c r="F320">
        <v>0</v>
      </c>
      <c r="G320">
        <v>0</v>
      </c>
      <c r="P320">
        <v>301</v>
      </c>
      <c r="Q320" t="s">
        <v>813</v>
      </c>
    </row>
    <row r="321" spans="1:17" x14ac:dyDescent="0.3">
      <c r="A321" t="s">
        <v>17</v>
      </c>
      <c r="B321" t="str">
        <f>"600369"</f>
        <v>600369</v>
      </c>
      <c r="C321" t="s">
        <v>814</v>
      </c>
      <c r="D321" t="s">
        <v>80</v>
      </c>
      <c r="P321">
        <v>932</v>
      </c>
      <c r="Q321" t="s">
        <v>815</v>
      </c>
    </row>
    <row r="322" spans="1:17" x14ac:dyDescent="0.3">
      <c r="A322" t="s">
        <v>17</v>
      </c>
      <c r="B322" t="str">
        <f>"600370"</f>
        <v>600370</v>
      </c>
      <c r="C322" t="s">
        <v>816</v>
      </c>
      <c r="D322" t="s">
        <v>817</v>
      </c>
      <c r="F322">
        <v>9384692</v>
      </c>
      <c r="G322">
        <v>7888514</v>
      </c>
      <c r="H322">
        <v>9467388</v>
      </c>
      <c r="I322">
        <v>10099159</v>
      </c>
      <c r="P322">
        <v>101</v>
      </c>
      <c r="Q322" t="s">
        <v>818</v>
      </c>
    </row>
    <row r="323" spans="1:17" x14ac:dyDescent="0.3">
      <c r="A323" t="s">
        <v>17</v>
      </c>
      <c r="B323" t="str">
        <f>"600371"</f>
        <v>600371</v>
      </c>
      <c r="C323" t="s">
        <v>819</v>
      </c>
      <c r="D323" t="s">
        <v>706</v>
      </c>
      <c r="F323">
        <v>13771171</v>
      </c>
      <c r="G323">
        <v>14251464</v>
      </c>
      <c r="H323">
        <v>15276912</v>
      </c>
      <c r="I323">
        <v>14154725</v>
      </c>
      <c r="P323">
        <v>174</v>
      </c>
      <c r="Q323" t="s">
        <v>820</v>
      </c>
    </row>
    <row r="324" spans="1:17" x14ac:dyDescent="0.3">
      <c r="A324" t="s">
        <v>17</v>
      </c>
      <c r="B324" t="str">
        <f>"600372"</f>
        <v>600372</v>
      </c>
      <c r="C324" t="s">
        <v>821</v>
      </c>
      <c r="D324" t="s">
        <v>98</v>
      </c>
      <c r="F324">
        <v>827134387</v>
      </c>
      <c r="G324">
        <v>647417718</v>
      </c>
      <c r="H324">
        <v>580056830</v>
      </c>
      <c r="I324">
        <v>446676533</v>
      </c>
      <c r="P324">
        <v>433</v>
      </c>
      <c r="Q324" t="s">
        <v>822</v>
      </c>
    </row>
    <row r="325" spans="1:17" x14ac:dyDescent="0.3">
      <c r="A325" t="s">
        <v>17</v>
      </c>
      <c r="B325" t="str">
        <f>"600373"</f>
        <v>600373</v>
      </c>
      <c r="C325" t="s">
        <v>823</v>
      </c>
      <c r="D325" t="s">
        <v>525</v>
      </c>
      <c r="F325">
        <v>238378620</v>
      </c>
      <c r="G325">
        <v>208413520</v>
      </c>
      <c r="H325">
        <v>390411956</v>
      </c>
      <c r="I325">
        <v>833049901</v>
      </c>
      <c r="P325">
        <v>774</v>
      </c>
      <c r="Q325" t="s">
        <v>824</v>
      </c>
    </row>
    <row r="326" spans="1:17" x14ac:dyDescent="0.3">
      <c r="A326" t="s">
        <v>17</v>
      </c>
      <c r="B326" t="str">
        <f>"600375"</f>
        <v>600375</v>
      </c>
      <c r="C326" t="s">
        <v>825</v>
      </c>
      <c r="D326" t="s">
        <v>83</v>
      </c>
      <c r="F326">
        <v>206240391</v>
      </c>
      <c r="G326">
        <v>198225502</v>
      </c>
      <c r="H326">
        <v>177301671</v>
      </c>
      <c r="I326">
        <v>198068397</v>
      </c>
      <c r="P326">
        <v>87</v>
      </c>
      <c r="Q326" t="s">
        <v>826</v>
      </c>
    </row>
    <row r="327" spans="1:17" x14ac:dyDescent="0.3">
      <c r="A327" t="s">
        <v>17</v>
      </c>
      <c r="B327" t="str">
        <f>"600376"</f>
        <v>600376</v>
      </c>
      <c r="C327" t="s">
        <v>827</v>
      </c>
      <c r="D327" t="s">
        <v>104</v>
      </c>
      <c r="F327">
        <v>6430817</v>
      </c>
      <c r="G327">
        <v>0</v>
      </c>
      <c r="H327">
        <v>2528196</v>
      </c>
      <c r="P327">
        <v>1101</v>
      </c>
      <c r="Q327" t="s">
        <v>828</v>
      </c>
    </row>
    <row r="328" spans="1:17" x14ac:dyDescent="0.3">
      <c r="A328" t="s">
        <v>17</v>
      </c>
      <c r="B328" t="str">
        <f>"600377"</f>
        <v>600377</v>
      </c>
      <c r="C328" t="s">
        <v>829</v>
      </c>
      <c r="D328" t="s">
        <v>44</v>
      </c>
      <c r="F328">
        <v>0</v>
      </c>
      <c r="G328">
        <v>0</v>
      </c>
      <c r="P328">
        <v>1722</v>
      </c>
      <c r="Q328" t="s">
        <v>830</v>
      </c>
    </row>
    <row r="329" spans="1:17" x14ac:dyDescent="0.3">
      <c r="A329" t="s">
        <v>17</v>
      </c>
      <c r="B329" t="str">
        <f>"600378"</f>
        <v>600378</v>
      </c>
      <c r="C329" t="s">
        <v>831</v>
      </c>
      <c r="D329" t="s">
        <v>375</v>
      </c>
      <c r="F329">
        <v>542715170</v>
      </c>
      <c r="G329">
        <v>423188088</v>
      </c>
      <c r="H329">
        <v>353247345</v>
      </c>
      <c r="I329">
        <v>310772306</v>
      </c>
      <c r="P329">
        <v>227</v>
      </c>
      <c r="Q329" t="s">
        <v>832</v>
      </c>
    </row>
    <row r="330" spans="1:17" x14ac:dyDescent="0.3">
      <c r="A330" t="s">
        <v>17</v>
      </c>
      <c r="B330" t="str">
        <f>"600379"</f>
        <v>600379</v>
      </c>
      <c r="C330" t="s">
        <v>833</v>
      </c>
      <c r="D330" t="s">
        <v>210</v>
      </c>
      <c r="F330">
        <v>34753618</v>
      </c>
      <c r="G330">
        <v>29120918</v>
      </c>
      <c r="H330">
        <v>35679765</v>
      </c>
      <c r="I330">
        <v>26599363</v>
      </c>
      <c r="P330">
        <v>83</v>
      </c>
      <c r="Q330" t="s">
        <v>834</v>
      </c>
    </row>
    <row r="331" spans="1:17" x14ac:dyDescent="0.3">
      <c r="A331" t="s">
        <v>17</v>
      </c>
      <c r="B331" t="str">
        <f>"600380"</f>
        <v>600380</v>
      </c>
      <c r="C331" t="s">
        <v>835</v>
      </c>
      <c r="D331" t="s">
        <v>143</v>
      </c>
      <c r="F331">
        <v>1397131273</v>
      </c>
      <c r="G331">
        <v>1071711982</v>
      </c>
      <c r="H331">
        <v>905590903</v>
      </c>
      <c r="I331">
        <v>708444120</v>
      </c>
      <c r="P331">
        <v>964</v>
      </c>
      <c r="Q331" t="s">
        <v>836</v>
      </c>
    </row>
    <row r="332" spans="1:17" x14ac:dyDescent="0.3">
      <c r="A332" t="s">
        <v>17</v>
      </c>
      <c r="B332" t="str">
        <f>"600381"</f>
        <v>600381</v>
      </c>
      <c r="C332" t="s">
        <v>837</v>
      </c>
      <c r="D332" t="s">
        <v>838</v>
      </c>
      <c r="F332">
        <v>9538459</v>
      </c>
      <c r="G332">
        <v>12298196</v>
      </c>
      <c r="H332">
        <v>4498473</v>
      </c>
      <c r="I332">
        <v>3036810</v>
      </c>
      <c r="P332">
        <v>131</v>
      </c>
      <c r="Q332" t="s">
        <v>839</v>
      </c>
    </row>
    <row r="333" spans="1:17" x14ac:dyDescent="0.3">
      <c r="A333" t="s">
        <v>17</v>
      </c>
      <c r="B333" t="str">
        <f>"600382"</f>
        <v>600382</v>
      </c>
      <c r="C333" t="s">
        <v>840</v>
      </c>
      <c r="D333" t="s">
        <v>110</v>
      </c>
      <c r="F333">
        <v>0</v>
      </c>
      <c r="G333">
        <v>0</v>
      </c>
      <c r="P333">
        <v>156</v>
      </c>
      <c r="Q333" t="s">
        <v>841</v>
      </c>
    </row>
    <row r="334" spans="1:17" x14ac:dyDescent="0.3">
      <c r="A334" t="s">
        <v>17</v>
      </c>
      <c r="B334" t="str">
        <f>"600383"</f>
        <v>600383</v>
      </c>
      <c r="C334" t="s">
        <v>842</v>
      </c>
      <c r="D334" t="s">
        <v>104</v>
      </c>
      <c r="F334">
        <v>150096511</v>
      </c>
      <c r="G334">
        <v>64130461</v>
      </c>
      <c r="H334">
        <v>61024941</v>
      </c>
      <c r="I334">
        <v>44035282</v>
      </c>
      <c r="P334">
        <v>2482</v>
      </c>
      <c r="Q334" t="s">
        <v>843</v>
      </c>
    </row>
    <row r="335" spans="1:17" x14ac:dyDescent="0.3">
      <c r="A335" t="s">
        <v>17</v>
      </c>
      <c r="B335" t="str">
        <f>"600385"</f>
        <v>600385</v>
      </c>
      <c r="C335" t="s">
        <v>844</v>
      </c>
      <c r="D335" t="s">
        <v>143</v>
      </c>
      <c r="F335">
        <v>1048606</v>
      </c>
      <c r="G335">
        <v>1049914</v>
      </c>
      <c r="H335">
        <v>992348</v>
      </c>
      <c r="P335">
        <v>51</v>
      </c>
      <c r="Q335" t="s">
        <v>845</v>
      </c>
    </row>
    <row r="336" spans="1:17" x14ac:dyDescent="0.3">
      <c r="A336" t="s">
        <v>17</v>
      </c>
      <c r="B336" t="str">
        <f>"600386"</f>
        <v>600386</v>
      </c>
      <c r="C336" t="s">
        <v>846</v>
      </c>
      <c r="D336" t="s">
        <v>672</v>
      </c>
      <c r="F336">
        <v>20710143</v>
      </c>
      <c r="G336">
        <v>14058193</v>
      </c>
      <c r="P336">
        <v>96</v>
      </c>
      <c r="Q336" t="s">
        <v>847</v>
      </c>
    </row>
    <row r="337" spans="1:17" x14ac:dyDescent="0.3">
      <c r="A337" t="s">
        <v>17</v>
      </c>
      <c r="B337" t="str">
        <f>"600387"</f>
        <v>600387</v>
      </c>
      <c r="C337" t="s">
        <v>848</v>
      </c>
      <c r="D337" t="s">
        <v>584</v>
      </c>
      <c r="F337">
        <v>0</v>
      </c>
      <c r="G337">
        <v>0</v>
      </c>
      <c r="H337">
        <v>94593267</v>
      </c>
      <c r="I337">
        <v>209595591</v>
      </c>
      <c r="P337">
        <v>116</v>
      </c>
      <c r="Q337" t="s">
        <v>849</v>
      </c>
    </row>
    <row r="338" spans="1:17" x14ac:dyDescent="0.3">
      <c r="A338" t="s">
        <v>17</v>
      </c>
      <c r="B338" t="str">
        <f>"600388"</f>
        <v>600388</v>
      </c>
      <c r="C338" t="s">
        <v>850</v>
      </c>
      <c r="D338" t="s">
        <v>663</v>
      </c>
      <c r="F338">
        <v>494297173</v>
      </c>
      <c r="G338">
        <v>482171368</v>
      </c>
      <c r="H338">
        <v>462091350</v>
      </c>
      <c r="I338">
        <v>436290842</v>
      </c>
      <c r="P338">
        <v>815</v>
      </c>
      <c r="Q338" t="s">
        <v>851</v>
      </c>
    </row>
    <row r="339" spans="1:17" x14ac:dyDescent="0.3">
      <c r="A339" t="s">
        <v>17</v>
      </c>
      <c r="B339" t="str">
        <f>"600389"</f>
        <v>600389</v>
      </c>
      <c r="C339" t="s">
        <v>852</v>
      </c>
      <c r="D339" t="s">
        <v>853</v>
      </c>
      <c r="F339">
        <v>237295761</v>
      </c>
      <c r="G339">
        <v>169384130</v>
      </c>
      <c r="H339">
        <v>181807487</v>
      </c>
      <c r="I339">
        <v>104895367</v>
      </c>
      <c r="P339">
        <v>426</v>
      </c>
      <c r="Q339" t="s">
        <v>854</v>
      </c>
    </row>
    <row r="340" spans="1:17" x14ac:dyDescent="0.3">
      <c r="A340" t="s">
        <v>17</v>
      </c>
      <c r="B340" t="str">
        <f>"600390"</f>
        <v>600390</v>
      </c>
      <c r="C340" t="s">
        <v>855</v>
      </c>
      <c r="D340" t="s">
        <v>140</v>
      </c>
      <c r="F340">
        <v>28599384</v>
      </c>
      <c r="G340">
        <v>1471306</v>
      </c>
      <c r="H340">
        <v>3863768</v>
      </c>
      <c r="P340">
        <v>300</v>
      </c>
      <c r="Q340" t="s">
        <v>856</v>
      </c>
    </row>
    <row r="341" spans="1:17" x14ac:dyDescent="0.3">
      <c r="A341" t="s">
        <v>17</v>
      </c>
      <c r="B341" t="str">
        <f>"600391"</f>
        <v>600391</v>
      </c>
      <c r="C341" t="s">
        <v>857</v>
      </c>
      <c r="D341" t="s">
        <v>98</v>
      </c>
      <c r="F341">
        <v>67184058</v>
      </c>
      <c r="G341">
        <v>65522279</v>
      </c>
      <c r="H341">
        <v>73679295</v>
      </c>
      <c r="I341">
        <v>84874949</v>
      </c>
      <c r="P341">
        <v>233</v>
      </c>
      <c r="Q341" t="s">
        <v>858</v>
      </c>
    </row>
    <row r="342" spans="1:17" x14ac:dyDescent="0.3">
      <c r="A342" t="s">
        <v>17</v>
      </c>
      <c r="B342" t="str">
        <f>"600392"</f>
        <v>600392</v>
      </c>
      <c r="C342" t="s">
        <v>859</v>
      </c>
      <c r="D342" t="s">
        <v>266</v>
      </c>
      <c r="F342">
        <v>378278311</v>
      </c>
      <c r="G342">
        <v>258302600</v>
      </c>
      <c r="H342">
        <v>212281109</v>
      </c>
      <c r="I342">
        <v>130347276</v>
      </c>
      <c r="P342">
        <v>439</v>
      </c>
      <c r="Q342" t="s">
        <v>860</v>
      </c>
    </row>
    <row r="343" spans="1:17" x14ac:dyDescent="0.3">
      <c r="A343" t="s">
        <v>17</v>
      </c>
      <c r="B343" t="str">
        <f>"600393"</f>
        <v>600393</v>
      </c>
      <c r="C343" t="s">
        <v>861</v>
      </c>
      <c r="D343" t="s">
        <v>104</v>
      </c>
      <c r="F343">
        <v>0</v>
      </c>
      <c r="G343">
        <v>0</v>
      </c>
      <c r="P343">
        <v>131</v>
      </c>
      <c r="Q343" t="s">
        <v>862</v>
      </c>
    </row>
    <row r="344" spans="1:17" x14ac:dyDescent="0.3">
      <c r="A344" t="s">
        <v>17</v>
      </c>
      <c r="B344" t="str">
        <f>"600395"</f>
        <v>600395</v>
      </c>
      <c r="C344" t="s">
        <v>863</v>
      </c>
      <c r="D344" t="s">
        <v>298</v>
      </c>
      <c r="F344">
        <v>121663577</v>
      </c>
      <c r="G344">
        <v>159321708</v>
      </c>
      <c r="H344">
        <v>150755699</v>
      </c>
      <c r="I344">
        <v>39416768</v>
      </c>
      <c r="P344">
        <v>517</v>
      </c>
      <c r="Q344" t="s">
        <v>864</v>
      </c>
    </row>
    <row r="345" spans="1:17" x14ac:dyDescent="0.3">
      <c r="A345" t="s">
        <v>17</v>
      </c>
      <c r="B345" t="str">
        <f>"600396"</f>
        <v>600396</v>
      </c>
      <c r="C345" t="s">
        <v>865</v>
      </c>
      <c r="D345" t="s">
        <v>41</v>
      </c>
      <c r="F345">
        <v>0</v>
      </c>
      <c r="G345">
        <v>0</v>
      </c>
      <c r="P345">
        <v>107</v>
      </c>
      <c r="Q345" t="s">
        <v>866</v>
      </c>
    </row>
    <row r="346" spans="1:17" x14ac:dyDescent="0.3">
      <c r="A346" t="s">
        <v>17</v>
      </c>
      <c r="B346" t="str">
        <f>"600397"</f>
        <v>600397</v>
      </c>
      <c r="C346" t="s">
        <v>867</v>
      </c>
      <c r="D346" t="s">
        <v>292</v>
      </c>
      <c r="F346">
        <v>26292746</v>
      </c>
      <c r="G346">
        <v>2799547</v>
      </c>
      <c r="H346">
        <v>8135223</v>
      </c>
      <c r="I346">
        <v>7520205</v>
      </c>
      <c r="P346">
        <v>91</v>
      </c>
      <c r="Q346" t="s">
        <v>868</v>
      </c>
    </row>
    <row r="347" spans="1:17" x14ac:dyDescent="0.3">
      <c r="A347" t="s">
        <v>17</v>
      </c>
      <c r="B347" t="str">
        <f>"600398"</f>
        <v>600398</v>
      </c>
      <c r="C347" t="s">
        <v>869</v>
      </c>
      <c r="D347" t="s">
        <v>255</v>
      </c>
      <c r="F347">
        <v>124383251</v>
      </c>
      <c r="G347">
        <v>83363748</v>
      </c>
      <c r="H347">
        <v>67742313</v>
      </c>
      <c r="I347">
        <v>49018337</v>
      </c>
      <c r="P347">
        <v>2676</v>
      </c>
      <c r="Q347" t="s">
        <v>870</v>
      </c>
    </row>
    <row r="348" spans="1:17" x14ac:dyDescent="0.3">
      <c r="A348" t="s">
        <v>17</v>
      </c>
      <c r="B348" t="str">
        <f>"600399"</f>
        <v>600399</v>
      </c>
      <c r="C348" t="s">
        <v>871</v>
      </c>
      <c r="D348" t="s">
        <v>281</v>
      </c>
      <c r="F348">
        <v>308872469</v>
      </c>
      <c r="G348">
        <v>406795958</v>
      </c>
      <c r="H348">
        <v>301936138</v>
      </c>
      <c r="I348">
        <v>287603227</v>
      </c>
      <c r="P348">
        <v>256</v>
      </c>
      <c r="Q348" t="s">
        <v>872</v>
      </c>
    </row>
    <row r="349" spans="1:17" x14ac:dyDescent="0.3">
      <c r="A349" t="s">
        <v>17</v>
      </c>
      <c r="B349" t="str">
        <f>"600400"</f>
        <v>600400</v>
      </c>
      <c r="C349" t="s">
        <v>873</v>
      </c>
      <c r="D349" t="s">
        <v>255</v>
      </c>
      <c r="F349">
        <v>12977449</v>
      </c>
      <c r="G349">
        <v>7738812</v>
      </c>
      <c r="H349">
        <v>10086095</v>
      </c>
      <c r="I349">
        <v>9074743</v>
      </c>
      <c r="P349">
        <v>165</v>
      </c>
      <c r="Q349" t="s">
        <v>874</v>
      </c>
    </row>
    <row r="350" spans="1:17" x14ac:dyDescent="0.3">
      <c r="A350" t="s">
        <v>17</v>
      </c>
      <c r="B350" t="str">
        <f>"600401"</f>
        <v>600401</v>
      </c>
      <c r="C350" t="s">
        <v>875</v>
      </c>
      <c r="I350">
        <v>28168338</v>
      </c>
      <c r="P350">
        <v>22</v>
      </c>
      <c r="Q350" t="s">
        <v>876</v>
      </c>
    </row>
    <row r="351" spans="1:17" x14ac:dyDescent="0.3">
      <c r="A351" t="s">
        <v>17</v>
      </c>
      <c r="B351" t="str">
        <f>"600403"</f>
        <v>600403</v>
      </c>
      <c r="C351" t="s">
        <v>877</v>
      </c>
      <c r="D351" t="s">
        <v>292</v>
      </c>
      <c r="F351">
        <v>205249130</v>
      </c>
      <c r="G351">
        <v>135095030</v>
      </c>
      <c r="H351">
        <v>147465417</v>
      </c>
      <c r="I351">
        <v>148163126</v>
      </c>
      <c r="P351">
        <v>221</v>
      </c>
      <c r="Q351" t="s">
        <v>878</v>
      </c>
    </row>
    <row r="352" spans="1:17" x14ac:dyDescent="0.3">
      <c r="A352" t="s">
        <v>17</v>
      </c>
      <c r="B352" t="str">
        <f>"600405"</f>
        <v>600405</v>
      </c>
      <c r="C352" t="s">
        <v>879</v>
      </c>
      <c r="D352" t="s">
        <v>880</v>
      </c>
      <c r="F352">
        <v>104414646</v>
      </c>
      <c r="G352">
        <v>81013104</v>
      </c>
      <c r="H352">
        <v>76127814</v>
      </c>
      <c r="I352">
        <v>72359373</v>
      </c>
      <c r="P352">
        <v>255</v>
      </c>
      <c r="Q352" t="s">
        <v>881</v>
      </c>
    </row>
    <row r="353" spans="1:17" x14ac:dyDescent="0.3">
      <c r="A353" t="s">
        <v>17</v>
      </c>
      <c r="B353" t="str">
        <f>"600406"</f>
        <v>600406</v>
      </c>
      <c r="C353" t="s">
        <v>882</v>
      </c>
      <c r="D353" t="s">
        <v>610</v>
      </c>
      <c r="F353">
        <v>2153214128</v>
      </c>
      <c r="G353">
        <v>1856090325</v>
      </c>
      <c r="H353">
        <v>1768370021</v>
      </c>
      <c r="I353">
        <v>1542057204</v>
      </c>
      <c r="P353">
        <v>2124</v>
      </c>
      <c r="Q353" t="s">
        <v>883</v>
      </c>
    </row>
    <row r="354" spans="1:17" x14ac:dyDescent="0.3">
      <c r="A354" t="s">
        <v>17</v>
      </c>
      <c r="B354" t="str">
        <f>"600408"</f>
        <v>600408</v>
      </c>
      <c r="C354" t="s">
        <v>884</v>
      </c>
      <c r="D354" t="s">
        <v>885</v>
      </c>
      <c r="F354">
        <v>111195558</v>
      </c>
      <c r="G354">
        <v>86778946</v>
      </c>
      <c r="H354">
        <v>50353882</v>
      </c>
      <c r="I354">
        <v>62608016</v>
      </c>
      <c r="P354">
        <v>93</v>
      </c>
      <c r="Q354" t="s">
        <v>886</v>
      </c>
    </row>
    <row r="355" spans="1:17" x14ac:dyDescent="0.3">
      <c r="A355" t="s">
        <v>17</v>
      </c>
      <c r="B355" t="str">
        <f>"600409"</f>
        <v>600409</v>
      </c>
      <c r="C355" t="s">
        <v>887</v>
      </c>
      <c r="D355" t="s">
        <v>888</v>
      </c>
      <c r="F355">
        <v>221355508</v>
      </c>
      <c r="G355">
        <v>192852472</v>
      </c>
      <c r="H355">
        <v>54468962</v>
      </c>
      <c r="I355">
        <v>48148172</v>
      </c>
      <c r="P355">
        <v>733</v>
      </c>
      <c r="Q355" t="s">
        <v>889</v>
      </c>
    </row>
    <row r="356" spans="1:17" x14ac:dyDescent="0.3">
      <c r="A356" t="s">
        <v>17</v>
      </c>
      <c r="B356" t="str">
        <f>"600410"</f>
        <v>600410</v>
      </c>
      <c r="C356" t="s">
        <v>890</v>
      </c>
      <c r="D356" t="s">
        <v>316</v>
      </c>
      <c r="F356">
        <v>143283008</v>
      </c>
      <c r="G356">
        <v>123888640</v>
      </c>
      <c r="H356">
        <v>113109177</v>
      </c>
      <c r="I356">
        <v>112983581</v>
      </c>
      <c r="P356">
        <v>514</v>
      </c>
      <c r="Q356" t="s">
        <v>891</v>
      </c>
    </row>
    <row r="357" spans="1:17" x14ac:dyDescent="0.3">
      <c r="A357" t="s">
        <v>17</v>
      </c>
      <c r="B357" t="str">
        <f>"600415"</f>
        <v>600415</v>
      </c>
      <c r="C357" t="s">
        <v>892</v>
      </c>
      <c r="D357" t="s">
        <v>271</v>
      </c>
      <c r="F357">
        <v>10308802</v>
      </c>
      <c r="G357">
        <v>18507627</v>
      </c>
      <c r="H357">
        <v>18268182</v>
      </c>
      <c r="I357">
        <v>23805228</v>
      </c>
      <c r="P357">
        <v>327</v>
      </c>
      <c r="Q357" t="s">
        <v>893</v>
      </c>
    </row>
    <row r="358" spans="1:17" x14ac:dyDescent="0.3">
      <c r="A358" t="s">
        <v>17</v>
      </c>
      <c r="B358" t="str">
        <f>"600416"</f>
        <v>600416</v>
      </c>
      <c r="C358" t="s">
        <v>894</v>
      </c>
      <c r="D358" t="s">
        <v>895</v>
      </c>
      <c r="F358">
        <v>162040137</v>
      </c>
      <c r="G358">
        <v>174291526</v>
      </c>
      <c r="H358">
        <v>161861372</v>
      </c>
      <c r="I358">
        <v>168865379</v>
      </c>
      <c r="P358">
        <v>149</v>
      </c>
      <c r="Q358" t="s">
        <v>896</v>
      </c>
    </row>
    <row r="359" spans="1:17" x14ac:dyDescent="0.3">
      <c r="A359" t="s">
        <v>17</v>
      </c>
      <c r="B359" t="str">
        <f>"600418"</f>
        <v>600418</v>
      </c>
      <c r="C359" t="s">
        <v>897</v>
      </c>
      <c r="D359" t="s">
        <v>27</v>
      </c>
      <c r="F359">
        <v>1374109971</v>
      </c>
      <c r="G359">
        <v>1676691229</v>
      </c>
      <c r="H359">
        <v>1183105814</v>
      </c>
      <c r="I359">
        <v>1440532662</v>
      </c>
      <c r="P359">
        <v>429</v>
      </c>
      <c r="Q359" t="s">
        <v>898</v>
      </c>
    </row>
    <row r="360" spans="1:17" x14ac:dyDescent="0.3">
      <c r="A360" t="s">
        <v>17</v>
      </c>
      <c r="B360" t="str">
        <f>"600419"</f>
        <v>600419</v>
      </c>
      <c r="C360" t="s">
        <v>899</v>
      </c>
      <c r="D360" t="s">
        <v>900</v>
      </c>
      <c r="F360">
        <v>6498985</v>
      </c>
      <c r="G360">
        <v>5223872</v>
      </c>
      <c r="H360">
        <v>3182198</v>
      </c>
      <c r="I360">
        <v>3910546</v>
      </c>
      <c r="P360">
        <v>626</v>
      </c>
      <c r="Q360" t="s">
        <v>901</v>
      </c>
    </row>
    <row r="361" spans="1:17" x14ac:dyDescent="0.3">
      <c r="A361" t="s">
        <v>17</v>
      </c>
      <c r="B361" t="str">
        <f>"600420"</f>
        <v>600420</v>
      </c>
      <c r="C361" t="s">
        <v>902</v>
      </c>
      <c r="D361" t="s">
        <v>143</v>
      </c>
      <c r="F361">
        <v>589184571</v>
      </c>
      <c r="G361">
        <v>498928214</v>
      </c>
      <c r="H361">
        <v>417166077</v>
      </c>
      <c r="I361">
        <v>373643555</v>
      </c>
      <c r="P361">
        <v>381</v>
      </c>
      <c r="Q361" t="s">
        <v>903</v>
      </c>
    </row>
    <row r="362" spans="1:17" x14ac:dyDescent="0.3">
      <c r="A362" t="s">
        <v>17</v>
      </c>
      <c r="B362" t="str">
        <f>"600421"</f>
        <v>600421</v>
      </c>
      <c r="C362" t="s">
        <v>904</v>
      </c>
      <c r="D362" t="s">
        <v>274</v>
      </c>
      <c r="F362">
        <v>5976361</v>
      </c>
      <c r="G362">
        <v>6783873</v>
      </c>
      <c r="H362">
        <v>1021817</v>
      </c>
      <c r="P362">
        <v>44</v>
      </c>
      <c r="Q362" t="s">
        <v>905</v>
      </c>
    </row>
    <row r="363" spans="1:17" x14ac:dyDescent="0.3">
      <c r="A363" t="s">
        <v>17</v>
      </c>
      <c r="B363" t="str">
        <f>"600422"</f>
        <v>600422</v>
      </c>
      <c r="C363" t="s">
        <v>906</v>
      </c>
      <c r="D363" t="s">
        <v>188</v>
      </c>
      <c r="F363">
        <v>100517303</v>
      </c>
      <c r="G363">
        <v>128448695</v>
      </c>
      <c r="H363">
        <v>83512312</v>
      </c>
      <c r="I363">
        <v>77114274</v>
      </c>
      <c r="P363">
        <v>452</v>
      </c>
      <c r="Q363" t="s">
        <v>907</v>
      </c>
    </row>
    <row r="364" spans="1:17" x14ac:dyDescent="0.3">
      <c r="A364" t="s">
        <v>17</v>
      </c>
      <c r="B364" t="str">
        <f>"600423"</f>
        <v>600423</v>
      </c>
      <c r="C364" t="s">
        <v>908</v>
      </c>
      <c r="D364" t="s">
        <v>909</v>
      </c>
      <c r="F364">
        <v>0</v>
      </c>
      <c r="G364">
        <v>0</v>
      </c>
      <c r="H364">
        <v>2018657</v>
      </c>
      <c r="I364">
        <v>4628784</v>
      </c>
      <c r="P364">
        <v>74</v>
      </c>
      <c r="Q364" t="s">
        <v>910</v>
      </c>
    </row>
    <row r="365" spans="1:17" x14ac:dyDescent="0.3">
      <c r="A365" t="s">
        <v>17</v>
      </c>
      <c r="B365" t="str">
        <f>"600425"</f>
        <v>600425</v>
      </c>
      <c r="C365" t="s">
        <v>911</v>
      </c>
      <c r="D365" t="s">
        <v>731</v>
      </c>
      <c r="F365">
        <v>0</v>
      </c>
      <c r="G365">
        <v>0</v>
      </c>
      <c r="I365">
        <v>764245</v>
      </c>
      <c r="P365">
        <v>169</v>
      </c>
      <c r="Q365" t="s">
        <v>912</v>
      </c>
    </row>
    <row r="366" spans="1:17" x14ac:dyDescent="0.3">
      <c r="A366" t="s">
        <v>17</v>
      </c>
      <c r="B366" t="str">
        <f>"600426"</f>
        <v>600426</v>
      </c>
      <c r="C366" t="s">
        <v>913</v>
      </c>
      <c r="D366" t="s">
        <v>914</v>
      </c>
      <c r="F366">
        <v>368438429</v>
      </c>
      <c r="G366">
        <v>284025790</v>
      </c>
      <c r="H366">
        <v>331530808</v>
      </c>
      <c r="I366">
        <v>68178592</v>
      </c>
      <c r="P366">
        <v>1013</v>
      </c>
      <c r="Q366" t="s">
        <v>915</v>
      </c>
    </row>
    <row r="367" spans="1:17" x14ac:dyDescent="0.3">
      <c r="A367" t="s">
        <v>17</v>
      </c>
      <c r="B367" t="str">
        <f>"600428"</f>
        <v>600428</v>
      </c>
      <c r="C367" t="s">
        <v>916</v>
      </c>
      <c r="D367" t="s">
        <v>69</v>
      </c>
      <c r="F367">
        <v>38850874</v>
      </c>
      <c r="G367">
        <v>22435557</v>
      </c>
      <c r="H367">
        <v>5305998</v>
      </c>
      <c r="I367">
        <v>746792</v>
      </c>
      <c r="P367">
        <v>197</v>
      </c>
      <c r="Q367" t="s">
        <v>917</v>
      </c>
    </row>
    <row r="368" spans="1:17" x14ac:dyDescent="0.3">
      <c r="A368" t="s">
        <v>17</v>
      </c>
      <c r="B368" t="str">
        <f>"600429"</f>
        <v>600429</v>
      </c>
      <c r="C368" t="s">
        <v>918</v>
      </c>
      <c r="D368" t="s">
        <v>900</v>
      </c>
      <c r="F368">
        <v>117654695</v>
      </c>
      <c r="G368">
        <v>35327399</v>
      </c>
      <c r="H368">
        <v>20355603</v>
      </c>
      <c r="I368">
        <v>28731854</v>
      </c>
      <c r="P368">
        <v>494</v>
      </c>
      <c r="Q368" t="s">
        <v>919</v>
      </c>
    </row>
    <row r="369" spans="1:17" x14ac:dyDescent="0.3">
      <c r="A369" t="s">
        <v>17</v>
      </c>
      <c r="B369" t="str">
        <f>"600432"</f>
        <v>600432</v>
      </c>
      <c r="C369" t="s">
        <v>920</v>
      </c>
      <c r="P369">
        <v>14</v>
      </c>
      <c r="Q369" t="s">
        <v>921</v>
      </c>
    </row>
    <row r="370" spans="1:17" x14ac:dyDescent="0.3">
      <c r="A370" t="s">
        <v>17</v>
      </c>
      <c r="B370" t="str">
        <f>"600433"</f>
        <v>600433</v>
      </c>
      <c r="C370" t="s">
        <v>922</v>
      </c>
      <c r="D370" t="s">
        <v>244</v>
      </c>
      <c r="F370">
        <v>341348747</v>
      </c>
      <c r="G370">
        <v>92712560</v>
      </c>
      <c r="H370">
        <v>157017915</v>
      </c>
      <c r="I370">
        <v>89291743</v>
      </c>
      <c r="P370">
        <v>105</v>
      </c>
      <c r="Q370" t="s">
        <v>923</v>
      </c>
    </row>
    <row r="371" spans="1:17" x14ac:dyDescent="0.3">
      <c r="A371" t="s">
        <v>17</v>
      </c>
      <c r="B371" t="str">
        <f>"600435"</f>
        <v>600435</v>
      </c>
      <c r="C371" t="s">
        <v>924</v>
      </c>
      <c r="D371" t="s">
        <v>428</v>
      </c>
      <c r="F371">
        <v>198263317</v>
      </c>
      <c r="G371">
        <v>163386460</v>
      </c>
      <c r="H371">
        <v>109807140</v>
      </c>
      <c r="I371">
        <v>112747391</v>
      </c>
      <c r="P371">
        <v>230</v>
      </c>
      <c r="Q371" t="s">
        <v>925</v>
      </c>
    </row>
    <row r="372" spans="1:17" x14ac:dyDescent="0.3">
      <c r="A372" t="s">
        <v>17</v>
      </c>
      <c r="B372" t="str">
        <f>"600436"</f>
        <v>600436</v>
      </c>
      <c r="C372" t="s">
        <v>926</v>
      </c>
      <c r="D372" t="s">
        <v>188</v>
      </c>
      <c r="F372">
        <v>199510670</v>
      </c>
      <c r="G372">
        <v>97551621</v>
      </c>
      <c r="H372">
        <v>119432087</v>
      </c>
      <c r="I372">
        <v>100814213</v>
      </c>
      <c r="J372">
        <v>69904343</v>
      </c>
      <c r="P372">
        <v>64359</v>
      </c>
      <c r="Q372" t="s">
        <v>927</v>
      </c>
    </row>
    <row r="373" spans="1:17" x14ac:dyDescent="0.3">
      <c r="A373" t="s">
        <v>17</v>
      </c>
      <c r="B373" t="str">
        <f>"600438"</f>
        <v>600438</v>
      </c>
      <c r="C373" t="s">
        <v>928</v>
      </c>
      <c r="D373" t="s">
        <v>929</v>
      </c>
      <c r="F373">
        <v>2035847045</v>
      </c>
      <c r="G373">
        <v>1035331435</v>
      </c>
      <c r="H373">
        <v>1000694594</v>
      </c>
      <c r="I373">
        <v>597628501</v>
      </c>
      <c r="P373">
        <v>2549</v>
      </c>
      <c r="Q373" t="s">
        <v>930</v>
      </c>
    </row>
    <row r="374" spans="1:17" x14ac:dyDescent="0.3">
      <c r="A374" t="s">
        <v>17</v>
      </c>
      <c r="B374" t="str">
        <f>"600439"</f>
        <v>600439</v>
      </c>
      <c r="C374" t="s">
        <v>931</v>
      </c>
      <c r="D374" t="s">
        <v>932</v>
      </c>
      <c r="F374">
        <v>43620471</v>
      </c>
      <c r="G374">
        <v>41060007</v>
      </c>
      <c r="H374">
        <v>38928837</v>
      </c>
      <c r="I374">
        <v>40369725</v>
      </c>
      <c r="P374">
        <v>186</v>
      </c>
      <c r="Q374" t="s">
        <v>933</v>
      </c>
    </row>
    <row r="375" spans="1:17" x14ac:dyDescent="0.3">
      <c r="A375" t="s">
        <v>17</v>
      </c>
      <c r="B375" t="str">
        <f>"600444"</f>
        <v>600444</v>
      </c>
      <c r="C375" t="s">
        <v>934</v>
      </c>
      <c r="D375" t="s">
        <v>741</v>
      </c>
      <c r="F375">
        <v>43413798</v>
      </c>
      <c r="G375">
        <v>47101776</v>
      </c>
      <c r="H375">
        <v>35476145</v>
      </c>
      <c r="I375">
        <v>38346401</v>
      </c>
      <c r="P375">
        <v>69</v>
      </c>
      <c r="Q375" t="s">
        <v>935</v>
      </c>
    </row>
    <row r="376" spans="1:17" x14ac:dyDescent="0.3">
      <c r="A376" t="s">
        <v>17</v>
      </c>
      <c r="B376" t="str">
        <f>"600446"</f>
        <v>600446</v>
      </c>
      <c r="C376" t="s">
        <v>936</v>
      </c>
      <c r="D376" t="s">
        <v>316</v>
      </c>
      <c r="F376">
        <v>592509249</v>
      </c>
      <c r="G376">
        <v>598808842</v>
      </c>
      <c r="H376">
        <v>677067757</v>
      </c>
      <c r="I376">
        <v>621007329</v>
      </c>
      <c r="P376">
        <v>334</v>
      </c>
      <c r="Q376" t="s">
        <v>937</v>
      </c>
    </row>
    <row r="377" spans="1:17" x14ac:dyDescent="0.3">
      <c r="A377" t="s">
        <v>17</v>
      </c>
      <c r="B377" t="str">
        <f>"600448"</f>
        <v>600448</v>
      </c>
      <c r="C377" t="s">
        <v>938</v>
      </c>
      <c r="D377" t="s">
        <v>817</v>
      </c>
      <c r="F377">
        <v>169118955</v>
      </c>
      <c r="G377">
        <v>147776276</v>
      </c>
      <c r="H377">
        <v>143016654</v>
      </c>
      <c r="P377">
        <v>97</v>
      </c>
      <c r="Q377" t="s">
        <v>939</v>
      </c>
    </row>
    <row r="378" spans="1:17" x14ac:dyDescent="0.3">
      <c r="A378" t="s">
        <v>17</v>
      </c>
      <c r="B378" t="str">
        <f>"600449"</f>
        <v>600449</v>
      </c>
      <c r="C378" t="s">
        <v>940</v>
      </c>
      <c r="D378" t="s">
        <v>731</v>
      </c>
      <c r="F378">
        <v>17961587</v>
      </c>
      <c r="G378">
        <v>4669978</v>
      </c>
      <c r="H378">
        <v>2670409</v>
      </c>
      <c r="I378">
        <v>3147587</v>
      </c>
      <c r="P378">
        <v>558</v>
      </c>
      <c r="Q378" t="s">
        <v>941</v>
      </c>
    </row>
    <row r="379" spans="1:17" x14ac:dyDescent="0.3">
      <c r="A379" t="s">
        <v>17</v>
      </c>
      <c r="B379" t="str">
        <f>"600452"</f>
        <v>600452</v>
      </c>
      <c r="C379" t="s">
        <v>942</v>
      </c>
      <c r="D379" t="s">
        <v>239</v>
      </c>
      <c r="F379">
        <v>0</v>
      </c>
      <c r="G379">
        <v>0</v>
      </c>
      <c r="P379">
        <v>4513</v>
      </c>
      <c r="Q379" t="s">
        <v>943</v>
      </c>
    </row>
    <row r="380" spans="1:17" x14ac:dyDescent="0.3">
      <c r="A380" t="s">
        <v>17</v>
      </c>
      <c r="B380" t="str">
        <f>"600455"</f>
        <v>600455</v>
      </c>
      <c r="C380" t="s">
        <v>944</v>
      </c>
      <c r="D380" t="s">
        <v>945</v>
      </c>
      <c r="F380">
        <v>0</v>
      </c>
      <c r="G380">
        <v>0</v>
      </c>
      <c r="H380">
        <v>1399307</v>
      </c>
      <c r="I380">
        <v>4056498</v>
      </c>
      <c r="P380">
        <v>103</v>
      </c>
      <c r="Q380" t="s">
        <v>946</v>
      </c>
    </row>
    <row r="381" spans="1:17" x14ac:dyDescent="0.3">
      <c r="A381" t="s">
        <v>17</v>
      </c>
      <c r="B381" t="str">
        <f>"600456"</f>
        <v>600456</v>
      </c>
      <c r="C381" t="s">
        <v>947</v>
      </c>
      <c r="D381" t="s">
        <v>636</v>
      </c>
      <c r="F381">
        <v>163091309</v>
      </c>
      <c r="G381">
        <v>161487483</v>
      </c>
      <c r="H381">
        <v>92970610</v>
      </c>
      <c r="I381">
        <v>100689719</v>
      </c>
      <c r="P381">
        <v>330</v>
      </c>
      <c r="Q381" t="s">
        <v>948</v>
      </c>
    </row>
    <row r="382" spans="1:17" x14ac:dyDescent="0.3">
      <c r="A382" t="s">
        <v>17</v>
      </c>
      <c r="B382" t="str">
        <f>"600458"</f>
        <v>600458</v>
      </c>
      <c r="C382" t="s">
        <v>949</v>
      </c>
      <c r="D382" t="s">
        <v>950</v>
      </c>
      <c r="F382">
        <v>622104101</v>
      </c>
      <c r="G382">
        <v>690503979</v>
      </c>
      <c r="H382">
        <v>647245960</v>
      </c>
      <c r="I382">
        <v>634469082</v>
      </c>
      <c r="P382">
        <v>244</v>
      </c>
      <c r="Q382" t="s">
        <v>951</v>
      </c>
    </row>
    <row r="383" spans="1:17" x14ac:dyDescent="0.3">
      <c r="A383" t="s">
        <v>17</v>
      </c>
      <c r="B383" t="str">
        <f>"600459"</f>
        <v>600459</v>
      </c>
      <c r="C383" t="s">
        <v>952</v>
      </c>
      <c r="D383" t="s">
        <v>636</v>
      </c>
      <c r="F383">
        <v>230694276</v>
      </c>
      <c r="G383">
        <v>182825756</v>
      </c>
      <c r="H383">
        <v>155238839</v>
      </c>
      <c r="I383">
        <v>84606493</v>
      </c>
      <c r="P383">
        <v>308</v>
      </c>
      <c r="Q383" t="s">
        <v>953</v>
      </c>
    </row>
    <row r="384" spans="1:17" x14ac:dyDescent="0.3">
      <c r="A384" t="s">
        <v>17</v>
      </c>
      <c r="B384" t="str">
        <f>"600460"</f>
        <v>600460</v>
      </c>
      <c r="C384" t="s">
        <v>954</v>
      </c>
      <c r="D384" t="s">
        <v>795</v>
      </c>
      <c r="F384">
        <v>586888916</v>
      </c>
      <c r="G384">
        <v>428766408</v>
      </c>
      <c r="H384">
        <v>334378633</v>
      </c>
      <c r="I384">
        <v>314083152</v>
      </c>
      <c r="P384">
        <v>1167</v>
      </c>
      <c r="Q384" t="s">
        <v>955</v>
      </c>
    </row>
    <row r="385" spans="1:17" x14ac:dyDescent="0.3">
      <c r="A385" t="s">
        <v>17</v>
      </c>
      <c r="B385" t="str">
        <f>"600461"</f>
        <v>600461</v>
      </c>
      <c r="C385" t="s">
        <v>956</v>
      </c>
      <c r="D385" t="s">
        <v>33</v>
      </c>
      <c r="F385">
        <v>92138395</v>
      </c>
      <c r="G385">
        <v>67993266</v>
      </c>
      <c r="H385">
        <v>61159455</v>
      </c>
      <c r="I385">
        <v>28651173</v>
      </c>
      <c r="P385">
        <v>366</v>
      </c>
      <c r="Q385" t="s">
        <v>957</v>
      </c>
    </row>
    <row r="386" spans="1:17" x14ac:dyDescent="0.3">
      <c r="A386" t="s">
        <v>17</v>
      </c>
      <c r="B386" t="str">
        <f>"600462"</f>
        <v>600462</v>
      </c>
      <c r="C386" t="s">
        <v>958</v>
      </c>
      <c r="D386" t="s">
        <v>786</v>
      </c>
      <c r="F386">
        <v>0</v>
      </c>
      <c r="G386">
        <v>0</v>
      </c>
      <c r="H386">
        <v>1902467</v>
      </c>
      <c r="I386">
        <v>9747648</v>
      </c>
      <c r="P386">
        <v>51</v>
      </c>
      <c r="Q386" t="s">
        <v>959</v>
      </c>
    </row>
    <row r="387" spans="1:17" x14ac:dyDescent="0.3">
      <c r="A387" t="s">
        <v>17</v>
      </c>
      <c r="B387" t="str">
        <f>"600463"</f>
        <v>600463</v>
      </c>
      <c r="C387" t="s">
        <v>960</v>
      </c>
      <c r="D387" t="s">
        <v>194</v>
      </c>
      <c r="F387">
        <v>0</v>
      </c>
      <c r="G387">
        <v>0</v>
      </c>
      <c r="P387">
        <v>66</v>
      </c>
      <c r="Q387" t="s">
        <v>961</v>
      </c>
    </row>
    <row r="388" spans="1:17" x14ac:dyDescent="0.3">
      <c r="A388" t="s">
        <v>17</v>
      </c>
      <c r="B388" t="str">
        <f>"600466"</f>
        <v>600466</v>
      </c>
      <c r="C388" t="s">
        <v>962</v>
      </c>
      <c r="D388" t="s">
        <v>104</v>
      </c>
      <c r="F388">
        <v>23758198</v>
      </c>
      <c r="G388">
        <v>61360173</v>
      </c>
      <c r="H388">
        <v>71833239</v>
      </c>
      <c r="I388">
        <v>70150167</v>
      </c>
      <c r="P388">
        <v>844</v>
      </c>
      <c r="Q388" t="s">
        <v>963</v>
      </c>
    </row>
    <row r="389" spans="1:17" x14ac:dyDescent="0.3">
      <c r="A389" t="s">
        <v>17</v>
      </c>
      <c r="B389" t="str">
        <f>"600467"</f>
        <v>600467</v>
      </c>
      <c r="C389" t="s">
        <v>964</v>
      </c>
      <c r="D389" t="s">
        <v>587</v>
      </c>
      <c r="F389">
        <v>3158005</v>
      </c>
      <c r="G389">
        <v>4082886</v>
      </c>
      <c r="H389">
        <v>3429060</v>
      </c>
      <c r="I389">
        <v>1551054</v>
      </c>
      <c r="P389">
        <v>119</v>
      </c>
      <c r="Q389" t="s">
        <v>965</v>
      </c>
    </row>
    <row r="390" spans="1:17" x14ac:dyDescent="0.3">
      <c r="A390" t="s">
        <v>17</v>
      </c>
      <c r="B390" t="str">
        <f>"600468"</f>
        <v>600468</v>
      </c>
      <c r="C390" t="s">
        <v>966</v>
      </c>
      <c r="D390" t="s">
        <v>657</v>
      </c>
      <c r="F390">
        <v>103616844</v>
      </c>
      <c r="G390">
        <v>87588382</v>
      </c>
      <c r="H390">
        <v>69151744</v>
      </c>
      <c r="I390">
        <v>60967926</v>
      </c>
      <c r="P390">
        <v>89</v>
      </c>
      <c r="Q390" t="s">
        <v>967</v>
      </c>
    </row>
    <row r="391" spans="1:17" x14ac:dyDescent="0.3">
      <c r="A391" t="s">
        <v>17</v>
      </c>
      <c r="B391" t="str">
        <f>"600469"</f>
        <v>600469</v>
      </c>
      <c r="C391" t="s">
        <v>968</v>
      </c>
      <c r="D391" t="s">
        <v>422</v>
      </c>
      <c r="F391">
        <v>256167139</v>
      </c>
      <c r="G391">
        <v>268644384</v>
      </c>
      <c r="H391">
        <v>227404320</v>
      </c>
      <c r="I391">
        <v>292056168</v>
      </c>
      <c r="P391">
        <v>99</v>
      </c>
      <c r="Q391" t="s">
        <v>969</v>
      </c>
    </row>
    <row r="392" spans="1:17" x14ac:dyDescent="0.3">
      <c r="A392" t="s">
        <v>17</v>
      </c>
      <c r="B392" t="str">
        <f>"600470"</f>
        <v>600470</v>
      </c>
      <c r="C392" t="s">
        <v>970</v>
      </c>
      <c r="D392" t="s">
        <v>183</v>
      </c>
      <c r="F392">
        <v>162304944</v>
      </c>
      <c r="G392">
        <v>130858517</v>
      </c>
      <c r="H392">
        <v>117008394</v>
      </c>
      <c r="I392">
        <v>112992962</v>
      </c>
      <c r="P392">
        <v>91</v>
      </c>
      <c r="Q392" t="s">
        <v>971</v>
      </c>
    </row>
    <row r="393" spans="1:17" x14ac:dyDescent="0.3">
      <c r="A393" t="s">
        <v>17</v>
      </c>
      <c r="B393" t="str">
        <f>"600475"</f>
        <v>600475</v>
      </c>
      <c r="C393" t="s">
        <v>972</v>
      </c>
      <c r="D393" t="s">
        <v>973</v>
      </c>
      <c r="F393">
        <v>251767459</v>
      </c>
      <c r="G393">
        <v>187464418</v>
      </c>
      <c r="H393">
        <v>184301301</v>
      </c>
      <c r="I393">
        <v>156913553</v>
      </c>
      <c r="P393">
        <v>169</v>
      </c>
      <c r="Q393" t="s">
        <v>974</v>
      </c>
    </row>
    <row r="394" spans="1:17" x14ac:dyDescent="0.3">
      <c r="A394" t="s">
        <v>17</v>
      </c>
      <c r="B394" t="str">
        <f>"600476"</f>
        <v>600476</v>
      </c>
      <c r="C394" t="s">
        <v>975</v>
      </c>
      <c r="D394" t="s">
        <v>316</v>
      </c>
      <c r="F394">
        <v>8128839</v>
      </c>
      <c r="G394">
        <v>10823153</v>
      </c>
      <c r="H394">
        <v>8637496</v>
      </c>
      <c r="I394">
        <v>2820909</v>
      </c>
      <c r="P394">
        <v>85</v>
      </c>
      <c r="Q394" t="s">
        <v>976</v>
      </c>
    </row>
    <row r="395" spans="1:17" x14ac:dyDescent="0.3">
      <c r="A395" t="s">
        <v>17</v>
      </c>
      <c r="B395" t="str">
        <f>"600477"</f>
        <v>600477</v>
      </c>
      <c r="C395" t="s">
        <v>977</v>
      </c>
      <c r="D395" t="s">
        <v>978</v>
      </c>
      <c r="F395">
        <v>383407312</v>
      </c>
      <c r="G395">
        <v>315362710</v>
      </c>
      <c r="H395">
        <v>252394354</v>
      </c>
      <c r="I395">
        <v>193728984</v>
      </c>
      <c r="P395">
        <v>347</v>
      </c>
      <c r="Q395" t="s">
        <v>979</v>
      </c>
    </row>
    <row r="396" spans="1:17" x14ac:dyDescent="0.3">
      <c r="A396" t="s">
        <v>17</v>
      </c>
      <c r="B396" t="str">
        <f>"600478"</f>
        <v>600478</v>
      </c>
      <c r="C396" t="s">
        <v>980</v>
      </c>
      <c r="D396" t="s">
        <v>359</v>
      </c>
      <c r="F396">
        <v>65820941</v>
      </c>
      <c r="G396">
        <v>77040372</v>
      </c>
      <c r="H396">
        <v>66676121</v>
      </c>
      <c r="I396">
        <v>25841170</v>
      </c>
      <c r="P396">
        <v>160</v>
      </c>
      <c r="Q396" t="s">
        <v>981</v>
      </c>
    </row>
    <row r="397" spans="1:17" x14ac:dyDescent="0.3">
      <c r="A397" t="s">
        <v>17</v>
      </c>
      <c r="B397" t="str">
        <f>"600479"</f>
        <v>600479</v>
      </c>
      <c r="C397" t="s">
        <v>982</v>
      </c>
      <c r="D397" t="s">
        <v>188</v>
      </c>
      <c r="F397">
        <v>108715091</v>
      </c>
      <c r="G397">
        <v>104055823</v>
      </c>
      <c r="H397">
        <v>105362624</v>
      </c>
      <c r="I397">
        <v>84091165</v>
      </c>
      <c r="P397">
        <v>605</v>
      </c>
      <c r="Q397" t="s">
        <v>983</v>
      </c>
    </row>
    <row r="398" spans="1:17" x14ac:dyDescent="0.3">
      <c r="A398" t="s">
        <v>17</v>
      </c>
      <c r="B398" t="str">
        <f>"600480"</f>
        <v>600480</v>
      </c>
      <c r="C398" t="s">
        <v>984</v>
      </c>
      <c r="D398" t="s">
        <v>985</v>
      </c>
      <c r="F398">
        <v>543220264</v>
      </c>
      <c r="G398">
        <v>507978073</v>
      </c>
      <c r="H398">
        <v>463156764</v>
      </c>
      <c r="I398">
        <v>415872064</v>
      </c>
      <c r="P398">
        <v>171</v>
      </c>
      <c r="Q398" t="s">
        <v>986</v>
      </c>
    </row>
    <row r="399" spans="1:17" x14ac:dyDescent="0.3">
      <c r="A399" t="s">
        <v>17</v>
      </c>
      <c r="B399" t="str">
        <f>"600481"</f>
        <v>600481</v>
      </c>
      <c r="C399" t="s">
        <v>987</v>
      </c>
      <c r="D399" t="s">
        <v>988</v>
      </c>
      <c r="F399">
        <v>166138335</v>
      </c>
      <c r="G399">
        <v>86480259</v>
      </c>
      <c r="H399">
        <v>102956556</v>
      </c>
      <c r="I399">
        <v>84937959</v>
      </c>
      <c r="P399">
        <v>185</v>
      </c>
      <c r="Q399" t="s">
        <v>989</v>
      </c>
    </row>
    <row r="400" spans="1:17" x14ac:dyDescent="0.3">
      <c r="A400" t="s">
        <v>17</v>
      </c>
      <c r="B400" t="str">
        <f>"600482"</f>
        <v>600482</v>
      </c>
      <c r="C400" t="s">
        <v>990</v>
      </c>
      <c r="D400" t="s">
        <v>167</v>
      </c>
      <c r="F400">
        <v>973962609</v>
      </c>
      <c r="G400">
        <v>815305907</v>
      </c>
      <c r="H400">
        <v>823998819</v>
      </c>
      <c r="I400">
        <v>754111234</v>
      </c>
      <c r="J400">
        <v>644963499</v>
      </c>
      <c r="P400">
        <v>339</v>
      </c>
      <c r="Q400" t="s">
        <v>991</v>
      </c>
    </row>
    <row r="401" spans="1:17" x14ac:dyDescent="0.3">
      <c r="A401" t="s">
        <v>17</v>
      </c>
      <c r="B401" t="str">
        <f>"600483"</f>
        <v>600483</v>
      </c>
      <c r="C401" t="s">
        <v>992</v>
      </c>
      <c r="D401" t="s">
        <v>239</v>
      </c>
      <c r="F401">
        <v>70574372</v>
      </c>
      <c r="G401">
        <v>21335915</v>
      </c>
      <c r="H401">
        <v>13919506</v>
      </c>
      <c r="I401">
        <v>5843383</v>
      </c>
      <c r="P401">
        <v>331</v>
      </c>
      <c r="Q401" t="s">
        <v>993</v>
      </c>
    </row>
    <row r="402" spans="1:17" x14ac:dyDescent="0.3">
      <c r="A402" t="s">
        <v>17</v>
      </c>
      <c r="B402" t="str">
        <f>"600485"</f>
        <v>600485</v>
      </c>
      <c r="C402" t="s">
        <v>994</v>
      </c>
      <c r="G402">
        <v>57310855</v>
      </c>
      <c r="H402">
        <v>130297695</v>
      </c>
      <c r="I402">
        <v>162664229</v>
      </c>
      <c r="P402">
        <v>124</v>
      </c>
      <c r="Q402" t="s">
        <v>995</v>
      </c>
    </row>
    <row r="403" spans="1:17" x14ac:dyDescent="0.3">
      <c r="A403" t="s">
        <v>17</v>
      </c>
      <c r="B403" t="str">
        <f>"600486"</f>
        <v>600486</v>
      </c>
      <c r="C403" t="s">
        <v>996</v>
      </c>
      <c r="D403" t="s">
        <v>853</v>
      </c>
      <c r="F403">
        <v>373534510</v>
      </c>
      <c r="G403">
        <v>332329217</v>
      </c>
      <c r="H403">
        <v>319798004</v>
      </c>
      <c r="I403">
        <v>239047555</v>
      </c>
      <c r="P403">
        <v>1251</v>
      </c>
      <c r="Q403" t="s">
        <v>997</v>
      </c>
    </row>
    <row r="404" spans="1:17" x14ac:dyDescent="0.3">
      <c r="A404" t="s">
        <v>17</v>
      </c>
      <c r="B404" t="str">
        <f>"600487"</f>
        <v>600487</v>
      </c>
      <c r="C404" t="s">
        <v>998</v>
      </c>
      <c r="D404" t="s">
        <v>250</v>
      </c>
      <c r="F404">
        <v>1604172879</v>
      </c>
      <c r="G404">
        <v>1214664417</v>
      </c>
      <c r="H404">
        <v>1067013313</v>
      </c>
      <c r="I404">
        <v>960345679</v>
      </c>
      <c r="P404">
        <v>2802</v>
      </c>
      <c r="Q404" t="s">
        <v>999</v>
      </c>
    </row>
    <row r="405" spans="1:17" x14ac:dyDescent="0.3">
      <c r="A405" t="s">
        <v>17</v>
      </c>
      <c r="B405" t="str">
        <f>"600488"</f>
        <v>600488</v>
      </c>
      <c r="C405" t="s">
        <v>1000</v>
      </c>
      <c r="D405" t="s">
        <v>143</v>
      </c>
      <c r="F405">
        <v>133348047</v>
      </c>
      <c r="G405">
        <v>138064474</v>
      </c>
      <c r="H405">
        <v>129393098</v>
      </c>
      <c r="I405">
        <v>102857947</v>
      </c>
      <c r="P405">
        <v>98</v>
      </c>
      <c r="Q405" t="s">
        <v>1001</v>
      </c>
    </row>
    <row r="406" spans="1:17" x14ac:dyDescent="0.3">
      <c r="A406" t="s">
        <v>17</v>
      </c>
      <c r="B406" t="str">
        <f>"600489"</f>
        <v>600489</v>
      </c>
      <c r="C406" t="s">
        <v>1002</v>
      </c>
      <c r="D406" t="s">
        <v>701</v>
      </c>
      <c r="F406">
        <v>631374600</v>
      </c>
      <c r="G406">
        <v>591952575</v>
      </c>
      <c r="H406">
        <v>336947098</v>
      </c>
      <c r="I406">
        <v>232011160</v>
      </c>
      <c r="P406">
        <v>454</v>
      </c>
      <c r="Q406" t="s">
        <v>1003</v>
      </c>
    </row>
    <row r="407" spans="1:17" x14ac:dyDescent="0.3">
      <c r="A407" t="s">
        <v>17</v>
      </c>
      <c r="B407" t="str">
        <f>"600490"</f>
        <v>600490</v>
      </c>
      <c r="C407" t="s">
        <v>1004</v>
      </c>
      <c r="D407" t="s">
        <v>263</v>
      </c>
      <c r="F407">
        <v>0</v>
      </c>
      <c r="G407">
        <v>0</v>
      </c>
      <c r="H407">
        <v>457422</v>
      </c>
      <c r="P407">
        <v>143</v>
      </c>
      <c r="Q407" t="s">
        <v>1005</v>
      </c>
    </row>
    <row r="408" spans="1:17" x14ac:dyDescent="0.3">
      <c r="A408" t="s">
        <v>17</v>
      </c>
      <c r="B408" t="str">
        <f>"600491"</f>
        <v>600491</v>
      </c>
      <c r="C408" t="s">
        <v>1006</v>
      </c>
      <c r="D408" t="s">
        <v>398</v>
      </c>
      <c r="F408">
        <v>122540200</v>
      </c>
      <c r="G408">
        <v>74792080</v>
      </c>
      <c r="H408">
        <v>73445089</v>
      </c>
      <c r="I408">
        <v>54689649</v>
      </c>
      <c r="P408">
        <v>116</v>
      </c>
      <c r="Q408" t="s">
        <v>1007</v>
      </c>
    </row>
    <row r="409" spans="1:17" x14ac:dyDescent="0.3">
      <c r="A409" t="s">
        <v>17</v>
      </c>
      <c r="B409" t="str">
        <f>"600493"</f>
        <v>600493</v>
      </c>
      <c r="C409" t="s">
        <v>1008</v>
      </c>
      <c r="D409" t="s">
        <v>1009</v>
      </c>
      <c r="F409">
        <v>25464365</v>
      </c>
      <c r="G409">
        <v>19874005</v>
      </c>
      <c r="H409">
        <v>19622859</v>
      </c>
      <c r="I409">
        <v>19221708</v>
      </c>
      <c r="P409">
        <v>80</v>
      </c>
      <c r="Q409" t="s">
        <v>1010</v>
      </c>
    </row>
    <row r="410" spans="1:17" x14ac:dyDescent="0.3">
      <c r="A410" t="s">
        <v>17</v>
      </c>
      <c r="B410" t="str">
        <f>"600495"</f>
        <v>600495</v>
      </c>
      <c r="C410" t="s">
        <v>1011</v>
      </c>
      <c r="D410" t="s">
        <v>1012</v>
      </c>
      <c r="F410">
        <v>77241359</v>
      </c>
      <c r="G410">
        <v>78133585</v>
      </c>
      <c r="H410">
        <v>95641604</v>
      </c>
      <c r="I410">
        <v>77457478</v>
      </c>
      <c r="P410">
        <v>122</v>
      </c>
      <c r="Q410" t="s">
        <v>1013</v>
      </c>
    </row>
    <row r="411" spans="1:17" x14ac:dyDescent="0.3">
      <c r="A411" t="s">
        <v>17</v>
      </c>
      <c r="B411" t="str">
        <f>"600496"</f>
        <v>600496</v>
      </c>
      <c r="C411" t="s">
        <v>1014</v>
      </c>
      <c r="D411" t="s">
        <v>978</v>
      </c>
      <c r="F411">
        <v>555237274</v>
      </c>
      <c r="G411">
        <v>442676227</v>
      </c>
      <c r="H411">
        <v>402491734</v>
      </c>
      <c r="I411">
        <v>293212872</v>
      </c>
      <c r="P411">
        <v>249</v>
      </c>
      <c r="Q411" t="s">
        <v>1015</v>
      </c>
    </row>
    <row r="412" spans="1:17" x14ac:dyDescent="0.3">
      <c r="A412" t="s">
        <v>17</v>
      </c>
      <c r="B412" t="str">
        <f>"600497"</f>
        <v>600497</v>
      </c>
      <c r="C412" t="s">
        <v>1016</v>
      </c>
      <c r="D412" t="s">
        <v>744</v>
      </c>
      <c r="F412">
        <v>74194976</v>
      </c>
      <c r="G412">
        <v>53503529</v>
      </c>
      <c r="H412">
        <v>60110409</v>
      </c>
      <c r="I412">
        <v>18682258</v>
      </c>
      <c r="P412">
        <v>286</v>
      </c>
      <c r="Q412" t="s">
        <v>1017</v>
      </c>
    </row>
    <row r="413" spans="1:17" x14ac:dyDescent="0.3">
      <c r="A413" t="s">
        <v>17</v>
      </c>
      <c r="B413" t="str">
        <f>"600498"</f>
        <v>600498</v>
      </c>
      <c r="C413" t="s">
        <v>1018</v>
      </c>
      <c r="D413" t="s">
        <v>1019</v>
      </c>
      <c r="F413">
        <v>3460430939</v>
      </c>
      <c r="G413">
        <v>2578505846</v>
      </c>
      <c r="H413">
        <v>2332455560</v>
      </c>
      <c r="I413">
        <v>2295507743</v>
      </c>
      <c r="P413">
        <v>853</v>
      </c>
      <c r="Q413" t="s">
        <v>1020</v>
      </c>
    </row>
    <row r="414" spans="1:17" x14ac:dyDescent="0.3">
      <c r="A414" t="s">
        <v>17</v>
      </c>
      <c r="B414" t="str">
        <f>"600499"</f>
        <v>600499</v>
      </c>
      <c r="C414" t="s">
        <v>1021</v>
      </c>
      <c r="D414" t="s">
        <v>741</v>
      </c>
      <c r="F414">
        <v>301637990</v>
      </c>
      <c r="G414">
        <v>315714678</v>
      </c>
      <c r="H414">
        <v>166326381</v>
      </c>
      <c r="I414">
        <v>177830002</v>
      </c>
      <c r="P414">
        <v>246</v>
      </c>
      <c r="Q414" t="s">
        <v>1022</v>
      </c>
    </row>
    <row r="415" spans="1:17" x14ac:dyDescent="0.3">
      <c r="A415" t="s">
        <v>17</v>
      </c>
      <c r="B415" t="str">
        <f>"600500"</f>
        <v>600500</v>
      </c>
      <c r="C415" t="s">
        <v>1023</v>
      </c>
      <c r="D415" t="s">
        <v>386</v>
      </c>
      <c r="F415">
        <v>973642646</v>
      </c>
      <c r="G415">
        <v>853990130</v>
      </c>
      <c r="H415">
        <v>732929133</v>
      </c>
      <c r="I415">
        <v>614419367</v>
      </c>
      <c r="P415">
        <v>285</v>
      </c>
      <c r="Q415" t="s">
        <v>1024</v>
      </c>
    </row>
    <row r="416" spans="1:17" x14ac:dyDescent="0.3">
      <c r="A416" t="s">
        <v>17</v>
      </c>
      <c r="B416" t="str">
        <f>"600501"</f>
        <v>600501</v>
      </c>
      <c r="C416" t="s">
        <v>1025</v>
      </c>
      <c r="D416" t="s">
        <v>741</v>
      </c>
      <c r="F416">
        <v>178494167</v>
      </c>
      <c r="G416">
        <v>185108823</v>
      </c>
      <c r="H416">
        <v>161899392</v>
      </c>
      <c r="I416">
        <v>183864567</v>
      </c>
      <c r="P416">
        <v>117</v>
      </c>
      <c r="Q416" t="s">
        <v>1026</v>
      </c>
    </row>
    <row r="417" spans="1:17" x14ac:dyDescent="0.3">
      <c r="A417" t="s">
        <v>17</v>
      </c>
      <c r="B417" t="str">
        <f>"600502"</f>
        <v>600502</v>
      </c>
      <c r="C417" t="s">
        <v>1027</v>
      </c>
      <c r="D417" t="s">
        <v>398</v>
      </c>
      <c r="F417">
        <v>1199532010</v>
      </c>
      <c r="G417">
        <v>704109409</v>
      </c>
      <c r="H417">
        <v>426243421</v>
      </c>
      <c r="I417">
        <v>210641700</v>
      </c>
      <c r="P417">
        <v>410</v>
      </c>
      <c r="Q417" t="s">
        <v>1028</v>
      </c>
    </row>
    <row r="418" spans="1:17" x14ac:dyDescent="0.3">
      <c r="A418" t="s">
        <v>17</v>
      </c>
      <c r="B418" t="str">
        <f>"600503"</f>
        <v>600503</v>
      </c>
      <c r="C418" t="s">
        <v>1029</v>
      </c>
      <c r="D418" t="s">
        <v>104</v>
      </c>
      <c r="F418">
        <v>4006106</v>
      </c>
      <c r="G418">
        <v>7345001</v>
      </c>
      <c r="H418">
        <v>19084489</v>
      </c>
      <c r="I418">
        <v>14925790</v>
      </c>
      <c r="P418">
        <v>200</v>
      </c>
      <c r="Q418" t="s">
        <v>1030</v>
      </c>
    </row>
    <row r="419" spans="1:17" x14ac:dyDescent="0.3">
      <c r="A419" t="s">
        <v>17</v>
      </c>
      <c r="B419" t="str">
        <f>"600505"</f>
        <v>600505</v>
      </c>
      <c r="C419" t="s">
        <v>1031</v>
      </c>
      <c r="D419" t="s">
        <v>239</v>
      </c>
      <c r="F419">
        <v>0</v>
      </c>
      <c r="G419">
        <v>0</v>
      </c>
      <c r="P419">
        <v>104</v>
      </c>
      <c r="Q419" t="s">
        <v>1032</v>
      </c>
    </row>
    <row r="420" spans="1:17" x14ac:dyDescent="0.3">
      <c r="A420" t="s">
        <v>17</v>
      </c>
      <c r="B420" t="str">
        <f>"600506"</f>
        <v>600506</v>
      </c>
      <c r="C420" t="s">
        <v>1033</v>
      </c>
      <c r="D420" t="s">
        <v>258</v>
      </c>
      <c r="F420">
        <v>772881</v>
      </c>
      <c r="G420">
        <v>0</v>
      </c>
      <c r="P420">
        <v>67</v>
      </c>
      <c r="Q420" t="s">
        <v>1034</v>
      </c>
    </row>
    <row r="421" spans="1:17" x14ac:dyDescent="0.3">
      <c r="A421" t="s">
        <v>17</v>
      </c>
      <c r="B421" t="str">
        <f>"600507"</f>
        <v>600507</v>
      </c>
      <c r="C421" t="s">
        <v>1035</v>
      </c>
      <c r="D421" t="s">
        <v>281</v>
      </c>
      <c r="F421">
        <v>92467374</v>
      </c>
      <c r="G421">
        <v>62860982</v>
      </c>
      <c r="H421">
        <v>54909354</v>
      </c>
      <c r="I421">
        <v>66743637</v>
      </c>
      <c r="P421">
        <v>1893</v>
      </c>
      <c r="Q421" t="s">
        <v>1036</v>
      </c>
    </row>
    <row r="422" spans="1:17" x14ac:dyDescent="0.3">
      <c r="A422" t="s">
        <v>17</v>
      </c>
      <c r="B422" t="str">
        <f>"600508"</f>
        <v>600508</v>
      </c>
      <c r="C422" t="s">
        <v>1037</v>
      </c>
      <c r="D422" t="s">
        <v>298</v>
      </c>
      <c r="F422">
        <v>38322565</v>
      </c>
      <c r="G422">
        <v>37577536</v>
      </c>
      <c r="H422">
        <v>7301469</v>
      </c>
      <c r="I422">
        <v>4460814</v>
      </c>
      <c r="P422">
        <v>267</v>
      </c>
      <c r="Q422" t="s">
        <v>1038</v>
      </c>
    </row>
    <row r="423" spans="1:17" x14ac:dyDescent="0.3">
      <c r="A423" t="s">
        <v>17</v>
      </c>
      <c r="B423" t="str">
        <f>"600509"</f>
        <v>600509</v>
      </c>
      <c r="C423" t="s">
        <v>1039</v>
      </c>
      <c r="D423" t="s">
        <v>41</v>
      </c>
      <c r="F423">
        <v>54219</v>
      </c>
      <c r="G423">
        <v>33493</v>
      </c>
      <c r="P423">
        <v>142</v>
      </c>
      <c r="Q423" t="s">
        <v>1040</v>
      </c>
    </row>
    <row r="424" spans="1:17" x14ac:dyDescent="0.3">
      <c r="A424" t="s">
        <v>17</v>
      </c>
      <c r="B424" t="str">
        <f>"600510"</f>
        <v>600510</v>
      </c>
      <c r="C424" t="s">
        <v>1041</v>
      </c>
      <c r="D424" t="s">
        <v>104</v>
      </c>
      <c r="F424">
        <v>69260928</v>
      </c>
      <c r="G424">
        <v>56593585</v>
      </c>
      <c r="H424">
        <v>39999754</v>
      </c>
      <c r="I424">
        <v>36823395</v>
      </c>
      <c r="P424">
        <v>240</v>
      </c>
      <c r="Q424" t="s">
        <v>1042</v>
      </c>
    </row>
    <row r="425" spans="1:17" x14ac:dyDescent="0.3">
      <c r="A425" t="s">
        <v>17</v>
      </c>
      <c r="B425" t="str">
        <f>"600511"</f>
        <v>600511</v>
      </c>
      <c r="C425" t="s">
        <v>1043</v>
      </c>
      <c r="D425" t="s">
        <v>125</v>
      </c>
      <c r="F425">
        <v>55751727</v>
      </c>
      <c r="G425">
        <v>51871336</v>
      </c>
      <c r="H425">
        <v>44928354</v>
      </c>
      <c r="I425">
        <v>30443130</v>
      </c>
      <c r="P425">
        <v>24746</v>
      </c>
      <c r="Q425" t="s">
        <v>1044</v>
      </c>
    </row>
    <row r="426" spans="1:17" x14ac:dyDescent="0.3">
      <c r="A426" t="s">
        <v>17</v>
      </c>
      <c r="B426" t="str">
        <f>"600512"</f>
        <v>600512</v>
      </c>
      <c r="C426" t="s">
        <v>1045</v>
      </c>
      <c r="D426" t="s">
        <v>101</v>
      </c>
      <c r="F426">
        <v>248735944</v>
      </c>
      <c r="G426">
        <v>214763151</v>
      </c>
      <c r="H426">
        <v>173952648</v>
      </c>
      <c r="I426">
        <v>142543331</v>
      </c>
      <c r="P426">
        <v>161</v>
      </c>
      <c r="Q426" t="s">
        <v>1046</v>
      </c>
    </row>
    <row r="427" spans="1:17" x14ac:dyDescent="0.3">
      <c r="A427" t="s">
        <v>17</v>
      </c>
      <c r="B427" t="str">
        <f>"600513"</f>
        <v>600513</v>
      </c>
      <c r="C427" t="s">
        <v>1047</v>
      </c>
      <c r="D427" t="s">
        <v>143</v>
      </c>
      <c r="F427">
        <v>66473854</v>
      </c>
      <c r="G427">
        <v>44018136</v>
      </c>
      <c r="H427">
        <v>46967586</v>
      </c>
      <c r="I427">
        <v>38057774</v>
      </c>
      <c r="P427">
        <v>144</v>
      </c>
      <c r="Q427" t="s">
        <v>1048</v>
      </c>
    </row>
    <row r="428" spans="1:17" x14ac:dyDescent="0.3">
      <c r="A428" t="s">
        <v>17</v>
      </c>
      <c r="B428" t="str">
        <f>"600515"</f>
        <v>600515</v>
      </c>
      <c r="C428" t="s">
        <v>1049</v>
      </c>
      <c r="D428" t="s">
        <v>104</v>
      </c>
      <c r="F428">
        <v>0</v>
      </c>
      <c r="G428">
        <v>6473988</v>
      </c>
      <c r="P428">
        <v>163</v>
      </c>
      <c r="Q428" t="s">
        <v>1050</v>
      </c>
    </row>
    <row r="429" spans="1:17" x14ac:dyDescent="0.3">
      <c r="A429" t="s">
        <v>17</v>
      </c>
      <c r="B429" t="str">
        <f>"600516"</f>
        <v>600516</v>
      </c>
      <c r="C429" t="s">
        <v>1051</v>
      </c>
      <c r="D429" t="s">
        <v>669</v>
      </c>
      <c r="F429">
        <v>69584880</v>
      </c>
      <c r="G429">
        <v>87735968</v>
      </c>
      <c r="H429">
        <v>53462733</v>
      </c>
      <c r="I429">
        <v>18782655</v>
      </c>
      <c r="P429">
        <v>1177</v>
      </c>
      <c r="Q429" t="s">
        <v>1052</v>
      </c>
    </row>
    <row r="430" spans="1:17" x14ac:dyDescent="0.3">
      <c r="A430" t="s">
        <v>17</v>
      </c>
      <c r="B430" t="str">
        <f>"600517"</f>
        <v>600517</v>
      </c>
      <c r="C430" t="s">
        <v>1053</v>
      </c>
      <c r="D430" t="s">
        <v>210</v>
      </c>
      <c r="F430">
        <v>132738957</v>
      </c>
      <c r="G430">
        <v>92167893</v>
      </c>
      <c r="H430">
        <v>122746330</v>
      </c>
      <c r="I430">
        <v>110315920</v>
      </c>
      <c r="P430">
        <v>246</v>
      </c>
      <c r="Q430" t="s">
        <v>1054</v>
      </c>
    </row>
    <row r="431" spans="1:17" x14ac:dyDescent="0.3">
      <c r="A431" t="s">
        <v>17</v>
      </c>
      <c r="B431" t="str">
        <f>"600518"</f>
        <v>600518</v>
      </c>
      <c r="C431" t="s">
        <v>1055</v>
      </c>
      <c r="D431" t="s">
        <v>188</v>
      </c>
      <c r="F431">
        <v>9273127</v>
      </c>
      <c r="G431">
        <v>11358527</v>
      </c>
      <c r="H431">
        <v>110056697</v>
      </c>
      <c r="I431">
        <v>142259557</v>
      </c>
      <c r="P431">
        <v>1483</v>
      </c>
      <c r="Q431" t="s">
        <v>1056</v>
      </c>
    </row>
    <row r="432" spans="1:17" x14ac:dyDescent="0.3">
      <c r="A432" t="s">
        <v>17</v>
      </c>
      <c r="B432" t="str">
        <f>"600519"</f>
        <v>600519</v>
      </c>
      <c r="C432" t="s">
        <v>1057</v>
      </c>
      <c r="D432" t="s">
        <v>458</v>
      </c>
      <c r="F432">
        <v>61923214</v>
      </c>
      <c r="G432">
        <v>50398036</v>
      </c>
      <c r="H432">
        <v>48688841</v>
      </c>
      <c r="I432">
        <v>21953606</v>
      </c>
      <c r="P432">
        <v>71976</v>
      </c>
      <c r="Q432" t="s">
        <v>1058</v>
      </c>
    </row>
    <row r="433" spans="1:17" x14ac:dyDescent="0.3">
      <c r="A433" t="s">
        <v>17</v>
      </c>
      <c r="B433" t="str">
        <f>"600520"</f>
        <v>600520</v>
      </c>
      <c r="C433" t="s">
        <v>1059</v>
      </c>
      <c r="D433" t="s">
        <v>741</v>
      </c>
      <c r="F433">
        <v>13125580</v>
      </c>
      <c r="G433">
        <v>10832577</v>
      </c>
      <c r="H433">
        <v>9527894</v>
      </c>
      <c r="I433">
        <v>11693656</v>
      </c>
      <c r="P433">
        <v>73</v>
      </c>
      <c r="Q433" t="s">
        <v>1060</v>
      </c>
    </row>
    <row r="434" spans="1:17" x14ac:dyDescent="0.3">
      <c r="A434" t="s">
        <v>17</v>
      </c>
      <c r="B434" t="str">
        <f>"600521"</f>
        <v>600521</v>
      </c>
      <c r="C434" t="s">
        <v>1061</v>
      </c>
      <c r="D434" t="s">
        <v>143</v>
      </c>
      <c r="F434">
        <v>942264001</v>
      </c>
      <c r="G434">
        <v>565697036</v>
      </c>
      <c r="H434">
        <v>467358174</v>
      </c>
      <c r="I434">
        <v>396759168</v>
      </c>
      <c r="P434">
        <v>964</v>
      </c>
      <c r="Q434" t="s">
        <v>1062</v>
      </c>
    </row>
    <row r="435" spans="1:17" x14ac:dyDescent="0.3">
      <c r="A435" t="s">
        <v>17</v>
      </c>
      <c r="B435" t="str">
        <f>"600522"</f>
        <v>600522</v>
      </c>
      <c r="C435" t="s">
        <v>1063</v>
      </c>
      <c r="D435" t="s">
        <v>250</v>
      </c>
      <c r="F435">
        <v>1468163109</v>
      </c>
      <c r="G435">
        <v>1216560275</v>
      </c>
      <c r="H435">
        <v>1100743604</v>
      </c>
      <c r="I435">
        <v>1071810367</v>
      </c>
      <c r="P435">
        <v>1218</v>
      </c>
      <c r="Q435" t="s">
        <v>1064</v>
      </c>
    </row>
    <row r="436" spans="1:17" x14ac:dyDescent="0.3">
      <c r="A436" t="s">
        <v>17</v>
      </c>
      <c r="B436" t="str">
        <f>"600523"</f>
        <v>600523</v>
      </c>
      <c r="C436" t="s">
        <v>1065</v>
      </c>
      <c r="D436" t="s">
        <v>985</v>
      </c>
      <c r="F436">
        <v>102544067</v>
      </c>
      <c r="G436">
        <v>88619050</v>
      </c>
      <c r="H436">
        <v>90509917</v>
      </c>
      <c r="I436">
        <v>129002254</v>
      </c>
      <c r="P436">
        <v>96</v>
      </c>
      <c r="Q436" t="s">
        <v>1066</v>
      </c>
    </row>
    <row r="437" spans="1:17" x14ac:dyDescent="0.3">
      <c r="A437" t="s">
        <v>17</v>
      </c>
      <c r="B437" t="str">
        <f>"600525"</f>
        <v>600525</v>
      </c>
      <c r="C437" t="s">
        <v>1067</v>
      </c>
      <c r="D437" t="s">
        <v>210</v>
      </c>
      <c r="F437">
        <v>773649489</v>
      </c>
      <c r="G437">
        <v>545639670</v>
      </c>
      <c r="H437">
        <v>555354537</v>
      </c>
      <c r="I437">
        <v>614740459</v>
      </c>
      <c r="J437">
        <v>528073197</v>
      </c>
      <c r="P437">
        <v>254</v>
      </c>
      <c r="Q437" t="s">
        <v>1068</v>
      </c>
    </row>
    <row r="438" spans="1:17" x14ac:dyDescent="0.3">
      <c r="A438" t="s">
        <v>17</v>
      </c>
      <c r="B438" t="str">
        <f>"600526"</f>
        <v>600526</v>
      </c>
      <c r="C438" t="s">
        <v>1069</v>
      </c>
      <c r="D438" t="s">
        <v>1070</v>
      </c>
      <c r="F438">
        <v>102473931</v>
      </c>
      <c r="G438">
        <v>94054468</v>
      </c>
      <c r="H438">
        <v>49875987</v>
      </c>
      <c r="I438">
        <v>40176018</v>
      </c>
      <c r="P438">
        <v>114</v>
      </c>
      <c r="Q438" t="s">
        <v>1071</v>
      </c>
    </row>
    <row r="439" spans="1:17" x14ac:dyDescent="0.3">
      <c r="A439" t="s">
        <v>17</v>
      </c>
      <c r="B439" t="str">
        <f>"600527"</f>
        <v>600527</v>
      </c>
      <c r="C439" t="s">
        <v>1072</v>
      </c>
      <c r="D439" t="s">
        <v>366</v>
      </c>
      <c r="F439">
        <v>34419457</v>
      </c>
      <c r="G439">
        <v>45920385</v>
      </c>
      <c r="H439">
        <v>39619760</v>
      </c>
      <c r="I439">
        <v>47685599</v>
      </c>
      <c r="P439">
        <v>112</v>
      </c>
      <c r="Q439" t="s">
        <v>1073</v>
      </c>
    </row>
    <row r="440" spans="1:17" x14ac:dyDescent="0.3">
      <c r="A440" t="s">
        <v>17</v>
      </c>
      <c r="B440" t="str">
        <f>"600528"</f>
        <v>600528</v>
      </c>
      <c r="C440" t="s">
        <v>1074</v>
      </c>
      <c r="D440" t="s">
        <v>1012</v>
      </c>
      <c r="F440">
        <v>1396810704</v>
      </c>
      <c r="G440">
        <v>1203336483</v>
      </c>
      <c r="H440">
        <v>1004111580</v>
      </c>
      <c r="I440">
        <v>815141114</v>
      </c>
      <c r="P440">
        <v>252</v>
      </c>
      <c r="Q440" t="s">
        <v>1075</v>
      </c>
    </row>
    <row r="441" spans="1:17" x14ac:dyDescent="0.3">
      <c r="A441" t="s">
        <v>17</v>
      </c>
      <c r="B441" t="str">
        <f>"600529"</f>
        <v>600529</v>
      </c>
      <c r="C441" t="s">
        <v>1076</v>
      </c>
      <c r="D441" t="s">
        <v>1077</v>
      </c>
      <c r="F441">
        <v>135634523</v>
      </c>
      <c r="G441">
        <v>133869813</v>
      </c>
      <c r="H441">
        <v>126863197</v>
      </c>
      <c r="I441">
        <v>80234083</v>
      </c>
      <c r="P441">
        <v>1048</v>
      </c>
      <c r="Q441" t="s">
        <v>1078</v>
      </c>
    </row>
    <row r="442" spans="1:17" x14ac:dyDescent="0.3">
      <c r="A442" t="s">
        <v>17</v>
      </c>
      <c r="B442" t="str">
        <f>"600530"</f>
        <v>600530</v>
      </c>
      <c r="C442" t="s">
        <v>1079</v>
      </c>
      <c r="D442" t="s">
        <v>838</v>
      </c>
      <c r="F442">
        <v>15642908</v>
      </c>
      <c r="G442">
        <v>12754266</v>
      </c>
      <c r="H442">
        <v>17854980</v>
      </c>
      <c r="I442">
        <v>15670404</v>
      </c>
      <c r="P442">
        <v>86</v>
      </c>
      <c r="Q442" t="s">
        <v>1080</v>
      </c>
    </row>
    <row r="443" spans="1:17" x14ac:dyDescent="0.3">
      <c r="A443" t="s">
        <v>17</v>
      </c>
      <c r="B443" t="str">
        <f>"600531"</f>
        <v>600531</v>
      </c>
      <c r="C443" t="s">
        <v>1081</v>
      </c>
      <c r="D443" t="s">
        <v>744</v>
      </c>
      <c r="F443">
        <v>64801073</v>
      </c>
      <c r="G443">
        <v>25156596</v>
      </c>
      <c r="H443">
        <v>18617445</v>
      </c>
      <c r="I443">
        <v>11044241</v>
      </c>
      <c r="P443">
        <v>148</v>
      </c>
      <c r="Q443" t="s">
        <v>1082</v>
      </c>
    </row>
    <row r="444" spans="1:17" x14ac:dyDescent="0.3">
      <c r="A444" t="s">
        <v>17</v>
      </c>
      <c r="B444" t="str">
        <f>"600532"</f>
        <v>600532</v>
      </c>
      <c r="C444" t="s">
        <v>1083</v>
      </c>
      <c r="D444" t="s">
        <v>292</v>
      </c>
      <c r="G444">
        <v>0</v>
      </c>
      <c r="P444">
        <v>91</v>
      </c>
      <c r="Q444" t="s">
        <v>1084</v>
      </c>
    </row>
    <row r="445" spans="1:17" x14ac:dyDescent="0.3">
      <c r="A445" t="s">
        <v>17</v>
      </c>
      <c r="B445" t="str">
        <f>"600533"</f>
        <v>600533</v>
      </c>
      <c r="C445" t="s">
        <v>1085</v>
      </c>
      <c r="D445" t="s">
        <v>104</v>
      </c>
      <c r="F445">
        <v>0</v>
      </c>
      <c r="G445">
        <v>0</v>
      </c>
      <c r="P445">
        <v>199</v>
      </c>
      <c r="Q445" t="s">
        <v>1086</v>
      </c>
    </row>
    <row r="446" spans="1:17" x14ac:dyDescent="0.3">
      <c r="A446" t="s">
        <v>17</v>
      </c>
      <c r="B446" t="str">
        <f>"600535"</f>
        <v>600535</v>
      </c>
      <c r="C446" t="s">
        <v>1087</v>
      </c>
      <c r="D446" t="s">
        <v>188</v>
      </c>
      <c r="F446">
        <v>579527448</v>
      </c>
      <c r="G446">
        <v>689330619</v>
      </c>
      <c r="H446">
        <v>551224285</v>
      </c>
      <c r="I446">
        <v>588882693</v>
      </c>
      <c r="P446">
        <v>12549</v>
      </c>
      <c r="Q446" t="s">
        <v>1088</v>
      </c>
    </row>
    <row r="447" spans="1:17" x14ac:dyDescent="0.3">
      <c r="A447" t="s">
        <v>17</v>
      </c>
      <c r="B447" t="str">
        <f>"600536"</f>
        <v>600536</v>
      </c>
      <c r="C447" t="s">
        <v>1089</v>
      </c>
      <c r="D447" t="s">
        <v>316</v>
      </c>
      <c r="F447">
        <v>1846561279</v>
      </c>
      <c r="G447">
        <v>1308041124</v>
      </c>
      <c r="H447">
        <v>1162909704</v>
      </c>
      <c r="I447">
        <v>972208472</v>
      </c>
      <c r="P447">
        <v>621</v>
      </c>
      <c r="Q447" t="s">
        <v>1090</v>
      </c>
    </row>
    <row r="448" spans="1:17" x14ac:dyDescent="0.3">
      <c r="A448" t="s">
        <v>17</v>
      </c>
      <c r="B448" t="str">
        <f>"600537"</f>
        <v>600537</v>
      </c>
      <c r="C448" t="s">
        <v>1091</v>
      </c>
      <c r="D448" t="s">
        <v>356</v>
      </c>
      <c r="F448">
        <v>109956208</v>
      </c>
      <c r="G448">
        <v>119489330</v>
      </c>
      <c r="H448">
        <v>112613986</v>
      </c>
      <c r="I448">
        <v>119012393</v>
      </c>
      <c r="P448">
        <v>147</v>
      </c>
      <c r="Q448" t="s">
        <v>1092</v>
      </c>
    </row>
    <row r="449" spans="1:17" x14ac:dyDescent="0.3">
      <c r="A449" t="s">
        <v>17</v>
      </c>
      <c r="B449" t="str">
        <f>"600538"</f>
        <v>600538</v>
      </c>
      <c r="C449" t="s">
        <v>1093</v>
      </c>
      <c r="D449" t="s">
        <v>125</v>
      </c>
      <c r="F449">
        <v>9143873</v>
      </c>
      <c r="G449">
        <v>50134</v>
      </c>
      <c r="H449">
        <v>75572</v>
      </c>
      <c r="I449">
        <v>250319</v>
      </c>
      <c r="P449">
        <v>69</v>
      </c>
      <c r="Q449" t="s">
        <v>1094</v>
      </c>
    </row>
    <row r="450" spans="1:17" x14ac:dyDescent="0.3">
      <c r="A450" t="s">
        <v>17</v>
      </c>
      <c r="B450" t="str">
        <f>"600539"</f>
        <v>600539</v>
      </c>
      <c r="C450" t="s">
        <v>1095</v>
      </c>
      <c r="D450" t="s">
        <v>110</v>
      </c>
      <c r="F450">
        <v>0</v>
      </c>
      <c r="G450">
        <v>0</v>
      </c>
      <c r="P450">
        <v>51</v>
      </c>
      <c r="Q450" t="s">
        <v>1096</v>
      </c>
    </row>
    <row r="451" spans="1:17" x14ac:dyDescent="0.3">
      <c r="A451" t="s">
        <v>17</v>
      </c>
      <c r="B451" t="str">
        <f>"600540"</f>
        <v>600540</v>
      </c>
      <c r="C451" t="s">
        <v>1097</v>
      </c>
      <c r="D451" t="s">
        <v>258</v>
      </c>
      <c r="F451">
        <v>413725</v>
      </c>
      <c r="G451">
        <v>445691</v>
      </c>
      <c r="H451">
        <v>1005047</v>
      </c>
      <c r="I451">
        <v>397399</v>
      </c>
      <c r="P451">
        <v>97</v>
      </c>
      <c r="Q451" t="s">
        <v>1098</v>
      </c>
    </row>
    <row r="452" spans="1:17" x14ac:dyDescent="0.3">
      <c r="A452" t="s">
        <v>17</v>
      </c>
      <c r="B452" t="str">
        <f>"600543"</f>
        <v>600543</v>
      </c>
      <c r="C452" t="s">
        <v>1099</v>
      </c>
      <c r="D452" t="s">
        <v>134</v>
      </c>
      <c r="F452">
        <v>395206</v>
      </c>
      <c r="G452">
        <v>504169</v>
      </c>
      <c r="H452">
        <v>503904</v>
      </c>
      <c r="I452">
        <v>625909</v>
      </c>
      <c r="P452">
        <v>150</v>
      </c>
      <c r="Q452" t="s">
        <v>1100</v>
      </c>
    </row>
    <row r="453" spans="1:17" x14ac:dyDescent="0.3">
      <c r="A453" t="s">
        <v>17</v>
      </c>
      <c r="B453" t="str">
        <f>"600545"</f>
        <v>600545</v>
      </c>
      <c r="C453" t="s">
        <v>1101</v>
      </c>
      <c r="D453" t="s">
        <v>534</v>
      </c>
      <c r="F453">
        <v>361909000</v>
      </c>
      <c r="G453">
        <v>401297000</v>
      </c>
      <c r="H453">
        <v>460291000</v>
      </c>
      <c r="I453">
        <v>475204000</v>
      </c>
      <c r="P453">
        <v>134</v>
      </c>
      <c r="Q453" t="s">
        <v>1102</v>
      </c>
    </row>
    <row r="454" spans="1:17" x14ac:dyDescent="0.3">
      <c r="A454" t="s">
        <v>17</v>
      </c>
      <c r="B454" t="str">
        <f>"600546"</f>
        <v>600546</v>
      </c>
      <c r="C454" t="s">
        <v>1103</v>
      </c>
      <c r="D454" t="s">
        <v>292</v>
      </c>
      <c r="F454">
        <v>206391025</v>
      </c>
      <c r="G454">
        <v>134785025</v>
      </c>
      <c r="H454">
        <v>138977997</v>
      </c>
      <c r="I454">
        <v>93005818</v>
      </c>
      <c r="P454">
        <v>357</v>
      </c>
      <c r="Q454" t="s">
        <v>1104</v>
      </c>
    </row>
    <row r="455" spans="1:17" x14ac:dyDescent="0.3">
      <c r="A455" t="s">
        <v>17</v>
      </c>
      <c r="B455" t="str">
        <f>"600547"</f>
        <v>600547</v>
      </c>
      <c r="C455" t="s">
        <v>1105</v>
      </c>
      <c r="D455" t="s">
        <v>701</v>
      </c>
      <c r="F455">
        <v>345605853</v>
      </c>
      <c r="G455">
        <v>387557959</v>
      </c>
      <c r="H455">
        <v>333050003</v>
      </c>
      <c r="I455">
        <v>321041044</v>
      </c>
      <c r="P455">
        <v>942</v>
      </c>
      <c r="Q455" t="s">
        <v>1106</v>
      </c>
    </row>
    <row r="456" spans="1:17" x14ac:dyDescent="0.3">
      <c r="A456" t="s">
        <v>17</v>
      </c>
      <c r="B456" t="str">
        <f>"600548"</f>
        <v>600548</v>
      </c>
      <c r="C456" t="s">
        <v>1107</v>
      </c>
      <c r="D456" t="s">
        <v>44</v>
      </c>
      <c r="F456">
        <v>60572086</v>
      </c>
      <c r="G456">
        <v>58693734</v>
      </c>
      <c r="H456">
        <v>18474814</v>
      </c>
      <c r="P456">
        <v>794</v>
      </c>
      <c r="Q456" t="s">
        <v>1108</v>
      </c>
    </row>
    <row r="457" spans="1:17" x14ac:dyDescent="0.3">
      <c r="A457" t="s">
        <v>17</v>
      </c>
      <c r="B457" t="str">
        <f>"600549"</f>
        <v>600549</v>
      </c>
      <c r="C457" t="s">
        <v>1109</v>
      </c>
      <c r="D457" t="s">
        <v>1110</v>
      </c>
      <c r="F457">
        <v>1275753453</v>
      </c>
      <c r="G457">
        <v>860807925</v>
      </c>
      <c r="H457">
        <v>835775148</v>
      </c>
      <c r="I457">
        <v>897257641</v>
      </c>
      <c r="P457">
        <v>446</v>
      </c>
      <c r="Q457" t="s">
        <v>1111</v>
      </c>
    </row>
    <row r="458" spans="1:17" x14ac:dyDescent="0.3">
      <c r="A458" t="s">
        <v>17</v>
      </c>
      <c r="B458" t="str">
        <f>"600550"</f>
        <v>600550</v>
      </c>
      <c r="C458" t="s">
        <v>1112</v>
      </c>
      <c r="D458" t="s">
        <v>210</v>
      </c>
      <c r="F458">
        <v>167373291</v>
      </c>
      <c r="G458">
        <v>133990220</v>
      </c>
      <c r="H458">
        <v>128544566</v>
      </c>
      <c r="I458">
        <v>120315045</v>
      </c>
      <c r="P458">
        <v>183</v>
      </c>
      <c r="Q458" t="s">
        <v>1113</v>
      </c>
    </row>
    <row r="459" spans="1:17" x14ac:dyDescent="0.3">
      <c r="A459" t="s">
        <v>17</v>
      </c>
      <c r="B459" t="str">
        <f>"600551"</f>
        <v>600551</v>
      </c>
      <c r="C459" t="s">
        <v>1114</v>
      </c>
      <c r="D459" t="s">
        <v>525</v>
      </c>
      <c r="F459">
        <v>32512321</v>
      </c>
      <c r="G459">
        <v>37460974</v>
      </c>
      <c r="H459">
        <v>28359015</v>
      </c>
      <c r="I459">
        <v>30545314</v>
      </c>
      <c r="P459">
        <v>134</v>
      </c>
      <c r="Q459" t="s">
        <v>1115</v>
      </c>
    </row>
    <row r="460" spans="1:17" x14ac:dyDescent="0.3">
      <c r="A460" t="s">
        <v>17</v>
      </c>
      <c r="B460" t="str">
        <f>"600552"</f>
        <v>600552</v>
      </c>
      <c r="C460" t="s">
        <v>1116</v>
      </c>
      <c r="D460" t="s">
        <v>1117</v>
      </c>
      <c r="F460">
        <v>299025643</v>
      </c>
      <c r="G460">
        <v>230157099</v>
      </c>
      <c r="H460">
        <v>194649004</v>
      </c>
      <c r="I460">
        <v>131247788</v>
      </c>
      <c r="P460">
        <v>169</v>
      </c>
      <c r="Q460" t="s">
        <v>1118</v>
      </c>
    </row>
    <row r="461" spans="1:17" x14ac:dyDescent="0.3">
      <c r="A461" t="s">
        <v>17</v>
      </c>
      <c r="B461" t="str">
        <f>"600555"</f>
        <v>600555</v>
      </c>
      <c r="C461" t="s">
        <v>1119</v>
      </c>
      <c r="D461" t="s">
        <v>1120</v>
      </c>
      <c r="F461">
        <v>0</v>
      </c>
      <c r="G461">
        <v>0</v>
      </c>
      <c r="P461">
        <v>76</v>
      </c>
      <c r="Q461" t="s">
        <v>1121</v>
      </c>
    </row>
    <row r="462" spans="1:17" x14ac:dyDescent="0.3">
      <c r="A462" t="s">
        <v>17</v>
      </c>
      <c r="B462" t="str">
        <f>"600556"</f>
        <v>600556</v>
      </c>
      <c r="C462" t="s">
        <v>1122</v>
      </c>
      <c r="D462" t="s">
        <v>207</v>
      </c>
      <c r="F462">
        <v>129460692</v>
      </c>
      <c r="G462">
        <v>74722277</v>
      </c>
      <c r="H462">
        <v>53219196</v>
      </c>
      <c r="P462">
        <v>218</v>
      </c>
      <c r="Q462" t="s">
        <v>1123</v>
      </c>
    </row>
    <row r="463" spans="1:17" x14ac:dyDescent="0.3">
      <c r="A463" t="s">
        <v>17</v>
      </c>
      <c r="B463" t="str">
        <f>"600557"</f>
        <v>600557</v>
      </c>
      <c r="C463" t="s">
        <v>1124</v>
      </c>
      <c r="D463" t="s">
        <v>188</v>
      </c>
      <c r="F463">
        <v>499388057</v>
      </c>
      <c r="G463">
        <v>380421663</v>
      </c>
      <c r="H463">
        <v>442637035</v>
      </c>
      <c r="I463">
        <v>292780112</v>
      </c>
      <c r="P463">
        <v>427</v>
      </c>
      <c r="Q463" t="s">
        <v>1125</v>
      </c>
    </row>
    <row r="464" spans="1:17" x14ac:dyDescent="0.3">
      <c r="A464" t="s">
        <v>17</v>
      </c>
      <c r="B464" t="str">
        <f>"600558"</f>
        <v>600558</v>
      </c>
      <c r="C464" t="s">
        <v>1126</v>
      </c>
      <c r="D464" t="s">
        <v>274</v>
      </c>
      <c r="F464">
        <v>44279986</v>
      </c>
      <c r="G464">
        <v>43027908</v>
      </c>
      <c r="H464">
        <v>37390472</v>
      </c>
      <c r="I464">
        <v>37397720</v>
      </c>
      <c r="P464">
        <v>72</v>
      </c>
      <c r="Q464" t="s">
        <v>1127</v>
      </c>
    </row>
    <row r="465" spans="1:17" x14ac:dyDescent="0.3">
      <c r="A465" t="s">
        <v>17</v>
      </c>
      <c r="B465" t="str">
        <f>"600559"</f>
        <v>600559</v>
      </c>
      <c r="C465" t="s">
        <v>1128</v>
      </c>
      <c r="D465" t="s">
        <v>458</v>
      </c>
      <c r="F465">
        <v>15769198</v>
      </c>
      <c r="G465">
        <v>12543295</v>
      </c>
      <c r="H465">
        <v>12110482</v>
      </c>
      <c r="I465">
        <v>7808908</v>
      </c>
      <c r="P465">
        <v>881</v>
      </c>
      <c r="Q465" t="s">
        <v>1129</v>
      </c>
    </row>
    <row r="466" spans="1:17" x14ac:dyDescent="0.3">
      <c r="A466" t="s">
        <v>17</v>
      </c>
      <c r="B466" t="str">
        <f>"600560"</f>
        <v>600560</v>
      </c>
      <c r="C466" t="s">
        <v>1130</v>
      </c>
      <c r="D466" t="s">
        <v>395</v>
      </c>
      <c r="F466">
        <v>55655371</v>
      </c>
      <c r="G466">
        <v>52211704</v>
      </c>
      <c r="H466">
        <v>49920943</v>
      </c>
      <c r="I466">
        <v>46350312</v>
      </c>
      <c r="P466">
        <v>78</v>
      </c>
      <c r="Q466" t="s">
        <v>1131</v>
      </c>
    </row>
    <row r="467" spans="1:17" x14ac:dyDescent="0.3">
      <c r="A467" t="s">
        <v>17</v>
      </c>
      <c r="B467" t="str">
        <f>"600561"</f>
        <v>600561</v>
      </c>
      <c r="C467" t="s">
        <v>1132</v>
      </c>
      <c r="D467" t="s">
        <v>1133</v>
      </c>
      <c r="F467">
        <v>0</v>
      </c>
      <c r="G467">
        <v>0</v>
      </c>
      <c r="P467">
        <v>59</v>
      </c>
      <c r="Q467" t="s">
        <v>1134</v>
      </c>
    </row>
    <row r="468" spans="1:17" x14ac:dyDescent="0.3">
      <c r="A468" t="s">
        <v>17</v>
      </c>
      <c r="B468" t="str">
        <f>"600562"</f>
        <v>600562</v>
      </c>
      <c r="C468" t="s">
        <v>1135</v>
      </c>
      <c r="D468" t="s">
        <v>1136</v>
      </c>
      <c r="F468">
        <v>184592075</v>
      </c>
      <c r="G468">
        <v>174699421</v>
      </c>
      <c r="H468">
        <v>67001153</v>
      </c>
      <c r="I468">
        <v>68730894</v>
      </c>
      <c r="P468">
        <v>283</v>
      </c>
      <c r="Q468" t="s">
        <v>1137</v>
      </c>
    </row>
    <row r="469" spans="1:17" x14ac:dyDescent="0.3">
      <c r="A469" t="s">
        <v>17</v>
      </c>
      <c r="B469" t="str">
        <f>"600563"</f>
        <v>600563</v>
      </c>
      <c r="C469" t="s">
        <v>1138</v>
      </c>
      <c r="D469" t="s">
        <v>546</v>
      </c>
      <c r="F469">
        <v>107390619</v>
      </c>
      <c r="G469">
        <v>75274311</v>
      </c>
      <c r="H469">
        <v>68972877</v>
      </c>
      <c r="I469">
        <v>71472665</v>
      </c>
      <c r="P469">
        <v>21654</v>
      </c>
      <c r="Q469" t="s">
        <v>1139</v>
      </c>
    </row>
    <row r="470" spans="1:17" x14ac:dyDescent="0.3">
      <c r="A470" t="s">
        <v>17</v>
      </c>
      <c r="B470" t="str">
        <f>"600565"</f>
        <v>600565</v>
      </c>
      <c r="C470" t="s">
        <v>1140</v>
      </c>
      <c r="D470" t="s">
        <v>104</v>
      </c>
      <c r="F470">
        <v>60884172</v>
      </c>
      <c r="G470">
        <v>45686684</v>
      </c>
      <c r="H470">
        <v>53498366</v>
      </c>
      <c r="I470">
        <v>42256574</v>
      </c>
      <c r="K470">
        <v>0</v>
      </c>
      <c r="P470">
        <v>468</v>
      </c>
      <c r="Q470" t="s">
        <v>1141</v>
      </c>
    </row>
    <row r="471" spans="1:17" x14ac:dyDescent="0.3">
      <c r="A471" t="s">
        <v>17</v>
      </c>
      <c r="B471" t="str">
        <f>"600566"</f>
        <v>600566</v>
      </c>
      <c r="C471" t="s">
        <v>1142</v>
      </c>
      <c r="D471" t="s">
        <v>188</v>
      </c>
      <c r="F471">
        <v>523444396</v>
      </c>
      <c r="G471">
        <v>243753085</v>
      </c>
      <c r="H471">
        <v>210141594</v>
      </c>
      <c r="I471">
        <v>196480476</v>
      </c>
      <c r="P471">
        <v>13799</v>
      </c>
      <c r="Q471" t="s">
        <v>1143</v>
      </c>
    </row>
    <row r="472" spans="1:17" x14ac:dyDescent="0.3">
      <c r="A472" t="s">
        <v>17</v>
      </c>
      <c r="B472" t="str">
        <f>"600567"</f>
        <v>600567</v>
      </c>
      <c r="C472" t="s">
        <v>1144</v>
      </c>
      <c r="D472" t="s">
        <v>694</v>
      </c>
      <c r="F472">
        <v>870294678</v>
      </c>
      <c r="G472">
        <v>527619383</v>
      </c>
      <c r="H472">
        <v>549416236</v>
      </c>
      <c r="I472">
        <v>591412540</v>
      </c>
      <c r="P472">
        <v>593</v>
      </c>
      <c r="Q472" t="s">
        <v>1145</v>
      </c>
    </row>
    <row r="473" spans="1:17" x14ac:dyDescent="0.3">
      <c r="A473" t="s">
        <v>17</v>
      </c>
      <c r="B473" t="str">
        <f>"600568"</f>
        <v>600568</v>
      </c>
      <c r="C473" t="s">
        <v>1146</v>
      </c>
      <c r="D473" t="s">
        <v>1147</v>
      </c>
      <c r="F473">
        <v>24682459</v>
      </c>
      <c r="G473">
        <v>23435485</v>
      </c>
      <c r="H473">
        <v>61277295</v>
      </c>
      <c r="I473">
        <v>55456286</v>
      </c>
      <c r="P473">
        <v>98</v>
      </c>
      <c r="Q473" t="s">
        <v>1148</v>
      </c>
    </row>
    <row r="474" spans="1:17" x14ac:dyDescent="0.3">
      <c r="A474" t="s">
        <v>17</v>
      </c>
      <c r="B474" t="str">
        <f>"600569"</f>
        <v>600569</v>
      </c>
      <c r="C474" t="s">
        <v>1149</v>
      </c>
      <c r="D474" t="s">
        <v>38</v>
      </c>
      <c r="F474">
        <v>1390647879</v>
      </c>
      <c r="G474">
        <v>851932388</v>
      </c>
      <c r="H474">
        <v>483616656</v>
      </c>
      <c r="I474">
        <v>2501093</v>
      </c>
      <c r="P474">
        <v>329</v>
      </c>
      <c r="Q474" t="s">
        <v>1150</v>
      </c>
    </row>
    <row r="475" spans="1:17" x14ac:dyDescent="0.3">
      <c r="A475" t="s">
        <v>17</v>
      </c>
      <c r="B475" t="str">
        <f>"600570"</f>
        <v>600570</v>
      </c>
      <c r="C475" t="s">
        <v>1151</v>
      </c>
      <c r="D475" t="s">
        <v>945</v>
      </c>
      <c r="F475">
        <v>2139296366</v>
      </c>
      <c r="G475">
        <v>1496058838</v>
      </c>
      <c r="H475">
        <v>1560031918</v>
      </c>
      <c r="I475">
        <v>1404668842</v>
      </c>
      <c r="P475">
        <v>2781</v>
      </c>
      <c r="Q475" t="s">
        <v>1152</v>
      </c>
    </row>
    <row r="476" spans="1:17" x14ac:dyDescent="0.3">
      <c r="A476" t="s">
        <v>17</v>
      </c>
      <c r="B476" t="str">
        <f>"600571"</f>
        <v>600571</v>
      </c>
      <c r="C476" t="s">
        <v>1153</v>
      </c>
      <c r="D476" t="s">
        <v>316</v>
      </c>
      <c r="F476">
        <v>421909342</v>
      </c>
      <c r="G476">
        <v>397311262</v>
      </c>
      <c r="H476">
        <v>410623099</v>
      </c>
      <c r="I476">
        <v>418673577</v>
      </c>
      <c r="P476">
        <v>155</v>
      </c>
      <c r="Q476" t="s">
        <v>1154</v>
      </c>
    </row>
    <row r="477" spans="1:17" x14ac:dyDescent="0.3">
      <c r="A477" t="s">
        <v>17</v>
      </c>
      <c r="B477" t="str">
        <f>"600572"</f>
        <v>600572</v>
      </c>
      <c r="C477" t="s">
        <v>1155</v>
      </c>
      <c r="D477" t="s">
        <v>188</v>
      </c>
      <c r="F477">
        <v>197448908</v>
      </c>
      <c r="G477">
        <v>184987083</v>
      </c>
      <c r="H477">
        <v>183016889</v>
      </c>
      <c r="I477">
        <v>183388885</v>
      </c>
      <c r="P477">
        <v>467</v>
      </c>
      <c r="Q477" t="s">
        <v>1156</v>
      </c>
    </row>
    <row r="478" spans="1:17" x14ac:dyDescent="0.3">
      <c r="A478" t="s">
        <v>17</v>
      </c>
      <c r="B478" t="str">
        <f>"600573"</f>
        <v>600573</v>
      </c>
      <c r="C478" t="s">
        <v>1157</v>
      </c>
      <c r="D478" t="s">
        <v>319</v>
      </c>
      <c r="F478">
        <v>21413451</v>
      </c>
      <c r="G478">
        <v>17075259</v>
      </c>
      <c r="H478">
        <v>11887317</v>
      </c>
      <c r="I478">
        <v>3957291</v>
      </c>
      <c r="P478">
        <v>191</v>
      </c>
      <c r="Q478" t="s">
        <v>1158</v>
      </c>
    </row>
    <row r="479" spans="1:17" x14ac:dyDescent="0.3">
      <c r="A479" t="s">
        <v>17</v>
      </c>
      <c r="B479" t="str">
        <f>"600575"</f>
        <v>600575</v>
      </c>
      <c r="C479" t="s">
        <v>1159</v>
      </c>
      <c r="D479" t="s">
        <v>301</v>
      </c>
      <c r="F479">
        <v>101030216</v>
      </c>
      <c r="G479">
        <v>7092822</v>
      </c>
      <c r="H479">
        <v>353357</v>
      </c>
      <c r="I479">
        <v>669431</v>
      </c>
      <c r="P479">
        <v>118</v>
      </c>
      <c r="Q479" t="s">
        <v>1160</v>
      </c>
    </row>
    <row r="480" spans="1:17" x14ac:dyDescent="0.3">
      <c r="A480" t="s">
        <v>17</v>
      </c>
      <c r="B480" t="str">
        <f>"600576"</f>
        <v>600576</v>
      </c>
      <c r="C480" t="s">
        <v>1161</v>
      </c>
      <c r="D480" t="s">
        <v>113</v>
      </c>
      <c r="F480">
        <v>4237963</v>
      </c>
      <c r="G480">
        <v>2023552</v>
      </c>
      <c r="H480">
        <v>23878605</v>
      </c>
      <c r="I480">
        <v>45690362</v>
      </c>
      <c r="P480">
        <v>85</v>
      </c>
      <c r="Q480" t="s">
        <v>1162</v>
      </c>
    </row>
    <row r="481" spans="1:17" x14ac:dyDescent="0.3">
      <c r="A481" t="s">
        <v>17</v>
      </c>
      <c r="B481" t="str">
        <f>"600577"</f>
        <v>600577</v>
      </c>
      <c r="C481" t="s">
        <v>1163</v>
      </c>
      <c r="D481" t="s">
        <v>1164</v>
      </c>
      <c r="F481">
        <v>181928853</v>
      </c>
      <c r="G481">
        <v>150786770</v>
      </c>
      <c r="H481">
        <v>186961893</v>
      </c>
      <c r="I481">
        <v>204461379</v>
      </c>
      <c r="P481">
        <v>246</v>
      </c>
      <c r="Q481" t="s">
        <v>1165</v>
      </c>
    </row>
    <row r="482" spans="1:17" x14ac:dyDescent="0.3">
      <c r="A482" t="s">
        <v>17</v>
      </c>
      <c r="B482" t="str">
        <f>"600578"</f>
        <v>600578</v>
      </c>
      <c r="C482" t="s">
        <v>1166</v>
      </c>
      <c r="D482" t="s">
        <v>41</v>
      </c>
      <c r="F482">
        <v>55537597</v>
      </c>
      <c r="G482">
        <v>56878025</v>
      </c>
      <c r="H482">
        <v>43941317</v>
      </c>
      <c r="I482">
        <v>1240292</v>
      </c>
      <c r="P482">
        <v>355</v>
      </c>
      <c r="Q482" t="s">
        <v>1167</v>
      </c>
    </row>
    <row r="483" spans="1:17" x14ac:dyDescent="0.3">
      <c r="A483" t="s">
        <v>17</v>
      </c>
      <c r="B483" t="str">
        <f>"600579"</f>
        <v>600579</v>
      </c>
      <c r="C483" t="s">
        <v>1168</v>
      </c>
      <c r="D483" t="s">
        <v>741</v>
      </c>
      <c r="F483">
        <v>256462742</v>
      </c>
      <c r="G483">
        <v>193609583</v>
      </c>
      <c r="H483">
        <v>164083090</v>
      </c>
      <c r="I483">
        <v>198423855</v>
      </c>
      <c r="P483">
        <v>72</v>
      </c>
      <c r="Q483" t="s">
        <v>1169</v>
      </c>
    </row>
    <row r="484" spans="1:17" x14ac:dyDescent="0.3">
      <c r="A484" t="s">
        <v>17</v>
      </c>
      <c r="B484" t="str">
        <f>"600580"</f>
        <v>600580</v>
      </c>
      <c r="C484" t="s">
        <v>1170</v>
      </c>
      <c r="D484" t="s">
        <v>1171</v>
      </c>
      <c r="F484">
        <v>514695903</v>
      </c>
      <c r="G484">
        <v>401057753</v>
      </c>
      <c r="H484">
        <v>371313597</v>
      </c>
      <c r="I484">
        <v>256252660</v>
      </c>
      <c r="P484">
        <v>400</v>
      </c>
      <c r="Q484" t="s">
        <v>1172</v>
      </c>
    </row>
    <row r="485" spans="1:17" x14ac:dyDescent="0.3">
      <c r="A485" t="s">
        <v>17</v>
      </c>
      <c r="B485" t="str">
        <f>"600581"</f>
        <v>600581</v>
      </c>
      <c r="C485" t="s">
        <v>1173</v>
      </c>
      <c r="D485" t="s">
        <v>38</v>
      </c>
      <c r="F485">
        <v>423542981</v>
      </c>
      <c r="G485">
        <v>216970742</v>
      </c>
      <c r="H485">
        <v>72558043</v>
      </c>
      <c r="I485">
        <v>30860896</v>
      </c>
      <c r="P485">
        <v>265</v>
      </c>
      <c r="Q485" t="s">
        <v>1174</v>
      </c>
    </row>
    <row r="486" spans="1:17" x14ac:dyDescent="0.3">
      <c r="A486" t="s">
        <v>17</v>
      </c>
      <c r="B486" t="str">
        <f>"600582"</f>
        <v>600582</v>
      </c>
      <c r="C486" t="s">
        <v>1175</v>
      </c>
      <c r="D486" t="s">
        <v>395</v>
      </c>
      <c r="F486">
        <v>1488421869</v>
      </c>
      <c r="G486">
        <v>1184356002</v>
      </c>
      <c r="H486">
        <v>975011522</v>
      </c>
      <c r="I486">
        <v>783641477</v>
      </c>
      <c r="P486">
        <v>396</v>
      </c>
      <c r="Q486" t="s">
        <v>1176</v>
      </c>
    </row>
    <row r="487" spans="1:17" x14ac:dyDescent="0.3">
      <c r="A487" t="s">
        <v>17</v>
      </c>
      <c r="B487" t="str">
        <f>"600583"</f>
        <v>600583</v>
      </c>
      <c r="C487" t="s">
        <v>1177</v>
      </c>
      <c r="D487" t="s">
        <v>762</v>
      </c>
      <c r="F487">
        <v>928818700</v>
      </c>
      <c r="G487">
        <v>982709219</v>
      </c>
      <c r="H487">
        <v>874350962</v>
      </c>
      <c r="I487">
        <v>669498092</v>
      </c>
      <c r="P487">
        <v>359</v>
      </c>
      <c r="Q487" t="s">
        <v>1178</v>
      </c>
    </row>
    <row r="488" spans="1:17" x14ac:dyDescent="0.3">
      <c r="A488" t="s">
        <v>17</v>
      </c>
      <c r="B488" t="str">
        <f>"600584"</f>
        <v>600584</v>
      </c>
      <c r="C488" t="s">
        <v>1179</v>
      </c>
      <c r="D488" t="s">
        <v>1180</v>
      </c>
      <c r="F488">
        <v>1185666526</v>
      </c>
      <c r="G488">
        <v>1019477425</v>
      </c>
      <c r="H488">
        <v>968754250</v>
      </c>
      <c r="I488">
        <v>888385192</v>
      </c>
      <c r="P488">
        <v>1664</v>
      </c>
      <c r="Q488" t="s">
        <v>1181</v>
      </c>
    </row>
    <row r="489" spans="1:17" x14ac:dyDescent="0.3">
      <c r="A489" t="s">
        <v>17</v>
      </c>
      <c r="B489" t="str">
        <f>"600585"</f>
        <v>600585</v>
      </c>
      <c r="C489" t="s">
        <v>1182</v>
      </c>
      <c r="D489" t="s">
        <v>731</v>
      </c>
      <c r="F489">
        <v>1317331734</v>
      </c>
      <c r="G489">
        <v>646582340</v>
      </c>
      <c r="H489">
        <v>187198737</v>
      </c>
      <c r="I489">
        <v>70967313</v>
      </c>
      <c r="P489">
        <v>8410</v>
      </c>
      <c r="Q489" t="s">
        <v>1183</v>
      </c>
    </row>
    <row r="490" spans="1:17" x14ac:dyDescent="0.3">
      <c r="A490" t="s">
        <v>17</v>
      </c>
      <c r="B490" t="str">
        <f>"600586"</f>
        <v>600586</v>
      </c>
      <c r="C490" t="s">
        <v>1184</v>
      </c>
      <c r="D490" t="s">
        <v>666</v>
      </c>
      <c r="F490">
        <v>199799922</v>
      </c>
      <c r="G490">
        <v>128985184</v>
      </c>
      <c r="H490">
        <v>143527774</v>
      </c>
      <c r="I490">
        <v>106290414</v>
      </c>
      <c r="P490">
        <v>245</v>
      </c>
      <c r="Q490" t="s">
        <v>1185</v>
      </c>
    </row>
    <row r="491" spans="1:17" x14ac:dyDescent="0.3">
      <c r="A491" t="s">
        <v>17</v>
      </c>
      <c r="B491" t="str">
        <f>"600587"</f>
        <v>600587</v>
      </c>
      <c r="C491" t="s">
        <v>1186</v>
      </c>
      <c r="D491" t="s">
        <v>122</v>
      </c>
      <c r="F491">
        <v>295979604</v>
      </c>
      <c r="G491">
        <v>197533285</v>
      </c>
      <c r="H491">
        <v>164081575</v>
      </c>
      <c r="I491">
        <v>124878776</v>
      </c>
      <c r="P491">
        <v>535</v>
      </c>
      <c r="Q491" t="s">
        <v>1187</v>
      </c>
    </row>
    <row r="492" spans="1:17" x14ac:dyDescent="0.3">
      <c r="A492" t="s">
        <v>17</v>
      </c>
      <c r="B492" t="str">
        <f>"600588"</f>
        <v>600588</v>
      </c>
      <c r="C492" t="s">
        <v>1188</v>
      </c>
      <c r="D492" t="s">
        <v>1189</v>
      </c>
      <c r="F492">
        <v>1703648330</v>
      </c>
      <c r="G492">
        <v>1458677615</v>
      </c>
      <c r="H492">
        <v>1630127520</v>
      </c>
      <c r="I492">
        <v>1300734561</v>
      </c>
      <c r="P492">
        <v>4576</v>
      </c>
      <c r="Q492" t="s">
        <v>1190</v>
      </c>
    </row>
    <row r="493" spans="1:17" x14ac:dyDescent="0.3">
      <c r="A493" t="s">
        <v>17</v>
      </c>
      <c r="B493" t="str">
        <f>"600589"</f>
        <v>600589</v>
      </c>
      <c r="C493" t="s">
        <v>1191</v>
      </c>
      <c r="D493" t="s">
        <v>1192</v>
      </c>
      <c r="F493">
        <v>36798270</v>
      </c>
      <c r="G493">
        <v>49781833</v>
      </c>
      <c r="H493">
        <v>57609390</v>
      </c>
      <c r="I493">
        <v>52204151</v>
      </c>
      <c r="P493">
        <v>74</v>
      </c>
      <c r="Q493" t="s">
        <v>1193</v>
      </c>
    </row>
    <row r="494" spans="1:17" x14ac:dyDescent="0.3">
      <c r="A494" t="s">
        <v>17</v>
      </c>
      <c r="B494" t="str">
        <f>"600590"</f>
        <v>600590</v>
      </c>
      <c r="C494" t="s">
        <v>1194</v>
      </c>
      <c r="D494" t="s">
        <v>610</v>
      </c>
      <c r="F494">
        <v>340229082</v>
      </c>
      <c r="G494">
        <v>189716542</v>
      </c>
      <c r="H494">
        <v>187466183</v>
      </c>
      <c r="I494">
        <v>178330686</v>
      </c>
      <c r="P494">
        <v>168</v>
      </c>
      <c r="Q494" t="s">
        <v>1195</v>
      </c>
    </row>
    <row r="495" spans="1:17" x14ac:dyDescent="0.3">
      <c r="A495" t="s">
        <v>17</v>
      </c>
      <c r="B495" t="str">
        <f>"600592"</f>
        <v>600592</v>
      </c>
      <c r="C495" t="s">
        <v>1196</v>
      </c>
      <c r="D495" t="s">
        <v>274</v>
      </c>
      <c r="F495">
        <v>108736524</v>
      </c>
      <c r="G495">
        <v>107985551</v>
      </c>
      <c r="H495">
        <v>91044082</v>
      </c>
      <c r="I495">
        <v>87038057</v>
      </c>
      <c r="P495">
        <v>75</v>
      </c>
      <c r="Q495" t="s">
        <v>1197</v>
      </c>
    </row>
    <row r="496" spans="1:17" x14ac:dyDescent="0.3">
      <c r="A496" t="s">
        <v>17</v>
      </c>
      <c r="B496" t="str">
        <f>"600593"</f>
        <v>600593</v>
      </c>
      <c r="C496" t="s">
        <v>1198</v>
      </c>
      <c r="D496" t="s">
        <v>333</v>
      </c>
      <c r="F496">
        <v>85964</v>
      </c>
      <c r="G496">
        <v>52054</v>
      </c>
      <c r="H496">
        <v>235580</v>
      </c>
      <c r="I496">
        <v>172699</v>
      </c>
      <c r="P496">
        <v>123</v>
      </c>
      <c r="Q496" t="s">
        <v>1199</v>
      </c>
    </row>
    <row r="497" spans="1:17" x14ac:dyDescent="0.3">
      <c r="A497" t="s">
        <v>17</v>
      </c>
      <c r="B497" t="str">
        <f>"600594"</f>
        <v>600594</v>
      </c>
      <c r="C497" t="s">
        <v>1200</v>
      </c>
      <c r="D497" t="s">
        <v>188</v>
      </c>
      <c r="F497">
        <v>136074703</v>
      </c>
      <c r="G497">
        <v>145999159</v>
      </c>
      <c r="H497">
        <v>118548873</v>
      </c>
      <c r="I497">
        <v>76775465</v>
      </c>
      <c r="P497">
        <v>312</v>
      </c>
      <c r="Q497" t="s">
        <v>1201</v>
      </c>
    </row>
    <row r="498" spans="1:17" x14ac:dyDescent="0.3">
      <c r="A498" t="s">
        <v>17</v>
      </c>
      <c r="B498" t="str">
        <f>"600595"</f>
        <v>600595</v>
      </c>
      <c r="C498" t="s">
        <v>1202</v>
      </c>
      <c r="D498" t="s">
        <v>504</v>
      </c>
      <c r="F498">
        <v>779405563</v>
      </c>
      <c r="G498">
        <v>399916287</v>
      </c>
      <c r="H498">
        <v>313993647</v>
      </c>
      <c r="I498">
        <v>270159030</v>
      </c>
      <c r="P498">
        <v>68</v>
      </c>
      <c r="Q498" t="s">
        <v>1203</v>
      </c>
    </row>
    <row r="499" spans="1:17" x14ac:dyDescent="0.3">
      <c r="A499" t="s">
        <v>17</v>
      </c>
      <c r="B499" t="str">
        <f>"600596"</f>
        <v>600596</v>
      </c>
      <c r="C499" t="s">
        <v>1204</v>
      </c>
      <c r="D499" t="s">
        <v>1205</v>
      </c>
      <c r="F499">
        <v>571786540</v>
      </c>
      <c r="G499">
        <v>353134724</v>
      </c>
      <c r="H499">
        <v>311979257</v>
      </c>
      <c r="I499">
        <v>308395558</v>
      </c>
      <c r="P499">
        <v>483</v>
      </c>
      <c r="Q499" t="s">
        <v>1206</v>
      </c>
    </row>
    <row r="500" spans="1:17" x14ac:dyDescent="0.3">
      <c r="A500" t="s">
        <v>17</v>
      </c>
      <c r="B500" t="str">
        <f>"600597"</f>
        <v>600597</v>
      </c>
      <c r="C500" t="s">
        <v>1207</v>
      </c>
      <c r="D500" t="s">
        <v>900</v>
      </c>
      <c r="F500">
        <v>89259433</v>
      </c>
      <c r="G500">
        <v>72844897</v>
      </c>
      <c r="H500">
        <v>68140427</v>
      </c>
      <c r="I500">
        <v>58513339</v>
      </c>
      <c r="P500">
        <v>1247</v>
      </c>
      <c r="Q500" t="s">
        <v>1208</v>
      </c>
    </row>
    <row r="501" spans="1:17" x14ac:dyDescent="0.3">
      <c r="A501" t="s">
        <v>17</v>
      </c>
      <c r="B501" t="str">
        <f>"600598"</f>
        <v>600598</v>
      </c>
      <c r="C501" t="s">
        <v>1209</v>
      </c>
      <c r="D501" t="s">
        <v>1210</v>
      </c>
      <c r="F501">
        <v>55128299</v>
      </c>
      <c r="G501">
        <v>16098410</v>
      </c>
      <c r="H501">
        <v>14309323</v>
      </c>
      <c r="I501">
        <v>15723028</v>
      </c>
      <c r="P501">
        <v>1084</v>
      </c>
      <c r="Q501" t="s">
        <v>1211</v>
      </c>
    </row>
    <row r="502" spans="1:17" x14ac:dyDescent="0.3">
      <c r="A502" t="s">
        <v>17</v>
      </c>
      <c r="B502" t="str">
        <f>"600599"</f>
        <v>600599</v>
      </c>
      <c r="C502" t="s">
        <v>1212</v>
      </c>
      <c r="D502" t="s">
        <v>140</v>
      </c>
      <c r="F502">
        <v>0</v>
      </c>
      <c r="G502">
        <v>0</v>
      </c>
      <c r="I502">
        <v>8065820</v>
      </c>
      <c r="P502">
        <v>54</v>
      </c>
      <c r="Q502" t="s">
        <v>1213</v>
      </c>
    </row>
    <row r="503" spans="1:17" x14ac:dyDescent="0.3">
      <c r="A503" t="s">
        <v>17</v>
      </c>
      <c r="B503" t="str">
        <f>"600600"</f>
        <v>600600</v>
      </c>
      <c r="C503" t="s">
        <v>1214</v>
      </c>
      <c r="D503" t="s">
        <v>319</v>
      </c>
      <c r="F503">
        <v>30890245</v>
      </c>
      <c r="G503">
        <v>21467092</v>
      </c>
      <c r="H503">
        <v>21088710</v>
      </c>
      <c r="I503">
        <v>19755502</v>
      </c>
      <c r="P503">
        <v>2021</v>
      </c>
      <c r="Q503" t="s">
        <v>1215</v>
      </c>
    </row>
    <row r="504" spans="1:17" x14ac:dyDescent="0.3">
      <c r="A504" t="s">
        <v>17</v>
      </c>
      <c r="B504" t="str">
        <f>"600601"</f>
        <v>600601</v>
      </c>
      <c r="C504" t="s">
        <v>1216</v>
      </c>
      <c r="D504" t="s">
        <v>425</v>
      </c>
      <c r="F504">
        <v>289292777</v>
      </c>
      <c r="G504">
        <v>306803546</v>
      </c>
      <c r="H504">
        <v>277360959</v>
      </c>
      <c r="I504">
        <v>236204426</v>
      </c>
      <c r="P504">
        <v>228</v>
      </c>
      <c r="Q504" t="s">
        <v>1217</v>
      </c>
    </row>
    <row r="505" spans="1:17" x14ac:dyDescent="0.3">
      <c r="A505" t="s">
        <v>17</v>
      </c>
      <c r="B505" t="str">
        <f>"600602"</f>
        <v>600602</v>
      </c>
      <c r="C505" t="s">
        <v>1218</v>
      </c>
      <c r="D505" t="s">
        <v>945</v>
      </c>
      <c r="F505">
        <v>370421843</v>
      </c>
      <c r="G505">
        <v>299107746</v>
      </c>
      <c r="H505">
        <v>329255037</v>
      </c>
      <c r="I505">
        <v>301428353</v>
      </c>
      <c r="P505">
        <v>136</v>
      </c>
      <c r="Q505" t="s">
        <v>1219</v>
      </c>
    </row>
    <row r="506" spans="1:17" x14ac:dyDescent="0.3">
      <c r="A506" t="s">
        <v>17</v>
      </c>
      <c r="B506" t="str">
        <f>"600603"</f>
        <v>600603</v>
      </c>
      <c r="C506" t="s">
        <v>1220</v>
      </c>
      <c r="D506" t="s">
        <v>104</v>
      </c>
      <c r="F506">
        <v>0</v>
      </c>
      <c r="G506">
        <v>0</v>
      </c>
      <c r="P506">
        <v>510</v>
      </c>
      <c r="Q506" t="s">
        <v>1221</v>
      </c>
    </row>
    <row r="507" spans="1:17" x14ac:dyDescent="0.3">
      <c r="A507" t="s">
        <v>17</v>
      </c>
      <c r="B507" t="str">
        <f>"600604"</f>
        <v>600604</v>
      </c>
      <c r="C507" t="s">
        <v>1222</v>
      </c>
      <c r="D507" t="s">
        <v>194</v>
      </c>
      <c r="F507">
        <v>0</v>
      </c>
      <c r="G507">
        <v>0</v>
      </c>
      <c r="P507">
        <v>137</v>
      </c>
      <c r="Q507" t="s">
        <v>1223</v>
      </c>
    </row>
    <row r="508" spans="1:17" x14ac:dyDescent="0.3">
      <c r="A508" t="s">
        <v>17</v>
      </c>
      <c r="B508" t="str">
        <f>"600605"</f>
        <v>600605</v>
      </c>
      <c r="C508" t="s">
        <v>1224</v>
      </c>
      <c r="D508" t="s">
        <v>271</v>
      </c>
      <c r="F508">
        <v>0</v>
      </c>
      <c r="G508">
        <v>0</v>
      </c>
      <c r="P508">
        <v>71</v>
      </c>
      <c r="Q508" t="s">
        <v>1225</v>
      </c>
    </row>
    <row r="509" spans="1:17" x14ac:dyDescent="0.3">
      <c r="A509" t="s">
        <v>17</v>
      </c>
      <c r="B509" t="str">
        <f>"600606"</f>
        <v>600606</v>
      </c>
      <c r="C509" t="s">
        <v>1226</v>
      </c>
      <c r="D509" t="s">
        <v>104</v>
      </c>
      <c r="F509">
        <v>1740903903</v>
      </c>
      <c r="G509">
        <v>1182333390</v>
      </c>
      <c r="H509">
        <v>1012828337</v>
      </c>
      <c r="I509">
        <v>62217200</v>
      </c>
      <c r="P509">
        <v>1970</v>
      </c>
      <c r="Q509" t="s">
        <v>1227</v>
      </c>
    </row>
    <row r="510" spans="1:17" x14ac:dyDescent="0.3">
      <c r="A510" t="s">
        <v>17</v>
      </c>
      <c r="B510" t="str">
        <f>"600608"</f>
        <v>600608</v>
      </c>
      <c r="C510" t="s">
        <v>1228</v>
      </c>
      <c r="D510" t="s">
        <v>131</v>
      </c>
      <c r="F510">
        <v>0</v>
      </c>
      <c r="G510">
        <v>0</v>
      </c>
      <c r="P510">
        <v>47</v>
      </c>
      <c r="Q510" t="s">
        <v>1229</v>
      </c>
    </row>
    <row r="511" spans="1:17" x14ac:dyDescent="0.3">
      <c r="A511" t="s">
        <v>17</v>
      </c>
      <c r="B511" t="str">
        <f>"600609"</f>
        <v>600609</v>
      </c>
      <c r="C511" t="s">
        <v>1230</v>
      </c>
      <c r="D511" t="s">
        <v>191</v>
      </c>
      <c r="F511">
        <v>169516658</v>
      </c>
      <c r="G511">
        <v>183529563</v>
      </c>
      <c r="H511">
        <v>58117909</v>
      </c>
      <c r="I511">
        <v>28467506</v>
      </c>
      <c r="P511">
        <v>128</v>
      </c>
      <c r="Q511" t="s">
        <v>1231</v>
      </c>
    </row>
    <row r="512" spans="1:17" x14ac:dyDescent="0.3">
      <c r="A512" t="s">
        <v>17</v>
      </c>
      <c r="B512" t="str">
        <f>"600610"</f>
        <v>600610</v>
      </c>
      <c r="C512" t="s">
        <v>1232</v>
      </c>
      <c r="D512" t="s">
        <v>1233</v>
      </c>
      <c r="F512">
        <v>15080068</v>
      </c>
      <c r="G512">
        <v>8570167</v>
      </c>
      <c r="H512">
        <v>2811600</v>
      </c>
      <c r="P512">
        <v>91</v>
      </c>
      <c r="Q512" t="s">
        <v>1234</v>
      </c>
    </row>
    <row r="513" spans="1:17" x14ac:dyDescent="0.3">
      <c r="A513" t="s">
        <v>17</v>
      </c>
      <c r="B513" t="str">
        <f>"600611"</f>
        <v>600611</v>
      </c>
      <c r="C513" t="s">
        <v>1235</v>
      </c>
      <c r="D513" t="s">
        <v>1133</v>
      </c>
      <c r="F513">
        <v>5857214</v>
      </c>
      <c r="G513">
        <v>5202535</v>
      </c>
      <c r="H513">
        <v>6211056</v>
      </c>
      <c r="I513">
        <v>6562257</v>
      </c>
      <c r="P513">
        <v>243</v>
      </c>
      <c r="Q513" t="s">
        <v>1236</v>
      </c>
    </row>
    <row r="514" spans="1:17" x14ac:dyDescent="0.3">
      <c r="A514" t="s">
        <v>17</v>
      </c>
      <c r="B514" t="str">
        <f>"600612"</f>
        <v>600612</v>
      </c>
      <c r="C514" t="s">
        <v>1237</v>
      </c>
      <c r="D514" t="s">
        <v>1238</v>
      </c>
      <c r="F514">
        <v>30799973</v>
      </c>
      <c r="G514">
        <v>20011625</v>
      </c>
      <c r="H514">
        <v>22166397</v>
      </c>
      <c r="I514">
        <v>20346863</v>
      </c>
      <c r="P514">
        <v>45896</v>
      </c>
      <c r="Q514" t="s">
        <v>1239</v>
      </c>
    </row>
    <row r="515" spans="1:17" x14ac:dyDescent="0.3">
      <c r="A515" t="s">
        <v>17</v>
      </c>
      <c r="B515" t="str">
        <f>"600613"</f>
        <v>600613</v>
      </c>
      <c r="C515" t="s">
        <v>1240</v>
      </c>
      <c r="D515" t="s">
        <v>143</v>
      </c>
      <c r="F515">
        <v>50947522</v>
      </c>
      <c r="G515">
        <v>42790644</v>
      </c>
      <c r="H515">
        <v>19959124</v>
      </c>
      <c r="I515">
        <v>22847987</v>
      </c>
      <c r="P515">
        <v>121</v>
      </c>
      <c r="Q515" t="s">
        <v>1241</v>
      </c>
    </row>
    <row r="516" spans="1:17" x14ac:dyDescent="0.3">
      <c r="A516" t="s">
        <v>17</v>
      </c>
      <c r="B516" t="str">
        <f>"600614"</f>
        <v>600614</v>
      </c>
      <c r="C516" t="s">
        <v>1242</v>
      </c>
      <c r="G516">
        <v>11459886</v>
      </c>
      <c r="H516">
        <v>65986012</v>
      </c>
      <c r="I516">
        <v>75784875</v>
      </c>
      <c r="P516">
        <v>55</v>
      </c>
      <c r="Q516" t="s">
        <v>1243</v>
      </c>
    </row>
    <row r="517" spans="1:17" x14ac:dyDescent="0.3">
      <c r="A517" t="s">
        <v>17</v>
      </c>
      <c r="B517" t="str">
        <f>"600615"</f>
        <v>600615</v>
      </c>
      <c r="C517" t="s">
        <v>1244</v>
      </c>
      <c r="D517" t="s">
        <v>636</v>
      </c>
      <c r="F517">
        <v>0</v>
      </c>
      <c r="G517">
        <v>0</v>
      </c>
      <c r="P517">
        <v>66</v>
      </c>
      <c r="Q517" t="s">
        <v>1245</v>
      </c>
    </row>
    <row r="518" spans="1:17" x14ac:dyDescent="0.3">
      <c r="A518" t="s">
        <v>17</v>
      </c>
      <c r="B518" t="str">
        <f>"600616"</f>
        <v>600616</v>
      </c>
      <c r="C518" t="s">
        <v>1246</v>
      </c>
      <c r="D518" t="s">
        <v>134</v>
      </c>
      <c r="F518">
        <v>3015107</v>
      </c>
      <c r="G518">
        <v>3552890</v>
      </c>
      <c r="H518">
        <v>3456421</v>
      </c>
      <c r="I518">
        <v>3632452</v>
      </c>
      <c r="P518">
        <v>180</v>
      </c>
      <c r="Q518" t="s">
        <v>1247</v>
      </c>
    </row>
    <row r="519" spans="1:17" x14ac:dyDescent="0.3">
      <c r="A519" t="s">
        <v>17</v>
      </c>
      <c r="B519" t="str">
        <f>"600617"</f>
        <v>600617</v>
      </c>
      <c r="C519" t="s">
        <v>1248</v>
      </c>
      <c r="D519" t="s">
        <v>749</v>
      </c>
      <c r="F519">
        <v>18063116</v>
      </c>
      <c r="G519">
        <v>16911271</v>
      </c>
      <c r="H519">
        <v>9057587</v>
      </c>
      <c r="I519">
        <v>4045365</v>
      </c>
      <c r="P519">
        <v>104</v>
      </c>
      <c r="Q519" t="s">
        <v>1249</v>
      </c>
    </row>
    <row r="520" spans="1:17" x14ac:dyDescent="0.3">
      <c r="A520" t="s">
        <v>17</v>
      </c>
      <c r="B520" t="str">
        <f>"600618"</f>
        <v>600618</v>
      </c>
      <c r="C520" t="s">
        <v>1250</v>
      </c>
      <c r="D520" t="s">
        <v>175</v>
      </c>
      <c r="F520">
        <v>169896414</v>
      </c>
      <c r="G520">
        <v>120902537</v>
      </c>
      <c r="H520">
        <v>148703613</v>
      </c>
      <c r="I520">
        <v>143083489</v>
      </c>
      <c r="P520">
        <v>252</v>
      </c>
      <c r="Q520" t="s">
        <v>1251</v>
      </c>
    </row>
    <row r="521" spans="1:17" x14ac:dyDescent="0.3">
      <c r="A521" t="s">
        <v>17</v>
      </c>
      <c r="B521" t="str">
        <f>"600619"</f>
        <v>600619</v>
      </c>
      <c r="C521" t="s">
        <v>1252</v>
      </c>
      <c r="D521" t="s">
        <v>1253</v>
      </c>
      <c r="F521">
        <v>728386184</v>
      </c>
      <c r="G521">
        <v>492608926</v>
      </c>
      <c r="H521">
        <v>545893952</v>
      </c>
      <c r="I521">
        <v>454032072</v>
      </c>
      <c r="P521">
        <v>121</v>
      </c>
      <c r="Q521" t="s">
        <v>1254</v>
      </c>
    </row>
    <row r="522" spans="1:17" x14ac:dyDescent="0.3">
      <c r="A522" t="s">
        <v>17</v>
      </c>
      <c r="B522" t="str">
        <f>"600620"</f>
        <v>600620</v>
      </c>
      <c r="C522" t="s">
        <v>1255</v>
      </c>
      <c r="D522" t="s">
        <v>110</v>
      </c>
      <c r="F522">
        <v>0</v>
      </c>
      <c r="G522">
        <v>0</v>
      </c>
      <c r="P522">
        <v>66</v>
      </c>
      <c r="Q522" t="s">
        <v>1256</v>
      </c>
    </row>
    <row r="523" spans="1:17" x14ac:dyDescent="0.3">
      <c r="A523" t="s">
        <v>17</v>
      </c>
      <c r="B523" t="str">
        <f>"600621"</f>
        <v>600621</v>
      </c>
      <c r="C523" t="s">
        <v>1257</v>
      </c>
      <c r="D523" t="s">
        <v>80</v>
      </c>
      <c r="F523">
        <v>34926714</v>
      </c>
      <c r="G523">
        <v>29407247</v>
      </c>
      <c r="I523">
        <v>2169594</v>
      </c>
      <c r="P523">
        <v>594</v>
      </c>
      <c r="Q523" t="s">
        <v>1258</v>
      </c>
    </row>
    <row r="524" spans="1:17" x14ac:dyDescent="0.3">
      <c r="A524" t="s">
        <v>17</v>
      </c>
      <c r="B524" t="str">
        <f>"600622"</f>
        <v>600622</v>
      </c>
      <c r="C524" t="s">
        <v>1259</v>
      </c>
      <c r="D524" t="s">
        <v>104</v>
      </c>
      <c r="F524">
        <v>0</v>
      </c>
      <c r="G524">
        <v>0</v>
      </c>
      <c r="P524">
        <v>246</v>
      </c>
      <c r="Q524" t="s">
        <v>1260</v>
      </c>
    </row>
    <row r="525" spans="1:17" x14ac:dyDescent="0.3">
      <c r="A525" t="s">
        <v>17</v>
      </c>
      <c r="B525" t="str">
        <f>"600623"</f>
        <v>600623</v>
      </c>
      <c r="C525" t="s">
        <v>1261</v>
      </c>
      <c r="D525" t="s">
        <v>914</v>
      </c>
      <c r="F525">
        <v>782223562</v>
      </c>
      <c r="G525">
        <v>500948352</v>
      </c>
      <c r="H525">
        <v>412676827</v>
      </c>
      <c r="I525">
        <v>320580218</v>
      </c>
      <c r="P525">
        <v>241</v>
      </c>
      <c r="Q525" t="s">
        <v>1262</v>
      </c>
    </row>
    <row r="526" spans="1:17" x14ac:dyDescent="0.3">
      <c r="A526" t="s">
        <v>17</v>
      </c>
      <c r="B526" t="str">
        <f>"600624"</f>
        <v>600624</v>
      </c>
      <c r="C526" t="s">
        <v>1263</v>
      </c>
      <c r="D526" t="s">
        <v>143</v>
      </c>
      <c r="F526">
        <v>49022017</v>
      </c>
      <c r="G526">
        <v>50966827</v>
      </c>
      <c r="H526">
        <v>53289577</v>
      </c>
      <c r="I526">
        <v>41385484</v>
      </c>
      <c r="P526">
        <v>122</v>
      </c>
      <c r="Q526" t="s">
        <v>1264</v>
      </c>
    </row>
    <row r="527" spans="1:17" x14ac:dyDescent="0.3">
      <c r="A527" t="s">
        <v>17</v>
      </c>
      <c r="B527" t="str">
        <f>"600625"</f>
        <v>600625</v>
      </c>
      <c r="C527" t="s">
        <v>1265</v>
      </c>
      <c r="P527">
        <v>5</v>
      </c>
      <c r="Q527" t="s">
        <v>1266</v>
      </c>
    </row>
    <row r="528" spans="1:17" x14ac:dyDescent="0.3">
      <c r="A528" t="s">
        <v>17</v>
      </c>
      <c r="B528" t="str">
        <f>"600626"</f>
        <v>600626</v>
      </c>
      <c r="C528" t="s">
        <v>1267</v>
      </c>
      <c r="D528" t="s">
        <v>191</v>
      </c>
      <c r="F528">
        <v>164217455</v>
      </c>
      <c r="G528">
        <v>157448329</v>
      </c>
      <c r="H528">
        <v>255986840</v>
      </c>
      <c r="I528">
        <v>238243602</v>
      </c>
      <c r="P528">
        <v>93</v>
      </c>
      <c r="Q528" t="s">
        <v>1268</v>
      </c>
    </row>
    <row r="529" spans="1:17" x14ac:dyDescent="0.3">
      <c r="A529" t="s">
        <v>17</v>
      </c>
      <c r="B529" t="str">
        <f>"600628"</f>
        <v>600628</v>
      </c>
      <c r="C529" t="s">
        <v>1269</v>
      </c>
      <c r="D529" t="s">
        <v>633</v>
      </c>
      <c r="F529">
        <v>0</v>
      </c>
      <c r="G529">
        <v>0</v>
      </c>
      <c r="P529">
        <v>112</v>
      </c>
      <c r="Q529" t="s">
        <v>1270</v>
      </c>
    </row>
    <row r="530" spans="1:17" x14ac:dyDescent="0.3">
      <c r="A530" t="s">
        <v>17</v>
      </c>
      <c r="B530" t="str">
        <f>"600629"</f>
        <v>600629</v>
      </c>
      <c r="C530" t="s">
        <v>1271</v>
      </c>
      <c r="D530" t="s">
        <v>1272</v>
      </c>
      <c r="F530">
        <v>346624396</v>
      </c>
      <c r="G530">
        <v>298339855</v>
      </c>
      <c r="H530">
        <v>270489042</v>
      </c>
      <c r="I530">
        <v>238036410</v>
      </c>
      <c r="P530">
        <v>151</v>
      </c>
      <c r="Q530" t="s">
        <v>1273</v>
      </c>
    </row>
    <row r="531" spans="1:17" x14ac:dyDescent="0.3">
      <c r="A531" t="s">
        <v>17</v>
      </c>
      <c r="B531" t="str">
        <f>"600630"</f>
        <v>600630</v>
      </c>
      <c r="C531" t="s">
        <v>1274</v>
      </c>
      <c r="D531" t="s">
        <v>255</v>
      </c>
      <c r="F531">
        <v>40993459</v>
      </c>
      <c r="G531">
        <v>41397954</v>
      </c>
      <c r="H531">
        <v>33182068</v>
      </c>
      <c r="I531">
        <v>32008416</v>
      </c>
      <c r="P531">
        <v>110</v>
      </c>
      <c r="Q531" t="s">
        <v>1275</v>
      </c>
    </row>
    <row r="532" spans="1:17" x14ac:dyDescent="0.3">
      <c r="A532" t="s">
        <v>17</v>
      </c>
      <c r="B532" t="str">
        <f>"600631"</f>
        <v>600631</v>
      </c>
      <c r="C532" t="s">
        <v>1276</v>
      </c>
      <c r="P532">
        <v>18</v>
      </c>
      <c r="Q532" t="s">
        <v>1277</v>
      </c>
    </row>
    <row r="533" spans="1:17" x14ac:dyDescent="0.3">
      <c r="A533" t="s">
        <v>17</v>
      </c>
      <c r="B533" t="str">
        <f>"600633"</f>
        <v>600633</v>
      </c>
      <c r="C533" t="s">
        <v>1278</v>
      </c>
      <c r="D533" t="s">
        <v>517</v>
      </c>
      <c r="F533">
        <v>482752486</v>
      </c>
      <c r="G533">
        <v>512601956</v>
      </c>
      <c r="H533">
        <v>429669215</v>
      </c>
      <c r="I533">
        <v>230794083</v>
      </c>
      <c r="P533">
        <v>325</v>
      </c>
      <c r="Q533" t="s">
        <v>1279</v>
      </c>
    </row>
    <row r="534" spans="1:17" x14ac:dyDescent="0.3">
      <c r="A534" t="s">
        <v>17</v>
      </c>
      <c r="B534" t="str">
        <f>"600634"</f>
        <v>600634</v>
      </c>
      <c r="C534" t="s">
        <v>1280</v>
      </c>
      <c r="G534">
        <v>4577501</v>
      </c>
      <c r="H534">
        <v>131466647</v>
      </c>
      <c r="I534">
        <v>94553143</v>
      </c>
      <c r="J534">
        <v>47477721</v>
      </c>
      <c r="P534">
        <v>48</v>
      </c>
      <c r="Q534" t="s">
        <v>1281</v>
      </c>
    </row>
    <row r="535" spans="1:17" x14ac:dyDescent="0.3">
      <c r="A535" t="s">
        <v>17</v>
      </c>
      <c r="B535" t="str">
        <f>"600635"</f>
        <v>600635</v>
      </c>
      <c r="C535" t="s">
        <v>1282</v>
      </c>
      <c r="D535" t="s">
        <v>749</v>
      </c>
      <c r="F535">
        <v>283019</v>
      </c>
      <c r="G535">
        <v>797249</v>
      </c>
      <c r="H535">
        <v>968309</v>
      </c>
      <c r="I535">
        <v>1077593</v>
      </c>
      <c r="P535">
        <v>180</v>
      </c>
      <c r="Q535" t="s">
        <v>1283</v>
      </c>
    </row>
    <row r="536" spans="1:17" x14ac:dyDescent="0.3">
      <c r="A536" t="s">
        <v>17</v>
      </c>
      <c r="B536" t="str">
        <f>"600636"</f>
        <v>600636</v>
      </c>
      <c r="C536" t="s">
        <v>1284</v>
      </c>
      <c r="D536" t="s">
        <v>1285</v>
      </c>
      <c r="F536">
        <v>91396005</v>
      </c>
      <c r="G536">
        <v>99509455</v>
      </c>
      <c r="H536">
        <v>74089790</v>
      </c>
      <c r="I536">
        <v>57050080</v>
      </c>
      <c r="P536">
        <v>136</v>
      </c>
      <c r="Q536" t="s">
        <v>1286</v>
      </c>
    </row>
    <row r="537" spans="1:17" x14ac:dyDescent="0.3">
      <c r="A537" t="s">
        <v>17</v>
      </c>
      <c r="B537" t="str">
        <f>"600637"</f>
        <v>600637</v>
      </c>
      <c r="C537" t="s">
        <v>1287</v>
      </c>
      <c r="D537" t="s">
        <v>95</v>
      </c>
      <c r="F537">
        <v>284485648</v>
      </c>
      <c r="G537">
        <v>286380118</v>
      </c>
      <c r="H537">
        <v>225708491</v>
      </c>
      <c r="I537">
        <v>252337150</v>
      </c>
      <c r="P537">
        <v>442</v>
      </c>
      <c r="Q537" t="s">
        <v>1288</v>
      </c>
    </row>
    <row r="538" spans="1:17" x14ac:dyDescent="0.3">
      <c r="A538" t="s">
        <v>17</v>
      </c>
      <c r="B538" t="str">
        <f>"600638"</f>
        <v>600638</v>
      </c>
      <c r="C538" t="s">
        <v>1289</v>
      </c>
      <c r="D538" t="s">
        <v>104</v>
      </c>
      <c r="F538">
        <v>0</v>
      </c>
      <c r="G538">
        <v>0</v>
      </c>
      <c r="P538">
        <v>106</v>
      </c>
      <c r="Q538" t="s">
        <v>1290</v>
      </c>
    </row>
    <row r="539" spans="1:17" x14ac:dyDescent="0.3">
      <c r="A539" t="s">
        <v>17</v>
      </c>
      <c r="B539" t="str">
        <f>"600639"</f>
        <v>600639</v>
      </c>
      <c r="C539" t="s">
        <v>1291</v>
      </c>
      <c r="D539" t="s">
        <v>194</v>
      </c>
      <c r="F539">
        <v>0</v>
      </c>
      <c r="G539">
        <v>0</v>
      </c>
      <c r="P539">
        <v>189</v>
      </c>
      <c r="Q539" t="s">
        <v>1292</v>
      </c>
    </row>
    <row r="540" spans="1:17" x14ac:dyDescent="0.3">
      <c r="A540" t="s">
        <v>17</v>
      </c>
      <c r="B540" t="str">
        <f>"600640"</f>
        <v>600640</v>
      </c>
      <c r="C540" t="s">
        <v>1293</v>
      </c>
      <c r="D540" t="s">
        <v>1294</v>
      </c>
      <c r="F540">
        <v>170452612</v>
      </c>
      <c r="G540">
        <v>148348099</v>
      </c>
      <c r="H540">
        <v>143554222</v>
      </c>
      <c r="I540">
        <v>197765646</v>
      </c>
      <c r="P540">
        <v>163</v>
      </c>
      <c r="Q540" t="s">
        <v>1295</v>
      </c>
    </row>
    <row r="541" spans="1:17" x14ac:dyDescent="0.3">
      <c r="A541" t="s">
        <v>17</v>
      </c>
      <c r="B541" t="str">
        <f>"600641"</f>
        <v>600641</v>
      </c>
      <c r="C541" t="s">
        <v>1296</v>
      </c>
      <c r="D541" t="s">
        <v>104</v>
      </c>
      <c r="F541">
        <v>45626112</v>
      </c>
      <c r="G541">
        <v>48607402</v>
      </c>
      <c r="H541">
        <v>6304062</v>
      </c>
      <c r="I541">
        <v>4248535</v>
      </c>
      <c r="P541">
        <v>404</v>
      </c>
      <c r="Q541" t="s">
        <v>1297</v>
      </c>
    </row>
    <row r="542" spans="1:17" x14ac:dyDescent="0.3">
      <c r="A542" t="s">
        <v>17</v>
      </c>
      <c r="B542" t="str">
        <f>"600642"</f>
        <v>600642</v>
      </c>
      <c r="C542" t="s">
        <v>1298</v>
      </c>
      <c r="D542" t="s">
        <v>41</v>
      </c>
      <c r="F542">
        <v>20070308</v>
      </c>
      <c r="G542">
        <v>16583020</v>
      </c>
      <c r="H542">
        <v>16743338</v>
      </c>
      <c r="I542">
        <v>25361508</v>
      </c>
      <c r="P542">
        <v>459</v>
      </c>
      <c r="Q542" t="s">
        <v>1299</v>
      </c>
    </row>
    <row r="543" spans="1:17" x14ac:dyDescent="0.3">
      <c r="A543" t="s">
        <v>17</v>
      </c>
      <c r="B543" t="str">
        <f>"600643"</f>
        <v>600643</v>
      </c>
      <c r="C543" t="s">
        <v>1300</v>
      </c>
      <c r="D543" t="s">
        <v>140</v>
      </c>
      <c r="F543">
        <v>4931357</v>
      </c>
      <c r="G543">
        <v>1278392</v>
      </c>
      <c r="H543">
        <v>48742</v>
      </c>
      <c r="P543">
        <v>343</v>
      </c>
      <c r="Q543" t="s">
        <v>1301</v>
      </c>
    </row>
    <row r="544" spans="1:17" x14ac:dyDescent="0.3">
      <c r="A544" t="s">
        <v>17</v>
      </c>
      <c r="B544" t="str">
        <f>"600644"</f>
        <v>600644</v>
      </c>
      <c r="C544" t="s">
        <v>1302</v>
      </c>
      <c r="D544" t="s">
        <v>239</v>
      </c>
      <c r="F544">
        <v>0</v>
      </c>
      <c r="G544">
        <v>0</v>
      </c>
      <c r="P544">
        <v>81</v>
      </c>
      <c r="Q544" t="s">
        <v>1303</v>
      </c>
    </row>
    <row r="545" spans="1:17" x14ac:dyDescent="0.3">
      <c r="A545" t="s">
        <v>17</v>
      </c>
      <c r="B545" t="str">
        <f>"600645"</f>
        <v>600645</v>
      </c>
      <c r="C545" t="s">
        <v>1304</v>
      </c>
      <c r="D545" t="s">
        <v>1305</v>
      </c>
      <c r="F545">
        <v>135313108</v>
      </c>
      <c r="G545">
        <v>114430987</v>
      </c>
      <c r="H545">
        <v>109648856</v>
      </c>
      <c r="I545">
        <v>103295644</v>
      </c>
      <c r="P545">
        <v>223</v>
      </c>
      <c r="Q545" t="s">
        <v>1306</v>
      </c>
    </row>
    <row r="546" spans="1:17" x14ac:dyDescent="0.3">
      <c r="A546" t="s">
        <v>17</v>
      </c>
      <c r="B546" t="str">
        <f>"600646"</f>
        <v>600646</v>
      </c>
      <c r="C546" t="s">
        <v>1307</v>
      </c>
      <c r="P546">
        <v>2</v>
      </c>
      <c r="Q546" t="s">
        <v>1308</v>
      </c>
    </row>
    <row r="547" spans="1:17" x14ac:dyDescent="0.3">
      <c r="A547" t="s">
        <v>17</v>
      </c>
      <c r="B547" t="str">
        <f>"600647"</f>
        <v>600647</v>
      </c>
      <c r="C547" t="s">
        <v>1309</v>
      </c>
      <c r="D547" t="s">
        <v>110</v>
      </c>
      <c r="F547">
        <v>0</v>
      </c>
      <c r="G547">
        <v>0</v>
      </c>
      <c r="P547">
        <v>75</v>
      </c>
      <c r="Q547" t="s">
        <v>1310</v>
      </c>
    </row>
    <row r="548" spans="1:17" x14ac:dyDescent="0.3">
      <c r="A548" t="s">
        <v>17</v>
      </c>
      <c r="B548" t="str">
        <f>"600648"</f>
        <v>600648</v>
      </c>
      <c r="C548" t="s">
        <v>1311</v>
      </c>
      <c r="D548" t="s">
        <v>194</v>
      </c>
      <c r="F548">
        <v>24525360</v>
      </c>
      <c r="G548">
        <v>10542340</v>
      </c>
      <c r="H548">
        <v>7028428</v>
      </c>
      <c r="I548">
        <v>6384515</v>
      </c>
      <c r="P548">
        <v>139</v>
      </c>
      <c r="Q548" t="s">
        <v>1312</v>
      </c>
    </row>
    <row r="549" spans="1:17" x14ac:dyDescent="0.3">
      <c r="A549" t="s">
        <v>17</v>
      </c>
      <c r="B549" t="str">
        <f>"600649"</f>
        <v>600649</v>
      </c>
      <c r="C549" t="s">
        <v>1313</v>
      </c>
      <c r="D549" t="s">
        <v>104</v>
      </c>
      <c r="F549">
        <v>0</v>
      </c>
      <c r="G549">
        <v>0</v>
      </c>
      <c r="P549">
        <v>205</v>
      </c>
      <c r="Q549" t="s">
        <v>1314</v>
      </c>
    </row>
    <row r="550" spans="1:17" x14ac:dyDescent="0.3">
      <c r="A550" t="s">
        <v>17</v>
      </c>
      <c r="B550" t="str">
        <f>"600650"</f>
        <v>600650</v>
      </c>
      <c r="C550" t="s">
        <v>1315</v>
      </c>
      <c r="D550" t="s">
        <v>1133</v>
      </c>
      <c r="F550">
        <v>16606942</v>
      </c>
      <c r="G550">
        <v>0</v>
      </c>
      <c r="P550">
        <v>114</v>
      </c>
      <c r="Q550" t="s">
        <v>1316</v>
      </c>
    </row>
    <row r="551" spans="1:17" x14ac:dyDescent="0.3">
      <c r="A551" t="s">
        <v>17</v>
      </c>
      <c r="B551" t="str">
        <f>"600651"</f>
        <v>600651</v>
      </c>
      <c r="C551" t="s">
        <v>1317</v>
      </c>
      <c r="D551" t="s">
        <v>803</v>
      </c>
      <c r="F551">
        <v>218130601</v>
      </c>
      <c r="G551">
        <v>226611634</v>
      </c>
      <c r="H551">
        <v>84980577</v>
      </c>
      <c r="I551">
        <v>127639637</v>
      </c>
      <c r="P551">
        <v>112</v>
      </c>
      <c r="Q551" t="s">
        <v>1318</v>
      </c>
    </row>
    <row r="552" spans="1:17" x14ac:dyDescent="0.3">
      <c r="A552" t="s">
        <v>17</v>
      </c>
      <c r="B552" t="str">
        <f>"600652"</f>
        <v>600652</v>
      </c>
      <c r="C552" t="s">
        <v>1319</v>
      </c>
      <c r="D552" t="s">
        <v>517</v>
      </c>
      <c r="F552">
        <v>0</v>
      </c>
      <c r="G552">
        <v>16680031</v>
      </c>
      <c r="H552">
        <v>16241275</v>
      </c>
      <c r="I552">
        <v>24741530</v>
      </c>
      <c r="P552">
        <v>79</v>
      </c>
      <c r="Q552" t="s">
        <v>1320</v>
      </c>
    </row>
    <row r="553" spans="1:17" x14ac:dyDescent="0.3">
      <c r="A553" t="s">
        <v>17</v>
      </c>
      <c r="B553" t="str">
        <f>"600653"</f>
        <v>600653</v>
      </c>
      <c r="C553" t="s">
        <v>1321</v>
      </c>
      <c r="D553" t="s">
        <v>672</v>
      </c>
      <c r="F553">
        <v>0</v>
      </c>
      <c r="G553">
        <v>0</v>
      </c>
      <c r="I553">
        <v>6661032</v>
      </c>
      <c r="P553">
        <v>93</v>
      </c>
      <c r="Q553" t="s">
        <v>1322</v>
      </c>
    </row>
    <row r="554" spans="1:17" x14ac:dyDescent="0.3">
      <c r="A554" t="s">
        <v>17</v>
      </c>
      <c r="B554" t="str">
        <f>"600654"</f>
        <v>600654</v>
      </c>
      <c r="C554" t="s">
        <v>1323</v>
      </c>
      <c r="D554" t="s">
        <v>945</v>
      </c>
      <c r="F554">
        <v>60749315</v>
      </c>
      <c r="G554">
        <v>57203027</v>
      </c>
      <c r="H554">
        <v>61206368</v>
      </c>
      <c r="I554">
        <v>64136952</v>
      </c>
      <c r="P554">
        <v>76</v>
      </c>
      <c r="Q554" t="s">
        <v>1324</v>
      </c>
    </row>
    <row r="555" spans="1:17" x14ac:dyDescent="0.3">
      <c r="A555" t="s">
        <v>17</v>
      </c>
      <c r="B555" t="str">
        <f>"600655"</f>
        <v>600655</v>
      </c>
      <c r="C555" t="s">
        <v>1325</v>
      </c>
      <c r="D555" t="s">
        <v>271</v>
      </c>
      <c r="F555">
        <v>86532925</v>
      </c>
      <c r="G555">
        <v>30444091</v>
      </c>
      <c r="P555">
        <v>411</v>
      </c>
      <c r="Q555" t="s">
        <v>1326</v>
      </c>
    </row>
    <row r="556" spans="1:17" x14ac:dyDescent="0.3">
      <c r="A556" t="s">
        <v>17</v>
      </c>
      <c r="B556" t="str">
        <f>"600656"</f>
        <v>600656</v>
      </c>
      <c r="C556" t="s">
        <v>1327</v>
      </c>
      <c r="P556">
        <v>3</v>
      </c>
      <c r="Q556" t="s">
        <v>1328</v>
      </c>
    </row>
    <row r="557" spans="1:17" x14ac:dyDescent="0.3">
      <c r="A557" t="s">
        <v>17</v>
      </c>
      <c r="B557" t="str">
        <f>"600657"</f>
        <v>600657</v>
      </c>
      <c r="C557" t="s">
        <v>1329</v>
      </c>
      <c r="D557" t="s">
        <v>104</v>
      </c>
      <c r="F557">
        <v>4958184</v>
      </c>
      <c r="G557">
        <v>3716069</v>
      </c>
      <c r="H557">
        <v>3016018</v>
      </c>
      <c r="I557">
        <v>3080569</v>
      </c>
      <c r="P557">
        <v>423</v>
      </c>
      <c r="Q557" t="s">
        <v>1330</v>
      </c>
    </row>
    <row r="558" spans="1:17" x14ac:dyDescent="0.3">
      <c r="A558" t="s">
        <v>17</v>
      </c>
      <c r="B558" t="str">
        <f>"600658"</f>
        <v>600658</v>
      </c>
      <c r="C558" t="s">
        <v>1331</v>
      </c>
      <c r="D558" t="s">
        <v>194</v>
      </c>
      <c r="F558">
        <v>18076759</v>
      </c>
      <c r="G558">
        <v>7268955</v>
      </c>
      <c r="H558">
        <v>3924768</v>
      </c>
      <c r="I558">
        <v>0</v>
      </c>
      <c r="P558">
        <v>136</v>
      </c>
      <c r="Q558" t="s">
        <v>1332</v>
      </c>
    </row>
    <row r="559" spans="1:17" x14ac:dyDescent="0.3">
      <c r="A559" t="s">
        <v>17</v>
      </c>
      <c r="B559" t="str">
        <f>"600660"</f>
        <v>600660</v>
      </c>
      <c r="C559" t="s">
        <v>1333</v>
      </c>
      <c r="D559" t="s">
        <v>191</v>
      </c>
      <c r="F559">
        <v>997203019</v>
      </c>
      <c r="G559">
        <v>815579258</v>
      </c>
      <c r="H559">
        <v>813129835</v>
      </c>
      <c r="I559">
        <v>887721987</v>
      </c>
      <c r="P559">
        <v>13818</v>
      </c>
      <c r="Q559" t="s">
        <v>1334</v>
      </c>
    </row>
    <row r="560" spans="1:17" x14ac:dyDescent="0.3">
      <c r="A560" t="s">
        <v>17</v>
      </c>
      <c r="B560" t="str">
        <f>"600661"</f>
        <v>600661</v>
      </c>
      <c r="C560" t="s">
        <v>1335</v>
      </c>
      <c r="D560" t="s">
        <v>1336</v>
      </c>
      <c r="F560">
        <v>20280037</v>
      </c>
      <c r="G560">
        <v>21108249</v>
      </c>
      <c r="H560">
        <v>20223041</v>
      </c>
      <c r="I560">
        <v>23567782</v>
      </c>
      <c r="P560">
        <v>147</v>
      </c>
      <c r="Q560" t="s">
        <v>1337</v>
      </c>
    </row>
    <row r="561" spans="1:17" x14ac:dyDescent="0.3">
      <c r="A561" t="s">
        <v>17</v>
      </c>
      <c r="B561" t="str">
        <f>"600662"</f>
        <v>600662</v>
      </c>
      <c r="C561" t="s">
        <v>1338</v>
      </c>
      <c r="D561" t="s">
        <v>1133</v>
      </c>
      <c r="F561">
        <v>34536230</v>
      </c>
      <c r="G561">
        <v>6327499</v>
      </c>
      <c r="H561">
        <v>4242584</v>
      </c>
      <c r="I561">
        <v>5506789</v>
      </c>
      <c r="P561">
        <v>130</v>
      </c>
      <c r="Q561" t="s">
        <v>1339</v>
      </c>
    </row>
    <row r="562" spans="1:17" x14ac:dyDescent="0.3">
      <c r="A562" t="s">
        <v>17</v>
      </c>
      <c r="B562" t="str">
        <f>"600663"</f>
        <v>600663</v>
      </c>
      <c r="C562" t="s">
        <v>1340</v>
      </c>
      <c r="D562" t="s">
        <v>30</v>
      </c>
      <c r="F562">
        <v>0</v>
      </c>
      <c r="G562">
        <v>0</v>
      </c>
      <c r="P562">
        <v>700</v>
      </c>
      <c r="Q562" t="s">
        <v>1341</v>
      </c>
    </row>
    <row r="563" spans="1:17" x14ac:dyDescent="0.3">
      <c r="A563" t="s">
        <v>17</v>
      </c>
      <c r="B563" t="str">
        <f>"600664"</f>
        <v>600664</v>
      </c>
      <c r="C563" t="s">
        <v>1342</v>
      </c>
      <c r="D563" t="s">
        <v>143</v>
      </c>
      <c r="F563">
        <v>97733143</v>
      </c>
      <c r="G563">
        <v>92526992</v>
      </c>
      <c r="H563">
        <v>125142270</v>
      </c>
      <c r="I563">
        <v>137262621</v>
      </c>
      <c r="P563">
        <v>499</v>
      </c>
      <c r="Q563" t="s">
        <v>1343</v>
      </c>
    </row>
    <row r="564" spans="1:17" x14ac:dyDescent="0.3">
      <c r="A564" t="s">
        <v>17</v>
      </c>
      <c r="B564" t="str">
        <f>"600665"</f>
        <v>600665</v>
      </c>
      <c r="C564" t="s">
        <v>1344</v>
      </c>
      <c r="D564" t="s">
        <v>104</v>
      </c>
      <c r="F564">
        <v>0</v>
      </c>
      <c r="G564">
        <v>0</v>
      </c>
      <c r="P564">
        <v>455</v>
      </c>
      <c r="Q564" t="s">
        <v>1345</v>
      </c>
    </row>
    <row r="565" spans="1:17" x14ac:dyDescent="0.3">
      <c r="A565" t="s">
        <v>17</v>
      </c>
      <c r="B565" t="str">
        <f>"600666"</f>
        <v>600666</v>
      </c>
      <c r="C565" t="s">
        <v>1346</v>
      </c>
      <c r="D565" t="s">
        <v>1117</v>
      </c>
      <c r="F565">
        <v>33027859</v>
      </c>
      <c r="G565">
        <v>55835843</v>
      </c>
      <c r="H565">
        <v>38356941</v>
      </c>
      <c r="I565">
        <v>65642570</v>
      </c>
      <c r="J565">
        <v>44308872</v>
      </c>
      <c r="P565">
        <v>75</v>
      </c>
      <c r="Q565" t="s">
        <v>1347</v>
      </c>
    </row>
    <row r="566" spans="1:17" x14ac:dyDescent="0.3">
      <c r="A566" t="s">
        <v>17</v>
      </c>
      <c r="B566" t="str">
        <f>"600667"</f>
        <v>600667</v>
      </c>
      <c r="C566" t="s">
        <v>1348</v>
      </c>
      <c r="D566" t="s">
        <v>1180</v>
      </c>
      <c r="F566">
        <v>767296402</v>
      </c>
      <c r="G566">
        <v>535512154</v>
      </c>
      <c r="H566">
        <v>501079604</v>
      </c>
      <c r="I566">
        <v>451966409</v>
      </c>
      <c r="P566">
        <v>445</v>
      </c>
      <c r="Q566" t="s">
        <v>1349</v>
      </c>
    </row>
    <row r="567" spans="1:17" x14ac:dyDescent="0.3">
      <c r="A567" t="s">
        <v>17</v>
      </c>
      <c r="B567" t="str">
        <f>"600668"</f>
        <v>600668</v>
      </c>
      <c r="C567" t="s">
        <v>1350</v>
      </c>
      <c r="D567" t="s">
        <v>110</v>
      </c>
      <c r="F567">
        <v>99336770</v>
      </c>
      <c r="G567">
        <v>75271503</v>
      </c>
      <c r="H567">
        <v>69952705</v>
      </c>
      <c r="I567">
        <v>69405428</v>
      </c>
      <c r="P567">
        <v>343</v>
      </c>
      <c r="Q567" t="s">
        <v>1351</v>
      </c>
    </row>
    <row r="568" spans="1:17" x14ac:dyDescent="0.3">
      <c r="A568" t="s">
        <v>17</v>
      </c>
      <c r="B568" t="str">
        <f>"600669"</f>
        <v>600669</v>
      </c>
      <c r="C568" t="s">
        <v>1352</v>
      </c>
      <c r="P568">
        <v>2</v>
      </c>
      <c r="Q568" t="s">
        <v>1353</v>
      </c>
    </row>
    <row r="569" spans="1:17" x14ac:dyDescent="0.3">
      <c r="A569" t="s">
        <v>17</v>
      </c>
      <c r="B569" t="str">
        <f>"600670"</f>
        <v>600670</v>
      </c>
      <c r="C569" t="s">
        <v>1354</v>
      </c>
      <c r="P569">
        <v>2</v>
      </c>
      <c r="Q569" t="s">
        <v>1355</v>
      </c>
    </row>
    <row r="570" spans="1:17" x14ac:dyDescent="0.3">
      <c r="A570" t="s">
        <v>17</v>
      </c>
      <c r="B570" t="str">
        <f>"600671"</f>
        <v>600671</v>
      </c>
      <c r="C570" t="s">
        <v>1356</v>
      </c>
      <c r="D570" t="s">
        <v>188</v>
      </c>
      <c r="F570">
        <v>1332050</v>
      </c>
      <c r="G570">
        <v>642882</v>
      </c>
      <c r="H570">
        <v>6226688</v>
      </c>
      <c r="I570">
        <v>7573159</v>
      </c>
      <c r="P570">
        <v>104</v>
      </c>
      <c r="Q570" t="s">
        <v>1357</v>
      </c>
    </row>
    <row r="571" spans="1:17" x14ac:dyDescent="0.3">
      <c r="A571" t="s">
        <v>17</v>
      </c>
      <c r="B571" t="str">
        <f>"600672"</f>
        <v>600672</v>
      </c>
      <c r="C571" t="s">
        <v>1358</v>
      </c>
      <c r="P571">
        <v>2</v>
      </c>
      <c r="Q571" t="s">
        <v>1359</v>
      </c>
    </row>
    <row r="572" spans="1:17" x14ac:dyDescent="0.3">
      <c r="A572" t="s">
        <v>17</v>
      </c>
      <c r="B572" t="str">
        <f>"600673"</f>
        <v>600673</v>
      </c>
      <c r="C572" t="s">
        <v>1360</v>
      </c>
      <c r="D572" t="s">
        <v>143</v>
      </c>
      <c r="F572">
        <v>486007311</v>
      </c>
      <c r="G572">
        <v>410156048</v>
      </c>
      <c r="H572">
        <v>444948875</v>
      </c>
      <c r="I572">
        <v>420209148</v>
      </c>
      <c r="P572">
        <v>274</v>
      </c>
      <c r="Q572" t="s">
        <v>1361</v>
      </c>
    </row>
    <row r="573" spans="1:17" x14ac:dyDescent="0.3">
      <c r="A573" t="s">
        <v>17</v>
      </c>
      <c r="B573" t="str">
        <f>"600674"</f>
        <v>600674</v>
      </c>
      <c r="C573" t="s">
        <v>1362</v>
      </c>
      <c r="D573" t="s">
        <v>66</v>
      </c>
      <c r="F573">
        <v>26710461</v>
      </c>
      <c r="G573">
        <v>19722588</v>
      </c>
      <c r="H573">
        <v>18874725</v>
      </c>
      <c r="I573">
        <v>18837907</v>
      </c>
      <c r="P573">
        <v>1531</v>
      </c>
      <c r="Q573" t="s">
        <v>1363</v>
      </c>
    </row>
    <row r="574" spans="1:17" x14ac:dyDescent="0.3">
      <c r="A574" t="s">
        <v>17</v>
      </c>
      <c r="B574" t="str">
        <f>"600675"</f>
        <v>600675</v>
      </c>
      <c r="C574" t="s">
        <v>1364</v>
      </c>
      <c r="D574" t="s">
        <v>104</v>
      </c>
      <c r="F574">
        <v>0</v>
      </c>
      <c r="G574">
        <v>0</v>
      </c>
      <c r="P574">
        <v>186</v>
      </c>
      <c r="Q574" t="s">
        <v>1365</v>
      </c>
    </row>
    <row r="575" spans="1:17" x14ac:dyDescent="0.3">
      <c r="A575" t="s">
        <v>17</v>
      </c>
      <c r="B575" t="str">
        <f>"600676"</f>
        <v>600676</v>
      </c>
      <c r="C575" t="s">
        <v>1366</v>
      </c>
      <c r="D575" t="s">
        <v>110</v>
      </c>
      <c r="F575">
        <v>89784334</v>
      </c>
      <c r="G575">
        <v>84837776</v>
      </c>
      <c r="H575">
        <v>89680460</v>
      </c>
      <c r="I575">
        <v>90636422</v>
      </c>
      <c r="P575">
        <v>88</v>
      </c>
      <c r="Q575" t="s">
        <v>1367</v>
      </c>
    </row>
    <row r="576" spans="1:17" x14ac:dyDescent="0.3">
      <c r="A576" t="s">
        <v>17</v>
      </c>
      <c r="B576" t="str">
        <f>"600677"</f>
        <v>600677</v>
      </c>
      <c r="C576" t="s">
        <v>1368</v>
      </c>
      <c r="H576">
        <v>452425476</v>
      </c>
      <c r="I576">
        <v>368495816</v>
      </c>
      <c r="J576">
        <v>0</v>
      </c>
      <c r="K576">
        <v>0</v>
      </c>
      <c r="P576">
        <v>77</v>
      </c>
      <c r="Q576" t="s">
        <v>1369</v>
      </c>
    </row>
    <row r="577" spans="1:17" x14ac:dyDescent="0.3">
      <c r="A577" t="s">
        <v>17</v>
      </c>
      <c r="B577" t="str">
        <f>"600678"</f>
        <v>600678</v>
      </c>
      <c r="C577" t="s">
        <v>1370</v>
      </c>
      <c r="D577" t="s">
        <v>731</v>
      </c>
      <c r="F577">
        <v>0</v>
      </c>
      <c r="G577">
        <v>0</v>
      </c>
      <c r="P577">
        <v>194</v>
      </c>
      <c r="Q577" t="s">
        <v>1371</v>
      </c>
    </row>
    <row r="578" spans="1:17" x14ac:dyDescent="0.3">
      <c r="A578" t="s">
        <v>17</v>
      </c>
      <c r="B578" t="str">
        <f>"600679"</f>
        <v>600679</v>
      </c>
      <c r="C578" t="s">
        <v>1372</v>
      </c>
      <c r="D578" t="s">
        <v>233</v>
      </c>
      <c r="F578">
        <v>22237576</v>
      </c>
      <c r="G578">
        <v>14691626</v>
      </c>
      <c r="H578">
        <v>7383773</v>
      </c>
      <c r="I578">
        <v>6510110</v>
      </c>
      <c r="P578">
        <v>77</v>
      </c>
      <c r="Q578" t="s">
        <v>1373</v>
      </c>
    </row>
    <row r="579" spans="1:17" x14ac:dyDescent="0.3">
      <c r="A579" t="s">
        <v>17</v>
      </c>
      <c r="B579" t="str">
        <f>"600680"</f>
        <v>600680</v>
      </c>
      <c r="C579" t="s">
        <v>1374</v>
      </c>
      <c r="H579">
        <v>8494729</v>
      </c>
      <c r="I579">
        <v>12173596</v>
      </c>
      <c r="P579">
        <v>20</v>
      </c>
      <c r="Q579" t="s">
        <v>1375</v>
      </c>
    </row>
    <row r="580" spans="1:17" x14ac:dyDescent="0.3">
      <c r="A580" t="s">
        <v>17</v>
      </c>
      <c r="B580" t="str">
        <f>"600681"</f>
        <v>600681</v>
      </c>
      <c r="C580" t="s">
        <v>1376</v>
      </c>
      <c r="D580" t="s">
        <v>749</v>
      </c>
      <c r="F580">
        <v>3173940</v>
      </c>
      <c r="G580">
        <v>3613121</v>
      </c>
      <c r="H580">
        <v>2924220</v>
      </c>
      <c r="I580">
        <v>1597714</v>
      </c>
      <c r="P580">
        <v>472</v>
      </c>
      <c r="Q580" t="s">
        <v>1377</v>
      </c>
    </row>
    <row r="581" spans="1:17" x14ac:dyDescent="0.3">
      <c r="A581" t="s">
        <v>17</v>
      </c>
      <c r="B581" t="str">
        <f>"600682"</f>
        <v>600682</v>
      </c>
      <c r="C581" t="s">
        <v>1378</v>
      </c>
      <c r="D581" t="s">
        <v>1379</v>
      </c>
      <c r="F581">
        <v>215927927</v>
      </c>
      <c r="G581">
        <v>270046434</v>
      </c>
      <c r="H581">
        <v>383500803</v>
      </c>
      <c r="I581">
        <v>220239774</v>
      </c>
      <c r="P581">
        <v>237</v>
      </c>
      <c r="Q581" t="s">
        <v>1380</v>
      </c>
    </row>
    <row r="582" spans="1:17" x14ac:dyDescent="0.3">
      <c r="A582" t="s">
        <v>17</v>
      </c>
      <c r="B582" t="str">
        <f>"600683"</f>
        <v>600683</v>
      </c>
      <c r="C582" t="s">
        <v>1381</v>
      </c>
      <c r="D582" t="s">
        <v>104</v>
      </c>
      <c r="F582">
        <v>0</v>
      </c>
      <c r="G582">
        <v>0</v>
      </c>
      <c r="P582">
        <v>224</v>
      </c>
      <c r="Q582" t="s">
        <v>1382</v>
      </c>
    </row>
    <row r="583" spans="1:17" x14ac:dyDescent="0.3">
      <c r="A583" t="s">
        <v>17</v>
      </c>
      <c r="B583" t="str">
        <f>"600684"</f>
        <v>600684</v>
      </c>
      <c r="C583" t="s">
        <v>1383</v>
      </c>
      <c r="D583" t="s">
        <v>104</v>
      </c>
      <c r="F583">
        <v>0</v>
      </c>
      <c r="G583">
        <v>0</v>
      </c>
      <c r="P583">
        <v>124</v>
      </c>
      <c r="Q583" t="s">
        <v>1384</v>
      </c>
    </row>
    <row r="584" spans="1:17" x14ac:dyDescent="0.3">
      <c r="A584" t="s">
        <v>17</v>
      </c>
      <c r="B584" t="str">
        <f>"600685"</f>
        <v>600685</v>
      </c>
      <c r="C584" t="s">
        <v>1385</v>
      </c>
      <c r="D584" t="s">
        <v>167</v>
      </c>
      <c r="F584">
        <v>617470170</v>
      </c>
      <c r="G584">
        <v>590364431</v>
      </c>
      <c r="H584">
        <v>557782190</v>
      </c>
      <c r="I584">
        <v>497562637</v>
      </c>
      <c r="P584">
        <v>263</v>
      </c>
      <c r="Q584" t="s">
        <v>1386</v>
      </c>
    </row>
    <row r="585" spans="1:17" x14ac:dyDescent="0.3">
      <c r="A585" t="s">
        <v>17</v>
      </c>
      <c r="B585" t="str">
        <f>"600686"</f>
        <v>600686</v>
      </c>
      <c r="C585" t="s">
        <v>1387</v>
      </c>
      <c r="D585" t="s">
        <v>153</v>
      </c>
      <c r="F585">
        <v>643104305</v>
      </c>
      <c r="G585">
        <v>627731121</v>
      </c>
      <c r="H585">
        <v>692910494</v>
      </c>
      <c r="I585">
        <v>663430584</v>
      </c>
      <c r="P585">
        <v>177</v>
      </c>
      <c r="Q585" t="s">
        <v>1388</v>
      </c>
    </row>
    <row r="586" spans="1:17" x14ac:dyDescent="0.3">
      <c r="A586" t="s">
        <v>17</v>
      </c>
      <c r="B586" t="str">
        <f>"600687"</f>
        <v>600687</v>
      </c>
      <c r="C586" t="s">
        <v>1389</v>
      </c>
      <c r="H586">
        <v>0</v>
      </c>
      <c r="I586">
        <v>722493</v>
      </c>
      <c r="P586">
        <v>58</v>
      </c>
      <c r="Q586" t="s">
        <v>1390</v>
      </c>
    </row>
    <row r="587" spans="1:17" x14ac:dyDescent="0.3">
      <c r="A587" t="s">
        <v>17</v>
      </c>
      <c r="B587" t="str">
        <f>"600688"</f>
        <v>600688</v>
      </c>
      <c r="C587" t="s">
        <v>1391</v>
      </c>
      <c r="D587" t="s">
        <v>74</v>
      </c>
      <c r="F587">
        <v>94295000</v>
      </c>
      <c r="G587">
        <v>110625000</v>
      </c>
      <c r="H587">
        <v>92964000</v>
      </c>
      <c r="I587">
        <v>37261000</v>
      </c>
      <c r="P587">
        <v>585</v>
      </c>
      <c r="Q587" t="s">
        <v>1392</v>
      </c>
    </row>
    <row r="588" spans="1:17" x14ac:dyDescent="0.3">
      <c r="A588" t="s">
        <v>17</v>
      </c>
      <c r="B588" t="str">
        <f>"600689"</f>
        <v>600689</v>
      </c>
      <c r="C588" t="s">
        <v>1393</v>
      </c>
      <c r="D588" t="s">
        <v>366</v>
      </c>
      <c r="F588">
        <v>0</v>
      </c>
      <c r="G588">
        <v>0</v>
      </c>
      <c r="P588">
        <v>74</v>
      </c>
      <c r="Q588" t="s">
        <v>1394</v>
      </c>
    </row>
    <row r="589" spans="1:17" x14ac:dyDescent="0.3">
      <c r="A589" t="s">
        <v>17</v>
      </c>
      <c r="B589" t="str">
        <f>"600690"</f>
        <v>600690</v>
      </c>
      <c r="C589" t="s">
        <v>1395</v>
      </c>
      <c r="D589" t="s">
        <v>754</v>
      </c>
      <c r="F589">
        <v>8357332946</v>
      </c>
      <c r="G589">
        <v>6860161572</v>
      </c>
      <c r="H589">
        <v>6266936518</v>
      </c>
      <c r="I589">
        <v>5080604506</v>
      </c>
      <c r="P589">
        <v>41081</v>
      </c>
      <c r="Q589" t="s">
        <v>1396</v>
      </c>
    </row>
    <row r="590" spans="1:17" x14ac:dyDescent="0.3">
      <c r="A590" t="s">
        <v>17</v>
      </c>
      <c r="B590" t="str">
        <f>"600691"</f>
        <v>600691</v>
      </c>
      <c r="C590" t="s">
        <v>1397</v>
      </c>
      <c r="D590" t="s">
        <v>909</v>
      </c>
      <c r="F590">
        <v>227052826</v>
      </c>
      <c r="G590">
        <v>184105229</v>
      </c>
      <c r="H590">
        <v>134865303</v>
      </c>
      <c r="I590">
        <v>116069079</v>
      </c>
      <c r="P590">
        <v>130</v>
      </c>
      <c r="Q590" t="s">
        <v>1398</v>
      </c>
    </row>
    <row r="591" spans="1:17" x14ac:dyDescent="0.3">
      <c r="A591" t="s">
        <v>17</v>
      </c>
      <c r="B591" t="str">
        <f>"600692"</f>
        <v>600692</v>
      </c>
      <c r="C591" t="s">
        <v>1399</v>
      </c>
      <c r="D591" t="s">
        <v>104</v>
      </c>
      <c r="F591">
        <v>0</v>
      </c>
      <c r="G591">
        <v>0</v>
      </c>
      <c r="P591">
        <v>76</v>
      </c>
      <c r="Q591" t="s">
        <v>1400</v>
      </c>
    </row>
    <row r="592" spans="1:17" x14ac:dyDescent="0.3">
      <c r="A592" t="s">
        <v>17</v>
      </c>
      <c r="B592" t="str">
        <f>"600693"</f>
        <v>600693</v>
      </c>
      <c r="C592" t="s">
        <v>1401</v>
      </c>
      <c r="D592" t="s">
        <v>633</v>
      </c>
      <c r="F592">
        <v>0</v>
      </c>
      <c r="G592">
        <v>0</v>
      </c>
      <c r="P592">
        <v>103</v>
      </c>
      <c r="Q592" t="s">
        <v>1402</v>
      </c>
    </row>
    <row r="593" spans="1:17" x14ac:dyDescent="0.3">
      <c r="A593" t="s">
        <v>17</v>
      </c>
      <c r="B593" t="str">
        <f>"600694"</f>
        <v>600694</v>
      </c>
      <c r="C593" t="s">
        <v>1403</v>
      </c>
      <c r="D593" t="s">
        <v>1404</v>
      </c>
      <c r="F593">
        <v>0</v>
      </c>
      <c r="G593">
        <v>0</v>
      </c>
      <c r="P593">
        <v>543</v>
      </c>
      <c r="Q593" t="s">
        <v>1405</v>
      </c>
    </row>
    <row r="594" spans="1:17" x14ac:dyDescent="0.3">
      <c r="A594" t="s">
        <v>17</v>
      </c>
      <c r="B594" t="str">
        <f>"600695"</f>
        <v>600695</v>
      </c>
      <c r="C594" t="s">
        <v>1406</v>
      </c>
      <c r="D594" t="s">
        <v>116</v>
      </c>
      <c r="F594">
        <v>0</v>
      </c>
      <c r="G594">
        <v>0</v>
      </c>
      <c r="P594">
        <v>74</v>
      </c>
      <c r="Q594" t="s">
        <v>1407</v>
      </c>
    </row>
    <row r="595" spans="1:17" x14ac:dyDescent="0.3">
      <c r="A595" t="s">
        <v>17</v>
      </c>
      <c r="B595" t="str">
        <f>"600696"</f>
        <v>600696</v>
      </c>
      <c r="C595" t="s">
        <v>1408</v>
      </c>
      <c r="D595" t="s">
        <v>110</v>
      </c>
      <c r="F595">
        <v>0</v>
      </c>
      <c r="G595">
        <v>0</v>
      </c>
      <c r="P595">
        <v>95</v>
      </c>
      <c r="Q595" t="s">
        <v>1409</v>
      </c>
    </row>
    <row r="596" spans="1:17" x14ac:dyDescent="0.3">
      <c r="A596" t="s">
        <v>17</v>
      </c>
      <c r="B596" t="str">
        <f>"600697"</f>
        <v>600697</v>
      </c>
      <c r="C596" t="s">
        <v>1410</v>
      </c>
      <c r="D596" t="s">
        <v>1404</v>
      </c>
      <c r="F596">
        <v>0</v>
      </c>
      <c r="G596">
        <v>0</v>
      </c>
      <c r="P596">
        <v>275</v>
      </c>
      <c r="Q596" t="s">
        <v>1411</v>
      </c>
    </row>
    <row r="597" spans="1:17" x14ac:dyDescent="0.3">
      <c r="A597" t="s">
        <v>17</v>
      </c>
      <c r="B597" t="str">
        <f>"600698"</f>
        <v>600698</v>
      </c>
      <c r="C597" t="s">
        <v>1412</v>
      </c>
      <c r="D597" t="s">
        <v>348</v>
      </c>
      <c r="F597">
        <v>23218505</v>
      </c>
      <c r="G597">
        <v>32808175</v>
      </c>
      <c r="H597">
        <v>26638540</v>
      </c>
      <c r="I597">
        <v>33821160</v>
      </c>
      <c r="P597">
        <v>93</v>
      </c>
      <c r="Q597" t="s">
        <v>1413</v>
      </c>
    </row>
    <row r="598" spans="1:17" x14ac:dyDescent="0.3">
      <c r="A598" t="s">
        <v>17</v>
      </c>
      <c r="B598" t="str">
        <f>"600699"</f>
        <v>600699</v>
      </c>
      <c r="C598" t="s">
        <v>1414</v>
      </c>
      <c r="D598" t="s">
        <v>1415</v>
      </c>
      <c r="F598">
        <v>2346678200</v>
      </c>
      <c r="G598">
        <v>2301206538</v>
      </c>
      <c r="H598">
        <v>2610097431</v>
      </c>
      <c r="I598">
        <v>2927334873</v>
      </c>
      <c r="P598">
        <v>958</v>
      </c>
      <c r="Q598" t="s">
        <v>1416</v>
      </c>
    </row>
    <row r="599" spans="1:17" x14ac:dyDescent="0.3">
      <c r="A599" t="s">
        <v>17</v>
      </c>
      <c r="B599" t="str">
        <f>"600700"</f>
        <v>600700</v>
      </c>
      <c r="C599" t="s">
        <v>1417</v>
      </c>
      <c r="P599">
        <v>5</v>
      </c>
      <c r="Q599" t="s">
        <v>1418</v>
      </c>
    </row>
    <row r="600" spans="1:17" x14ac:dyDescent="0.3">
      <c r="A600" t="s">
        <v>17</v>
      </c>
      <c r="B600" t="str">
        <f>"600701"</f>
        <v>600701</v>
      </c>
      <c r="C600" t="s">
        <v>1419</v>
      </c>
      <c r="G600">
        <v>0</v>
      </c>
      <c r="H600">
        <v>0</v>
      </c>
      <c r="I600">
        <v>45287600</v>
      </c>
      <c r="P600">
        <v>55</v>
      </c>
      <c r="Q600" t="s">
        <v>1420</v>
      </c>
    </row>
    <row r="601" spans="1:17" x14ac:dyDescent="0.3">
      <c r="A601" t="s">
        <v>17</v>
      </c>
      <c r="B601" t="str">
        <f>"600702"</f>
        <v>600702</v>
      </c>
      <c r="C601" t="s">
        <v>1421</v>
      </c>
      <c r="D601" t="s">
        <v>458</v>
      </c>
      <c r="F601">
        <v>32507557</v>
      </c>
      <c r="G601">
        <v>20869780</v>
      </c>
      <c r="H601">
        <v>8392605</v>
      </c>
      <c r="I601">
        <v>8699989</v>
      </c>
      <c r="P601">
        <v>1462</v>
      </c>
      <c r="Q601" t="s">
        <v>1422</v>
      </c>
    </row>
    <row r="602" spans="1:17" x14ac:dyDescent="0.3">
      <c r="A602" t="s">
        <v>17</v>
      </c>
      <c r="B602" t="str">
        <f>"600703"</f>
        <v>600703</v>
      </c>
      <c r="C602" t="s">
        <v>1423</v>
      </c>
      <c r="D602" t="s">
        <v>803</v>
      </c>
      <c r="F602">
        <v>530211128</v>
      </c>
      <c r="G602">
        <v>405693443</v>
      </c>
      <c r="H602">
        <v>197000999</v>
      </c>
      <c r="I602">
        <v>144389403</v>
      </c>
      <c r="P602">
        <v>2761</v>
      </c>
      <c r="Q602" t="s">
        <v>1424</v>
      </c>
    </row>
    <row r="603" spans="1:17" x14ac:dyDescent="0.3">
      <c r="A603" t="s">
        <v>17</v>
      </c>
      <c r="B603" t="str">
        <f>"600704"</f>
        <v>600704</v>
      </c>
      <c r="C603" t="s">
        <v>1425</v>
      </c>
      <c r="D603" t="s">
        <v>128</v>
      </c>
      <c r="F603">
        <v>546005930</v>
      </c>
      <c r="G603">
        <v>368553711</v>
      </c>
      <c r="H603">
        <v>262949287</v>
      </c>
      <c r="I603">
        <v>192020596</v>
      </c>
      <c r="P603">
        <v>749</v>
      </c>
      <c r="Q603" t="s">
        <v>1426</v>
      </c>
    </row>
    <row r="604" spans="1:17" x14ac:dyDescent="0.3">
      <c r="A604" t="s">
        <v>17</v>
      </c>
      <c r="B604" t="str">
        <f>"600705"</f>
        <v>600705</v>
      </c>
      <c r="C604" t="s">
        <v>1427</v>
      </c>
      <c r="D604" t="s">
        <v>140</v>
      </c>
      <c r="F604">
        <v>80395512</v>
      </c>
      <c r="G604">
        <v>13314021</v>
      </c>
      <c r="H604">
        <v>7791764</v>
      </c>
      <c r="I604">
        <v>5718269</v>
      </c>
      <c r="P604">
        <v>440</v>
      </c>
      <c r="Q604" t="s">
        <v>1428</v>
      </c>
    </row>
    <row r="605" spans="1:17" x14ac:dyDescent="0.3">
      <c r="A605" t="s">
        <v>17</v>
      </c>
      <c r="B605" t="str">
        <f>"600706"</f>
        <v>600706</v>
      </c>
      <c r="C605" t="s">
        <v>1429</v>
      </c>
      <c r="D605" t="s">
        <v>333</v>
      </c>
      <c r="F605">
        <v>0</v>
      </c>
      <c r="G605">
        <v>0</v>
      </c>
      <c r="P605">
        <v>122</v>
      </c>
      <c r="Q605" t="s">
        <v>1430</v>
      </c>
    </row>
    <row r="606" spans="1:17" x14ac:dyDescent="0.3">
      <c r="A606" t="s">
        <v>17</v>
      </c>
      <c r="B606" t="str">
        <f>"600707"</f>
        <v>600707</v>
      </c>
      <c r="C606" t="s">
        <v>1431</v>
      </c>
      <c r="D606" t="s">
        <v>1117</v>
      </c>
      <c r="F606">
        <v>347319079</v>
      </c>
      <c r="G606">
        <v>307685848</v>
      </c>
      <c r="H606">
        <v>260274962</v>
      </c>
      <c r="I606">
        <v>235647126</v>
      </c>
      <c r="P606">
        <v>251</v>
      </c>
      <c r="Q606" t="s">
        <v>1432</v>
      </c>
    </row>
    <row r="607" spans="1:17" x14ac:dyDescent="0.3">
      <c r="A607" t="s">
        <v>17</v>
      </c>
      <c r="B607" t="str">
        <f>"600708"</f>
        <v>600708</v>
      </c>
      <c r="C607" t="s">
        <v>1433</v>
      </c>
      <c r="D607" t="s">
        <v>104</v>
      </c>
      <c r="F607">
        <v>0</v>
      </c>
      <c r="G607">
        <v>0</v>
      </c>
      <c r="P607">
        <v>677</v>
      </c>
      <c r="Q607" t="s">
        <v>1434</v>
      </c>
    </row>
    <row r="608" spans="1:17" x14ac:dyDescent="0.3">
      <c r="A608" t="s">
        <v>17</v>
      </c>
      <c r="B608" t="str">
        <f>"600709"</f>
        <v>600709</v>
      </c>
      <c r="C608" t="s">
        <v>1435</v>
      </c>
      <c r="P608">
        <v>4</v>
      </c>
      <c r="Q608" t="s">
        <v>1436</v>
      </c>
    </row>
    <row r="609" spans="1:17" x14ac:dyDescent="0.3">
      <c r="A609" t="s">
        <v>17</v>
      </c>
      <c r="B609" t="str">
        <f>"600710"</f>
        <v>600710</v>
      </c>
      <c r="C609" t="s">
        <v>1437</v>
      </c>
      <c r="D609" t="s">
        <v>131</v>
      </c>
      <c r="F609">
        <v>474985590</v>
      </c>
      <c r="G609">
        <v>366318064</v>
      </c>
      <c r="H609">
        <v>316342285</v>
      </c>
      <c r="I609">
        <v>289221010</v>
      </c>
      <c r="P609">
        <v>166</v>
      </c>
      <c r="Q609" t="s">
        <v>1438</v>
      </c>
    </row>
    <row r="610" spans="1:17" x14ac:dyDescent="0.3">
      <c r="A610" t="s">
        <v>17</v>
      </c>
      <c r="B610" t="str">
        <f>"600711"</f>
        <v>600711</v>
      </c>
      <c r="C610" t="s">
        <v>1439</v>
      </c>
      <c r="D610" t="s">
        <v>1440</v>
      </c>
      <c r="F610">
        <v>49730145</v>
      </c>
      <c r="G610">
        <v>39120727</v>
      </c>
      <c r="H610">
        <v>51949672</v>
      </c>
      <c r="I610">
        <v>59296391</v>
      </c>
      <c r="K610">
        <v>0</v>
      </c>
      <c r="P610">
        <v>377</v>
      </c>
      <c r="Q610" t="s">
        <v>1441</v>
      </c>
    </row>
    <row r="611" spans="1:17" x14ac:dyDescent="0.3">
      <c r="A611" t="s">
        <v>17</v>
      </c>
      <c r="B611" t="str">
        <f>"600712"</f>
        <v>600712</v>
      </c>
      <c r="C611" t="s">
        <v>1442</v>
      </c>
      <c r="D611" t="s">
        <v>633</v>
      </c>
      <c r="F611">
        <v>0</v>
      </c>
      <c r="G611">
        <v>0</v>
      </c>
      <c r="P611">
        <v>87</v>
      </c>
      <c r="Q611" t="s">
        <v>1443</v>
      </c>
    </row>
    <row r="612" spans="1:17" x14ac:dyDescent="0.3">
      <c r="A612" t="s">
        <v>17</v>
      </c>
      <c r="B612" t="str">
        <f>"600713"</f>
        <v>600713</v>
      </c>
      <c r="C612" t="s">
        <v>1444</v>
      </c>
      <c r="D612" t="s">
        <v>125</v>
      </c>
      <c r="F612">
        <v>20957611</v>
      </c>
      <c r="G612">
        <v>15998684</v>
      </c>
      <c r="H612">
        <v>13351496</v>
      </c>
      <c r="I612">
        <v>6433549</v>
      </c>
      <c r="P612">
        <v>188</v>
      </c>
      <c r="Q612" t="s">
        <v>1445</v>
      </c>
    </row>
    <row r="613" spans="1:17" x14ac:dyDescent="0.3">
      <c r="A613" t="s">
        <v>17</v>
      </c>
      <c r="B613" t="str">
        <f>"600714"</f>
        <v>600714</v>
      </c>
      <c r="C613" t="s">
        <v>1446</v>
      </c>
      <c r="D613" t="s">
        <v>736</v>
      </c>
      <c r="F613">
        <v>4597668</v>
      </c>
      <c r="G613">
        <v>5742316</v>
      </c>
      <c r="H613">
        <v>6337644</v>
      </c>
      <c r="I613">
        <v>1314091</v>
      </c>
      <c r="P613">
        <v>68</v>
      </c>
      <c r="Q613" t="s">
        <v>1447</v>
      </c>
    </row>
    <row r="614" spans="1:17" x14ac:dyDescent="0.3">
      <c r="A614" t="s">
        <v>17</v>
      </c>
      <c r="B614" t="str">
        <f>"600715"</f>
        <v>600715</v>
      </c>
      <c r="C614" t="s">
        <v>1448</v>
      </c>
      <c r="D614" t="s">
        <v>517</v>
      </c>
      <c r="F614">
        <v>48781089</v>
      </c>
      <c r="G614">
        <v>49169957</v>
      </c>
      <c r="H614">
        <v>54601668</v>
      </c>
      <c r="I614">
        <v>67192428</v>
      </c>
      <c r="P614">
        <v>127</v>
      </c>
      <c r="Q614" t="s">
        <v>1449</v>
      </c>
    </row>
    <row r="615" spans="1:17" x14ac:dyDescent="0.3">
      <c r="A615" t="s">
        <v>17</v>
      </c>
      <c r="B615" t="str">
        <f>"600716"</f>
        <v>600716</v>
      </c>
      <c r="C615" t="s">
        <v>1450</v>
      </c>
      <c r="D615" t="s">
        <v>104</v>
      </c>
      <c r="F615">
        <v>0</v>
      </c>
      <c r="G615">
        <v>0</v>
      </c>
      <c r="P615">
        <v>95</v>
      </c>
      <c r="Q615" t="s">
        <v>1451</v>
      </c>
    </row>
    <row r="616" spans="1:17" x14ac:dyDescent="0.3">
      <c r="A616" t="s">
        <v>17</v>
      </c>
      <c r="B616" t="str">
        <f>"600717"</f>
        <v>600717</v>
      </c>
      <c r="C616" t="s">
        <v>1452</v>
      </c>
      <c r="D616" t="s">
        <v>51</v>
      </c>
      <c r="F616">
        <v>144468399</v>
      </c>
      <c r="G616">
        <v>150203630</v>
      </c>
      <c r="H616">
        <v>116751799</v>
      </c>
      <c r="I616">
        <v>115833185</v>
      </c>
      <c r="P616">
        <v>264</v>
      </c>
      <c r="Q616" t="s">
        <v>1453</v>
      </c>
    </row>
    <row r="617" spans="1:17" x14ac:dyDescent="0.3">
      <c r="A617" t="s">
        <v>17</v>
      </c>
      <c r="B617" t="str">
        <f>"600718"</f>
        <v>600718</v>
      </c>
      <c r="C617" t="s">
        <v>1454</v>
      </c>
      <c r="D617" t="s">
        <v>316</v>
      </c>
      <c r="F617">
        <v>872614056</v>
      </c>
      <c r="G617">
        <v>833505827</v>
      </c>
      <c r="H617">
        <v>854573898</v>
      </c>
      <c r="I617">
        <v>910148512</v>
      </c>
      <c r="P617">
        <v>396</v>
      </c>
      <c r="Q617" t="s">
        <v>1455</v>
      </c>
    </row>
    <row r="618" spans="1:17" x14ac:dyDescent="0.3">
      <c r="A618" t="s">
        <v>17</v>
      </c>
      <c r="B618" t="str">
        <f>"600719"</f>
        <v>600719</v>
      </c>
      <c r="C618" t="s">
        <v>1456</v>
      </c>
      <c r="D618" t="s">
        <v>351</v>
      </c>
      <c r="F618">
        <v>0</v>
      </c>
      <c r="G618">
        <v>0</v>
      </c>
      <c r="P618">
        <v>68</v>
      </c>
      <c r="Q618" t="s">
        <v>1457</v>
      </c>
    </row>
    <row r="619" spans="1:17" x14ac:dyDescent="0.3">
      <c r="A619" t="s">
        <v>17</v>
      </c>
      <c r="B619" t="str">
        <f>"600720"</f>
        <v>600720</v>
      </c>
      <c r="C619" t="s">
        <v>1458</v>
      </c>
      <c r="D619" t="s">
        <v>731</v>
      </c>
      <c r="F619">
        <v>0</v>
      </c>
      <c r="G619">
        <v>0</v>
      </c>
      <c r="P619">
        <v>864</v>
      </c>
      <c r="Q619" t="s">
        <v>1459</v>
      </c>
    </row>
    <row r="620" spans="1:17" x14ac:dyDescent="0.3">
      <c r="A620" t="s">
        <v>17</v>
      </c>
      <c r="B620" t="str">
        <f>"600721"</f>
        <v>600721</v>
      </c>
      <c r="C620" t="s">
        <v>1460</v>
      </c>
      <c r="D620" t="s">
        <v>1461</v>
      </c>
      <c r="F620">
        <v>5251126</v>
      </c>
      <c r="G620">
        <v>6114513</v>
      </c>
      <c r="P620">
        <v>78</v>
      </c>
      <c r="Q620" t="s">
        <v>1462</v>
      </c>
    </row>
    <row r="621" spans="1:17" x14ac:dyDescent="0.3">
      <c r="A621" t="s">
        <v>17</v>
      </c>
      <c r="B621" t="str">
        <f>"600722"</f>
        <v>600722</v>
      </c>
      <c r="C621" t="s">
        <v>1463</v>
      </c>
      <c r="D621" t="s">
        <v>175</v>
      </c>
      <c r="F621">
        <v>4081226</v>
      </c>
      <c r="G621">
        <v>1888596</v>
      </c>
      <c r="P621">
        <v>97</v>
      </c>
      <c r="Q621" t="s">
        <v>1464</v>
      </c>
    </row>
    <row r="622" spans="1:17" x14ac:dyDescent="0.3">
      <c r="A622" t="s">
        <v>17</v>
      </c>
      <c r="B622" t="str">
        <f>"600723"</f>
        <v>600723</v>
      </c>
      <c r="C622" t="s">
        <v>1465</v>
      </c>
      <c r="G622">
        <v>0</v>
      </c>
      <c r="H622">
        <v>0</v>
      </c>
      <c r="I622">
        <v>0</v>
      </c>
      <c r="P622">
        <v>180</v>
      </c>
      <c r="Q622" t="s">
        <v>1466</v>
      </c>
    </row>
    <row r="623" spans="1:17" x14ac:dyDescent="0.3">
      <c r="A623" t="s">
        <v>17</v>
      </c>
      <c r="B623" t="str">
        <f>"600724"</f>
        <v>600724</v>
      </c>
      <c r="C623" t="s">
        <v>1467</v>
      </c>
      <c r="D623" t="s">
        <v>731</v>
      </c>
      <c r="F623">
        <v>0</v>
      </c>
      <c r="G623">
        <v>0</v>
      </c>
      <c r="P623">
        <v>169</v>
      </c>
      <c r="Q623" t="s">
        <v>1468</v>
      </c>
    </row>
    <row r="624" spans="1:17" x14ac:dyDescent="0.3">
      <c r="A624" t="s">
        <v>17</v>
      </c>
      <c r="B624" t="str">
        <f>"600725"</f>
        <v>600725</v>
      </c>
      <c r="C624" t="s">
        <v>1469</v>
      </c>
      <c r="D624" t="s">
        <v>885</v>
      </c>
      <c r="F624">
        <v>0</v>
      </c>
      <c r="G624">
        <v>0</v>
      </c>
      <c r="P624">
        <v>69</v>
      </c>
      <c r="Q624" t="s">
        <v>1470</v>
      </c>
    </row>
    <row r="625" spans="1:17" x14ac:dyDescent="0.3">
      <c r="A625" t="s">
        <v>17</v>
      </c>
      <c r="B625" t="str">
        <f>"600726"</f>
        <v>600726</v>
      </c>
      <c r="C625" t="s">
        <v>1471</v>
      </c>
      <c r="D625" t="s">
        <v>41</v>
      </c>
      <c r="F625">
        <v>10711985</v>
      </c>
      <c r="G625">
        <v>10514166</v>
      </c>
      <c r="H625">
        <v>11167866</v>
      </c>
      <c r="I625">
        <v>10690921</v>
      </c>
      <c r="P625">
        <v>110</v>
      </c>
      <c r="Q625" t="s">
        <v>1472</v>
      </c>
    </row>
    <row r="626" spans="1:17" x14ac:dyDescent="0.3">
      <c r="A626" t="s">
        <v>17</v>
      </c>
      <c r="B626" t="str">
        <f>"600727"</f>
        <v>600727</v>
      </c>
      <c r="C626" t="s">
        <v>1473</v>
      </c>
      <c r="D626" t="s">
        <v>1474</v>
      </c>
      <c r="F626">
        <v>65537943</v>
      </c>
      <c r="G626">
        <v>28211061</v>
      </c>
      <c r="H626">
        <v>20542014</v>
      </c>
      <c r="I626">
        <v>1906571</v>
      </c>
      <c r="P626">
        <v>138</v>
      </c>
      <c r="Q626" t="s">
        <v>1475</v>
      </c>
    </row>
    <row r="627" spans="1:17" x14ac:dyDescent="0.3">
      <c r="A627" t="s">
        <v>17</v>
      </c>
      <c r="B627" t="str">
        <f>"600728"</f>
        <v>600728</v>
      </c>
      <c r="C627" t="s">
        <v>1476</v>
      </c>
      <c r="D627" t="s">
        <v>316</v>
      </c>
      <c r="F627">
        <v>219872912</v>
      </c>
      <c r="G627">
        <v>172299678</v>
      </c>
      <c r="H627">
        <v>155186283</v>
      </c>
      <c r="I627">
        <v>95551664</v>
      </c>
      <c r="P627">
        <v>345</v>
      </c>
      <c r="Q627" t="s">
        <v>1477</v>
      </c>
    </row>
    <row r="628" spans="1:17" x14ac:dyDescent="0.3">
      <c r="A628" t="s">
        <v>17</v>
      </c>
      <c r="B628" t="str">
        <f>"600729"</f>
        <v>600729</v>
      </c>
      <c r="C628" t="s">
        <v>1478</v>
      </c>
      <c r="D628" t="s">
        <v>1404</v>
      </c>
      <c r="F628">
        <v>37841266</v>
      </c>
      <c r="G628">
        <v>3029601</v>
      </c>
      <c r="H628">
        <v>5815537</v>
      </c>
      <c r="I628">
        <v>3412619</v>
      </c>
      <c r="P628">
        <v>540</v>
      </c>
      <c r="Q628" t="s">
        <v>1479</v>
      </c>
    </row>
    <row r="629" spans="1:17" x14ac:dyDescent="0.3">
      <c r="A629" t="s">
        <v>17</v>
      </c>
      <c r="B629" t="str">
        <f>"600730"</f>
        <v>600730</v>
      </c>
      <c r="C629" t="s">
        <v>1480</v>
      </c>
      <c r="D629" t="s">
        <v>1336</v>
      </c>
      <c r="F629">
        <v>36701816</v>
      </c>
      <c r="G629">
        <v>20036153</v>
      </c>
      <c r="H629">
        <v>15975108</v>
      </c>
      <c r="I629">
        <v>16231078</v>
      </c>
      <c r="P629">
        <v>99</v>
      </c>
      <c r="Q629" t="s">
        <v>1481</v>
      </c>
    </row>
    <row r="630" spans="1:17" x14ac:dyDescent="0.3">
      <c r="A630" t="s">
        <v>17</v>
      </c>
      <c r="B630" t="str">
        <f>"600731"</f>
        <v>600731</v>
      </c>
      <c r="C630" t="s">
        <v>1482</v>
      </c>
      <c r="D630" t="s">
        <v>853</v>
      </c>
      <c r="F630">
        <v>102354942</v>
      </c>
      <c r="G630">
        <v>70447366</v>
      </c>
      <c r="H630">
        <v>86804173</v>
      </c>
      <c r="I630">
        <v>44386342</v>
      </c>
      <c r="P630">
        <v>244</v>
      </c>
      <c r="Q630" t="s">
        <v>1483</v>
      </c>
    </row>
    <row r="631" spans="1:17" x14ac:dyDescent="0.3">
      <c r="A631" t="s">
        <v>17</v>
      </c>
      <c r="B631" t="str">
        <f>"600732"</f>
        <v>600732</v>
      </c>
      <c r="C631" t="s">
        <v>1484</v>
      </c>
      <c r="D631" t="s">
        <v>356</v>
      </c>
      <c r="F631">
        <v>649362285</v>
      </c>
      <c r="G631">
        <v>379893137</v>
      </c>
      <c r="H631">
        <v>220571246</v>
      </c>
      <c r="P631">
        <v>357</v>
      </c>
      <c r="Q631" t="s">
        <v>1485</v>
      </c>
    </row>
    <row r="632" spans="1:17" x14ac:dyDescent="0.3">
      <c r="A632" t="s">
        <v>17</v>
      </c>
      <c r="B632" t="str">
        <f>"600733"</f>
        <v>600733</v>
      </c>
      <c r="C632" t="s">
        <v>1486</v>
      </c>
      <c r="D632" t="s">
        <v>247</v>
      </c>
      <c r="F632">
        <v>1208156897</v>
      </c>
      <c r="G632">
        <v>973190903</v>
      </c>
      <c r="H632">
        <v>438560466</v>
      </c>
      <c r="I632">
        <v>54272716</v>
      </c>
      <c r="P632">
        <v>369</v>
      </c>
      <c r="Q632" t="s">
        <v>1487</v>
      </c>
    </row>
    <row r="633" spans="1:17" x14ac:dyDescent="0.3">
      <c r="A633" t="s">
        <v>17</v>
      </c>
      <c r="B633" t="str">
        <f>"600734"</f>
        <v>600734</v>
      </c>
      <c r="C633" t="s">
        <v>1488</v>
      </c>
      <c r="D633" t="s">
        <v>786</v>
      </c>
      <c r="F633">
        <v>63947036</v>
      </c>
      <c r="G633">
        <v>105471070</v>
      </c>
      <c r="H633">
        <v>133058192</v>
      </c>
      <c r="I633">
        <v>124449916</v>
      </c>
      <c r="P633">
        <v>175</v>
      </c>
      <c r="Q633" t="s">
        <v>1489</v>
      </c>
    </row>
    <row r="634" spans="1:17" x14ac:dyDescent="0.3">
      <c r="A634" t="s">
        <v>17</v>
      </c>
      <c r="B634" t="str">
        <f>"600735"</f>
        <v>600735</v>
      </c>
      <c r="C634" t="s">
        <v>1490</v>
      </c>
      <c r="D634" t="s">
        <v>932</v>
      </c>
      <c r="F634">
        <v>0</v>
      </c>
      <c r="G634">
        <v>0</v>
      </c>
      <c r="P634">
        <v>105</v>
      </c>
      <c r="Q634" t="s">
        <v>1491</v>
      </c>
    </row>
    <row r="635" spans="1:17" x14ac:dyDescent="0.3">
      <c r="A635" t="s">
        <v>17</v>
      </c>
      <c r="B635" t="str">
        <f>"600736"</f>
        <v>600736</v>
      </c>
      <c r="C635" t="s">
        <v>1492</v>
      </c>
      <c r="D635" t="s">
        <v>104</v>
      </c>
      <c r="F635">
        <v>24899071</v>
      </c>
      <c r="G635">
        <v>19665470</v>
      </c>
      <c r="H635">
        <v>21063501</v>
      </c>
      <c r="I635">
        <v>22455656</v>
      </c>
      <c r="J635">
        <v>0</v>
      </c>
      <c r="K635">
        <v>0</v>
      </c>
      <c r="P635">
        <v>142</v>
      </c>
      <c r="Q635" t="s">
        <v>1493</v>
      </c>
    </row>
    <row r="636" spans="1:17" x14ac:dyDescent="0.3">
      <c r="A636" t="s">
        <v>17</v>
      </c>
      <c r="B636" t="str">
        <f>"600737"</f>
        <v>600737</v>
      </c>
      <c r="C636" t="s">
        <v>1494</v>
      </c>
      <c r="D636" t="s">
        <v>445</v>
      </c>
      <c r="F636">
        <v>25250568</v>
      </c>
      <c r="G636">
        <v>40996917</v>
      </c>
      <c r="H636">
        <v>54018617</v>
      </c>
      <c r="I636">
        <v>15059564</v>
      </c>
      <c r="P636">
        <v>515</v>
      </c>
      <c r="Q636" t="s">
        <v>1495</v>
      </c>
    </row>
    <row r="637" spans="1:17" x14ac:dyDescent="0.3">
      <c r="A637" t="s">
        <v>17</v>
      </c>
      <c r="B637" t="str">
        <f>"600738"</f>
        <v>600738</v>
      </c>
      <c r="C637" t="s">
        <v>1496</v>
      </c>
      <c r="D637" t="s">
        <v>633</v>
      </c>
      <c r="F637">
        <v>0</v>
      </c>
      <c r="G637">
        <v>0</v>
      </c>
      <c r="P637">
        <v>153</v>
      </c>
      <c r="Q637" t="s">
        <v>1497</v>
      </c>
    </row>
    <row r="638" spans="1:17" x14ac:dyDescent="0.3">
      <c r="A638" t="s">
        <v>17</v>
      </c>
      <c r="B638" t="str">
        <f>"600739"</f>
        <v>600739</v>
      </c>
      <c r="C638" t="s">
        <v>1498</v>
      </c>
      <c r="D638" t="s">
        <v>1499</v>
      </c>
      <c r="F638">
        <v>237732767</v>
      </c>
      <c r="G638">
        <v>222367875</v>
      </c>
      <c r="H638">
        <v>153277151</v>
      </c>
      <c r="I638">
        <v>76827885</v>
      </c>
      <c r="J638">
        <v>51665930</v>
      </c>
      <c r="P638">
        <v>338</v>
      </c>
      <c r="Q638" t="s">
        <v>1500</v>
      </c>
    </row>
    <row r="639" spans="1:17" x14ac:dyDescent="0.3">
      <c r="A639" t="s">
        <v>17</v>
      </c>
      <c r="B639" t="str">
        <f>"600740"</f>
        <v>600740</v>
      </c>
      <c r="C639" t="s">
        <v>1501</v>
      </c>
      <c r="D639" t="s">
        <v>885</v>
      </c>
      <c r="F639">
        <v>75339191</v>
      </c>
      <c r="G639">
        <v>8670951</v>
      </c>
      <c r="H639">
        <v>38729708</v>
      </c>
      <c r="I639">
        <v>63425284</v>
      </c>
      <c r="P639">
        <v>331</v>
      </c>
      <c r="Q639" t="s">
        <v>1502</v>
      </c>
    </row>
    <row r="640" spans="1:17" x14ac:dyDescent="0.3">
      <c r="A640" t="s">
        <v>17</v>
      </c>
      <c r="B640" t="str">
        <f>"600741"</f>
        <v>600741</v>
      </c>
      <c r="C640" t="s">
        <v>1503</v>
      </c>
      <c r="D640" t="s">
        <v>191</v>
      </c>
      <c r="F640">
        <v>6351562963</v>
      </c>
      <c r="G640">
        <v>5572853283</v>
      </c>
      <c r="H640">
        <v>5264534986</v>
      </c>
      <c r="I640">
        <v>5133395085</v>
      </c>
      <c r="P640">
        <v>6373</v>
      </c>
      <c r="Q640" t="s">
        <v>1504</v>
      </c>
    </row>
    <row r="641" spans="1:17" x14ac:dyDescent="0.3">
      <c r="A641" t="s">
        <v>17</v>
      </c>
      <c r="B641" t="str">
        <f>"600742"</f>
        <v>600742</v>
      </c>
      <c r="C641" t="s">
        <v>1505</v>
      </c>
      <c r="D641" t="s">
        <v>191</v>
      </c>
      <c r="F641">
        <v>335913404</v>
      </c>
      <c r="G641">
        <v>268664962</v>
      </c>
      <c r="H641">
        <v>179656194</v>
      </c>
      <c r="I641">
        <v>111900128</v>
      </c>
      <c r="P641">
        <v>417</v>
      </c>
      <c r="Q641" t="s">
        <v>1506</v>
      </c>
    </row>
    <row r="642" spans="1:17" x14ac:dyDescent="0.3">
      <c r="A642" t="s">
        <v>17</v>
      </c>
      <c r="B642" t="str">
        <f>"600743"</f>
        <v>600743</v>
      </c>
      <c r="C642" t="s">
        <v>1507</v>
      </c>
      <c r="D642" t="s">
        <v>104</v>
      </c>
      <c r="F642">
        <v>0</v>
      </c>
      <c r="G642">
        <v>0</v>
      </c>
      <c r="P642">
        <v>603</v>
      </c>
      <c r="Q642" t="s">
        <v>1508</v>
      </c>
    </row>
    <row r="643" spans="1:17" x14ac:dyDescent="0.3">
      <c r="A643" t="s">
        <v>17</v>
      </c>
      <c r="B643" t="str">
        <f>"600744"</f>
        <v>600744</v>
      </c>
      <c r="C643" t="s">
        <v>1509</v>
      </c>
      <c r="D643" t="s">
        <v>41</v>
      </c>
      <c r="F643">
        <v>19732318</v>
      </c>
      <c r="G643">
        <v>18653081</v>
      </c>
      <c r="H643">
        <v>17256599</v>
      </c>
      <c r="I643">
        <v>4547438</v>
      </c>
      <c r="P643">
        <v>182</v>
      </c>
      <c r="Q643" t="s">
        <v>1510</v>
      </c>
    </row>
    <row r="644" spans="1:17" x14ac:dyDescent="0.3">
      <c r="A644" t="s">
        <v>17</v>
      </c>
      <c r="B644" t="str">
        <f>"600745"</f>
        <v>600745</v>
      </c>
      <c r="C644" t="s">
        <v>1511</v>
      </c>
      <c r="D644" t="s">
        <v>313</v>
      </c>
      <c r="F644">
        <v>2689465157</v>
      </c>
      <c r="G644">
        <v>2221025087</v>
      </c>
      <c r="H644">
        <v>1319607673</v>
      </c>
      <c r="I644">
        <v>732055244</v>
      </c>
      <c r="P644">
        <v>1617</v>
      </c>
      <c r="Q644" t="s">
        <v>1512</v>
      </c>
    </row>
    <row r="645" spans="1:17" x14ac:dyDescent="0.3">
      <c r="A645" t="s">
        <v>17</v>
      </c>
      <c r="B645" t="str">
        <f>"600746"</f>
        <v>600746</v>
      </c>
      <c r="C645" t="s">
        <v>1513</v>
      </c>
      <c r="D645" t="s">
        <v>914</v>
      </c>
      <c r="F645">
        <v>256330928</v>
      </c>
      <c r="G645">
        <v>149896110</v>
      </c>
      <c r="H645">
        <v>26564358</v>
      </c>
      <c r="I645">
        <v>21388</v>
      </c>
      <c r="P645">
        <v>232</v>
      </c>
      <c r="Q645" t="s">
        <v>1514</v>
      </c>
    </row>
    <row r="646" spans="1:17" x14ac:dyDescent="0.3">
      <c r="A646" t="s">
        <v>17</v>
      </c>
      <c r="B646" t="str">
        <f>"600747"</f>
        <v>600747</v>
      </c>
      <c r="C646" t="s">
        <v>1515</v>
      </c>
      <c r="H646">
        <v>0</v>
      </c>
      <c r="I646">
        <v>0</v>
      </c>
      <c r="P646">
        <v>21</v>
      </c>
      <c r="Q646" t="s">
        <v>1516</v>
      </c>
    </row>
    <row r="647" spans="1:17" x14ac:dyDescent="0.3">
      <c r="A647" t="s">
        <v>17</v>
      </c>
      <c r="B647" t="str">
        <f>"600748"</f>
        <v>600748</v>
      </c>
      <c r="C647" t="s">
        <v>1517</v>
      </c>
      <c r="D647" t="s">
        <v>104</v>
      </c>
      <c r="F647">
        <v>23101804</v>
      </c>
      <c r="G647">
        <v>67427088</v>
      </c>
      <c r="H647">
        <v>51356328</v>
      </c>
      <c r="I647">
        <v>75495073</v>
      </c>
      <c r="P647">
        <v>188</v>
      </c>
      <c r="Q647" t="s">
        <v>1518</v>
      </c>
    </row>
    <row r="648" spans="1:17" x14ac:dyDescent="0.3">
      <c r="A648" t="s">
        <v>17</v>
      </c>
      <c r="B648" t="str">
        <f>"600749"</f>
        <v>600749</v>
      </c>
      <c r="C648" t="s">
        <v>1519</v>
      </c>
      <c r="D648" t="s">
        <v>119</v>
      </c>
      <c r="F648">
        <v>0</v>
      </c>
      <c r="G648">
        <v>0</v>
      </c>
      <c r="P648">
        <v>106</v>
      </c>
      <c r="Q648" t="s">
        <v>1520</v>
      </c>
    </row>
    <row r="649" spans="1:17" x14ac:dyDescent="0.3">
      <c r="A649" t="s">
        <v>17</v>
      </c>
      <c r="B649" t="str">
        <f>"600750"</f>
        <v>600750</v>
      </c>
      <c r="C649" t="s">
        <v>1521</v>
      </c>
      <c r="D649" t="s">
        <v>188</v>
      </c>
      <c r="F649">
        <v>87824629</v>
      </c>
      <c r="G649">
        <v>55553243</v>
      </c>
      <c r="H649">
        <v>47509672</v>
      </c>
      <c r="I649">
        <v>29621028</v>
      </c>
      <c r="P649">
        <v>819</v>
      </c>
      <c r="Q649" t="s">
        <v>1522</v>
      </c>
    </row>
    <row r="650" spans="1:17" x14ac:dyDescent="0.3">
      <c r="A650" t="s">
        <v>17</v>
      </c>
      <c r="B650" t="str">
        <f>"600751"</f>
        <v>600751</v>
      </c>
      <c r="C650" t="s">
        <v>1523</v>
      </c>
      <c r="D650" t="s">
        <v>651</v>
      </c>
      <c r="F650">
        <v>0</v>
      </c>
      <c r="G650">
        <v>0</v>
      </c>
      <c r="I650">
        <v>70432000</v>
      </c>
      <c r="P650">
        <v>226</v>
      </c>
      <c r="Q650" t="s">
        <v>1524</v>
      </c>
    </row>
    <row r="651" spans="1:17" x14ac:dyDescent="0.3">
      <c r="A651" t="s">
        <v>17</v>
      </c>
      <c r="B651" t="str">
        <f>"600752"</f>
        <v>600752</v>
      </c>
      <c r="C651" t="s">
        <v>1525</v>
      </c>
      <c r="P651">
        <v>2</v>
      </c>
      <c r="Q651" t="s">
        <v>1526</v>
      </c>
    </row>
    <row r="652" spans="1:17" x14ac:dyDescent="0.3">
      <c r="A652" t="s">
        <v>17</v>
      </c>
      <c r="B652" t="str">
        <f>"600753"</f>
        <v>600753</v>
      </c>
      <c r="C652" t="s">
        <v>1527</v>
      </c>
      <c r="D652" t="s">
        <v>128</v>
      </c>
      <c r="F652">
        <v>0</v>
      </c>
      <c r="G652">
        <v>0</v>
      </c>
      <c r="P652">
        <v>91</v>
      </c>
      <c r="Q652" t="s">
        <v>1528</v>
      </c>
    </row>
    <row r="653" spans="1:17" x14ac:dyDescent="0.3">
      <c r="A653" t="s">
        <v>17</v>
      </c>
      <c r="B653" t="str">
        <f>"600754"</f>
        <v>600754</v>
      </c>
      <c r="C653" t="s">
        <v>1529</v>
      </c>
      <c r="D653" t="s">
        <v>590</v>
      </c>
      <c r="F653">
        <v>17966762</v>
      </c>
      <c r="G653">
        <v>25908668</v>
      </c>
      <c r="H653">
        <v>27846208</v>
      </c>
      <c r="I653">
        <v>25337327</v>
      </c>
      <c r="P653">
        <v>668</v>
      </c>
      <c r="Q653" t="s">
        <v>1530</v>
      </c>
    </row>
    <row r="654" spans="1:17" x14ac:dyDescent="0.3">
      <c r="A654" t="s">
        <v>17</v>
      </c>
      <c r="B654" t="str">
        <f>"600755"</f>
        <v>600755</v>
      </c>
      <c r="C654" t="s">
        <v>1531</v>
      </c>
      <c r="D654" t="s">
        <v>128</v>
      </c>
      <c r="F654">
        <v>0</v>
      </c>
      <c r="G654">
        <v>0</v>
      </c>
      <c r="P654">
        <v>742</v>
      </c>
      <c r="Q654" t="s">
        <v>1532</v>
      </c>
    </row>
    <row r="655" spans="1:17" x14ac:dyDescent="0.3">
      <c r="A655" t="s">
        <v>17</v>
      </c>
      <c r="B655" t="str">
        <f>"600756"</f>
        <v>600756</v>
      </c>
      <c r="C655" t="s">
        <v>1533</v>
      </c>
      <c r="D655" t="s">
        <v>316</v>
      </c>
      <c r="F655">
        <v>242274967</v>
      </c>
      <c r="G655">
        <v>243116465</v>
      </c>
      <c r="H655">
        <v>270563119</v>
      </c>
      <c r="I655">
        <v>303841714</v>
      </c>
      <c r="P655">
        <v>265</v>
      </c>
      <c r="Q655" t="s">
        <v>1534</v>
      </c>
    </row>
    <row r="656" spans="1:17" x14ac:dyDescent="0.3">
      <c r="A656" t="s">
        <v>17</v>
      </c>
      <c r="B656" t="str">
        <f>"600757"</f>
        <v>600757</v>
      </c>
      <c r="C656" t="s">
        <v>1535</v>
      </c>
      <c r="D656" t="s">
        <v>1536</v>
      </c>
      <c r="F656">
        <v>25480918</v>
      </c>
      <c r="G656">
        <v>32028929</v>
      </c>
      <c r="H656">
        <v>90927220</v>
      </c>
      <c r="I656">
        <v>92512156</v>
      </c>
      <c r="P656">
        <v>437</v>
      </c>
      <c r="Q656" t="s">
        <v>1537</v>
      </c>
    </row>
    <row r="657" spans="1:17" x14ac:dyDescent="0.3">
      <c r="A657" t="s">
        <v>17</v>
      </c>
      <c r="B657" t="str">
        <f>"600758"</f>
        <v>600758</v>
      </c>
      <c r="C657" t="s">
        <v>1538</v>
      </c>
      <c r="D657" t="s">
        <v>298</v>
      </c>
      <c r="F657">
        <v>800000</v>
      </c>
      <c r="G657">
        <v>502873</v>
      </c>
      <c r="P657">
        <v>126</v>
      </c>
      <c r="Q657" t="s">
        <v>1539</v>
      </c>
    </row>
    <row r="658" spans="1:17" x14ac:dyDescent="0.3">
      <c r="A658" t="s">
        <v>17</v>
      </c>
      <c r="B658" t="str">
        <f>"600759"</f>
        <v>600759</v>
      </c>
      <c r="C658" t="s">
        <v>1540</v>
      </c>
      <c r="D658" t="s">
        <v>1541</v>
      </c>
      <c r="F658">
        <v>1730132</v>
      </c>
      <c r="G658">
        <v>3330805</v>
      </c>
      <c r="H658">
        <v>1985350</v>
      </c>
      <c r="P658">
        <v>125</v>
      </c>
      <c r="Q658" t="s">
        <v>1542</v>
      </c>
    </row>
    <row r="659" spans="1:17" x14ac:dyDescent="0.3">
      <c r="A659" t="s">
        <v>17</v>
      </c>
      <c r="B659" t="str">
        <f>"600760"</f>
        <v>600760</v>
      </c>
      <c r="C659" t="s">
        <v>1543</v>
      </c>
      <c r="D659" t="s">
        <v>98</v>
      </c>
      <c r="F659">
        <v>662501647</v>
      </c>
      <c r="G659">
        <v>287616524</v>
      </c>
      <c r="H659">
        <v>218351084</v>
      </c>
      <c r="I659">
        <v>171619065</v>
      </c>
      <c r="P659">
        <v>827</v>
      </c>
      <c r="Q659" t="s">
        <v>1544</v>
      </c>
    </row>
    <row r="660" spans="1:17" x14ac:dyDescent="0.3">
      <c r="A660" t="s">
        <v>17</v>
      </c>
      <c r="B660" t="str">
        <f>"600761"</f>
        <v>600761</v>
      </c>
      <c r="C660" t="s">
        <v>1545</v>
      </c>
      <c r="D660" t="s">
        <v>83</v>
      </c>
      <c r="F660">
        <v>711735817</v>
      </c>
      <c r="G660">
        <v>539161434</v>
      </c>
      <c r="H660">
        <v>492442680</v>
      </c>
      <c r="I660">
        <v>393830318</v>
      </c>
      <c r="P660">
        <v>442</v>
      </c>
      <c r="Q660" t="s">
        <v>1546</v>
      </c>
    </row>
    <row r="661" spans="1:17" x14ac:dyDescent="0.3">
      <c r="A661" t="s">
        <v>17</v>
      </c>
      <c r="B661" t="str">
        <f>"600763"</f>
        <v>600763</v>
      </c>
      <c r="C661" t="s">
        <v>1547</v>
      </c>
      <c r="D661" t="s">
        <v>1147</v>
      </c>
      <c r="F661">
        <v>59125490</v>
      </c>
      <c r="G661">
        <v>40061405</v>
      </c>
      <c r="H661">
        <v>22144367</v>
      </c>
      <c r="I661">
        <v>22999568</v>
      </c>
      <c r="P661">
        <v>38181</v>
      </c>
      <c r="Q661" t="s">
        <v>1548</v>
      </c>
    </row>
    <row r="662" spans="1:17" x14ac:dyDescent="0.3">
      <c r="A662" t="s">
        <v>17</v>
      </c>
      <c r="B662" t="str">
        <f>"600764"</f>
        <v>600764</v>
      </c>
      <c r="C662" t="s">
        <v>1549</v>
      </c>
      <c r="D662" t="s">
        <v>167</v>
      </c>
      <c r="F662">
        <v>325244787</v>
      </c>
      <c r="G662">
        <v>326285058</v>
      </c>
      <c r="H662">
        <v>267156983</v>
      </c>
      <c r="I662">
        <v>18281412</v>
      </c>
      <c r="P662">
        <v>233</v>
      </c>
      <c r="Q662" t="s">
        <v>1550</v>
      </c>
    </row>
    <row r="663" spans="1:17" x14ac:dyDescent="0.3">
      <c r="A663" t="s">
        <v>17</v>
      </c>
      <c r="B663" t="str">
        <f>"600765"</f>
        <v>600765</v>
      </c>
      <c r="C663" t="s">
        <v>1551</v>
      </c>
      <c r="D663" t="s">
        <v>98</v>
      </c>
      <c r="F663">
        <v>346450498</v>
      </c>
      <c r="G663">
        <v>294921787</v>
      </c>
      <c r="H663">
        <v>203487454</v>
      </c>
      <c r="I663">
        <v>200875087</v>
      </c>
      <c r="P663">
        <v>355</v>
      </c>
      <c r="Q663" t="s">
        <v>1552</v>
      </c>
    </row>
    <row r="664" spans="1:17" x14ac:dyDescent="0.3">
      <c r="A664" t="s">
        <v>17</v>
      </c>
      <c r="B664" t="str">
        <f>"600766"</f>
        <v>600766</v>
      </c>
      <c r="C664" t="s">
        <v>1553</v>
      </c>
      <c r="D664" t="s">
        <v>701</v>
      </c>
      <c r="F664">
        <v>0</v>
      </c>
      <c r="G664">
        <v>0</v>
      </c>
      <c r="P664">
        <v>79</v>
      </c>
      <c r="Q664" t="s">
        <v>1554</v>
      </c>
    </row>
    <row r="665" spans="1:17" x14ac:dyDescent="0.3">
      <c r="A665" t="s">
        <v>17</v>
      </c>
      <c r="B665" t="str">
        <f>"600767"</f>
        <v>600767</v>
      </c>
      <c r="C665" t="s">
        <v>1555</v>
      </c>
      <c r="D665" t="s">
        <v>125</v>
      </c>
      <c r="F665">
        <v>0</v>
      </c>
      <c r="G665">
        <v>0</v>
      </c>
      <c r="H665">
        <v>8999899</v>
      </c>
      <c r="I665">
        <v>8982443</v>
      </c>
      <c r="P665">
        <v>62</v>
      </c>
      <c r="Q665" t="s">
        <v>1556</v>
      </c>
    </row>
    <row r="666" spans="1:17" x14ac:dyDescent="0.3">
      <c r="A666" t="s">
        <v>17</v>
      </c>
      <c r="B666" t="str">
        <f>"600768"</f>
        <v>600768</v>
      </c>
      <c r="C666" t="s">
        <v>1557</v>
      </c>
      <c r="D666" t="s">
        <v>504</v>
      </c>
      <c r="F666">
        <v>0</v>
      </c>
      <c r="G666">
        <v>0</v>
      </c>
      <c r="P666">
        <v>88</v>
      </c>
      <c r="Q666" t="s">
        <v>1558</v>
      </c>
    </row>
    <row r="667" spans="1:17" x14ac:dyDescent="0.3">
      <c r="A667" t="s">
        <v>17</v>
      </c>
      <c r="B667" t="str">
        <f>"600769"</f>
        <v>600769</v>
      </c>
      <c r="C667" t="s">
        <v>1559</v>
      </c>
      <c r="D667" t="s">
        <v>33</v>
      </c>
      <c r="F667">
        <v>0</v>
      </c>
      <c r="G667">
        <v>0</v>
      </c>
      <c r="P667">
        <v>65</v>
      </c>
      <c r="Q667" t="s">
        <v>1560</v>
      </c>
    </row>
    <row r="668" spans="1:17" x14ac:dyDescent="0.3">
      <c r="A668" t="s">
        <v>17</v>
      </c>
      <c r="B668" t="str">
        <f>"600770"</f>
        <v>600770</v>
      </c>
      <c r="C668" t="s">
        <v>1561</v>
      </c>
      <c r="D668" t="s">
        <v>110</v>
      </c>
      <c r="F668">
        <v>24432189</v>
      </c>
      <c r="G668">
        <v>23398021</v>
      </c>
      <c r="H668">
        <v>29894509</v>
      </c>
      <c r="I668">
        <v>47236060</v>
      </c>
      <c r="P668">
        <v>3055</v>
      </c>
      <c r="Q668" t="s">
        <v>1562</v>
      </c>
    </row>
    <row r="669" spans="1:17" x14ac:dyDescent="0.3">
      <c r="A669" t="s">
        <v>17</v>
      </c>
      <c r="B669" t="str">
        <f>"600771"</f>
        <v>600771</v>
      </c>
      <c r="C669" t="s">
        <v>1563</v>
      </c>
      <c r="D669" t="s">
        <v>188</v>
      </c>
      <c r="F669">
        <v>25192853</v>
      </c>
      <c r="G669">
        <v>43441456</v>
      </c>
      <c r="H669">
        <v>62709803</v>
      </c>
      <c r="I669">
        <v>58442758</v>
      </c>
      <c r="P669">
        <v>477</v>
      </c>
      <c r="Q669" t="s">
        <v>1564</v>
      </c>
    </row>
    <row r="670" spans="1:17" x14ac:dyDescent="0.3">
      <c r="A670" t="s">
        <v>17</v>
      </c>
      <c r="B670" t="str">
        <f>"600773"</f>
        <v>600773</v>
      </c>
      <c r="C670" t="s">
        <v>1565</v>
      </c>
      <c r="D670" t="s">
        <v>104</v>
      </c>
      <c r="F670">
        <v>0</v>
      </c>
      <c r="G670">
        <v>0</v>
      </c>
      <c r="P670">
        <v>143</v>
      </c>
      <c r="Q670" t="s">
        <v>1566</v>
      </c>
    </row>
    <row r="671" spans="1:17" x14ac:dyDescent="0.3">
      <c r="A671" t="s">
        <v>17</v>
      </c>
      <c r="B671" t="str">
        <f>"600774"</f>
        <v>600774</v>
      </c>
      <c r="C671" t="s">
        <v>1567</v>
      </c>
      <c r="D671" t="s">
        <v>1404</v>
      </c>
      <c r="F671">
        <v>49036765</v>
      </c>
      <c r="G671">
        <v>13872361</v>
      </c>
      <c r="P671">
        <v>84</v>
      </c>
      <c r="Q671" t="s">
        <v>1568</v>
      </c>
    </row>
    <row r="672" spans="1:17" x14ac:dyDescent="0.3">
      <c r="A672" t="s">
        <v>17</v>
      </c>
      <c r="B672" t="str">
        <f>"600775"</f>
        <v>600775</v>
      </c>
      <c r="C672" t="s">
        <v>1569</v>
      </c>
      <c r="D672" t="s">
        <v>786</v>
      </c>
      <c r="F672">
        <v>213049945</v>
      </c>
      <c r="G672">
        <v>205817437</v>
      </c>
      <c r="H672">
        <v>239196399</v>
      </c>
      <c r="I672">
        <v>221663741</v>
      </c>
      <c r="P672">
        <v>179</v>
      </c>
      <c r="Q672" t="s">
        <v>1570</v>
      </c>
    </row>
    <row r="673" spans="1:17" x14ac:dyDescent="0.3">
      <c r="A673" t="s">
        <v>17</v>
      </c>
      <c r="B673" t="str">
        <f>"600776"</f>
        <v>600776</v>
      </c>
      <c r="C673" t="s">
        <v>1571</v>
      </c>
      <c r="D673" t="s">
        <v>595</v>
      </c>
      <c r="F673">
        <v>191775239</v>
      </c>
      <c r="G673">
        <v>176788795</v>
      </c>
      <c r="H673">
        <v>167116989</v>
      </c>
      <c r="I673">
        <v>148445227</v>
      </c>
      <c r="P673">
        <v>284</v>
      </c>
      <c r="Q673" t="s">
        <v>1572</v>
      </c>
    </row>
    <row r="674" spans="1:17" x14ac:dyDescent="0.3">
      <c r="A674" t="s">
        <v>17</v>
      </c>
      <c r="B674" t="str">
        <f>"600777"</f>
        <v>600777</v>
      </c>
      <c r="C674" t="s">
        <v>1573</v>
      </c>
      <c r="D674" t="s">
        <v>1541</v>
      </c>
      <c r="F674">
        <v>0</v>
      </c>
      <c r="G674">
        <v>0</v>
      </c>
      <c r="P674">
        <v>212</v>
      </c>
      <c r="Q674" t="s">
        <v>1574</v>
      </c>
    </row>
    <row r="675" spans="1:17" x14ac:dyDescent="0.3">
      <c r="A675" t="s">
        <v>17</v>
      </c>
      <c r="B675" t="str">
        <f>"600778"</f>
        <v>600778</v>
      </c>
      <c r="C675" t="s">
        <v>1575</v>
      </c>
      <c r="D675" t="s">
        <v>1404</v>
      </c>
      <c r="F675">
        <v>0</v>
      </c>
      <c r="G675">
        <v>0</v>
      </c>
      <c r="P675">
        <v>82</v>
      </c>
      <c r="Q675" t="s">
        <v>1576</v>
      </c>
    </row>
    <row r="676" spans="1:17" x14ac:dyDescent="0.3">
      <c r="A676" t="s">
        <v>17</v>
      </c>
      <c r="B676" t="str">
        <f>"600779"</f>
        <v>600779</v>
      </c>
      <c r="C676" t="s">
        <v>1577</v>
      </c>
      <c r="D676" t="s">
        <v>458</v>
      </c>
      <c r="F676">
        <v>20482036</v>
      </c>
      <c r="G676">
        <v>1792324</v>
      </c>
      <c r="H676">
        <v>2297399</v>
      </c>
      <c r="I676">
        <v>2425104</v>
      </c>
      <c r="P676">
        <v>2794</v>
      </c>
      <c r="Q676" t="s">
        <v>1578</v>
      </c>
    </row>
    <row r="677" spans="1:17" x14ac:dyDescent="0.3">
      <c r="A677" t="s">
        <v>17</v>
      </c>
      <c r="B677" t="str">
        <f>"600780"</f>
        <v>600780</v>
      </c>
      <c r="C677" t="s">
        <v>1579</v>
      </c>
      <c r="D677" t="s">
        <v>41</v>
      </c>
      <c r="F677">
        <v>1975660</v>
      </c>
      <c r="G677">
        <v>1384060</v>
      </c>
      <c r="H677">
        <v>1457170</v>
      </c>
      <c r="I677">
        <v>1958719</v>
      </c>
      <c r="P677">
        <v>108</v>
      </c>
      <c r="Q677" t="s">
        <v>1580</v>
      </c>
    </row>
    <row r="678" spans="1:17" x14ac:dyDescent="0.3">
      <c r="A678" t="s">
        <v>17</v>
      </c>
      <c r="B678" t="str">
        <f>"600781"</f>
        <v>600781</v>
      </c>
      <c r="C678" t="s">
        <v>1581</v>
      </c>
      <c r="D678" t="s">
        <v>143</v>
      </c>
      <c r="G678">
        <v>122180899</v>
      </c>
      <c r="H678">
        <v>212697330</v>
      </c>
      <c r="I678">
        <v>228939276</v>
      </c>
      <c r="P678">
        <v>194</v>
      </c>
      <c r="Q678" t="s">
        <v>1582</v>
      </c>
    </row>
    <row r="679" spans="1:17" x14ac:dyDescent="0.3">
      <c r="A679" t="s">
        <v>17</v>
      </c>
      <c r="B679" t="str">
        <f>"600782"</f>
        <v>600782</v>
      </c>
      <c r="C679" t="s">
        <v>1583</v>
      </c>
      <c r="D679" t="s">
        <v>38</v>
      </c>
      <c r="F679">
        <v>612366298</v>
      </c>
      <c r="G679">
        <v>630051311</v>
      </c>
      <c r="H679">
        <v>519146862</v>
      </c>
      <c r="I679">
        <v>533450405</v>
      </c>
      <c r="P679">
        <v>1414</v>
      </c>
      <c r="Q679" t="s">
        <v>1584</v>
      </c>
    </row>
    <row r="680" spans="1:17" x14ac:dyDescent="0.3">
      <c r="A680" t="s">
        <v>17</v>
      </c>
      <c r="B680" t="str">
        <f>"600783"</f>
        <v>600783</v>
      </c>
      <c r="C680" t="s">
        <v>1585</v>
      </c>
      <c r="D680" t="s">
        <v>110</v>
      </c>
      <c r="F680">
        <v>5012853</v>
      </c>
      <c r="G680">
        <v>4881647</v>
      </c>
      <c r="H680">
        <v>12219464</v>
      </c>
      <c r="I680">
        <v>14134896</v>
      </c>
      <c r="P680">
        <v>124</v>
      </c>
      <c r="Q680" t="s">
        <v>1586</v>
      </c>
    </row>
    <row r="681" spans="1:17" x14ac:dyDescent="0.3">
      <c r="A681" t="s">
        <v>17</v>
      </c>
      <c r="B681" t="str">
        <f>"600784"</f>
        <v>600784</v>
      </c>
      <c r="C681" t="s">
        <v>1587</v>
      </c>
      <c r="D681" t="s">
        <v>110</v>
      </c>
      <c r="F681">
        <v>93082395</v>
      </c>
      <c r="G681">
        <v>59667754</v>
      </c>
      <c r="H681">
        <v>39660837</v>
      </c>
      <c r="I681">
        <v>28908797</v>
      </c>
      <c r="P681">
        <v>74</v>
      </c>
      <c r="Q681" t="s">
        <v>1588</v>
      </c>
    </row>
    <row r="682" spans="1:17" x14ac:dyDescent="0.3">
      <c r="A682" t="s">
        <v>17</v>
      </c>
      <c r="B682" t="str">
        <f>"600785"</f>
        <v>600785</v>
      </c>
      <c r="C682" t="s">
        <v>1589</v>
      </c>
      <c r="D682" t="s">
        <v>1404</v>
      </c>
      <c r="F682">
        <v>0</v>
      </c>
      <c r="G682">
        <v>0</v>
      </c>
      <c r="P682">
        <v>99</v>
      </c>
      <c r="Q682" t="s">
        <v>1590</v>
      </c>
    </row>
    <row r="683" spans="1:17" x14ac:dyDescent="0.3">
      <c r="A683" t="s">
        <v>17</v>
      </c>
      <c r="B683" t="str">
        <f>"600787"</f>
        <v>600787</v>
      </c>
      <c r="C683" t="s">
        <v>1591</v>
      </c>
      <c r="D683" t="s">
        <v>1592</v>
      </c>
      <c r="F683">
        <v>39579329</v>
      </c>
      <c r="G683">
        <v>10207648</v>
      </c>
      <c r="H683">
        <v>16071652</v>
      </c>
      <c r="I683">
        <v>13351032</v>
      </c>
      <c r="J683">
        <v>8218434</v>
      </c>
      <c r="P683">
        <v>165</v>
      </c>
      <c r="Q683" t="s">
        <v>1593</v>
      </c>
    </row>
    <row r="684" spans="1:17" x14ac:dyDescent="0.3">
      <c r="A684" t="s">
        <v>17</v>
      </c>
      <c r="B684" t="str">
        <f>"600788"</f>
        <v>600788</v>
      </c>
      <c r="C684" t="s">
        <v>1594</v>
      </c>
      <c r="P684">
        <v>5</v>
      </c>
      <c r="Q684" t="s">
        <v>1595</v>
      </c>
    </row>
    <row r="685" spans="1:17" x14ac:dyDescent="0.3">
      <c r="A685" t="s">
        <v>17</v>
      </c>
      <c r="B685" t="str">
        <f>"600789"</f>
        <v>600789</v>
      </c>
      <c r="C685" t="s">
        <v>1596</v>
      </c>
      <c r="D685" t="s">
        <v>143</v>
      </c>
      <c r="F685">
        <v>254302434</v>
      </c>
      <c r="G685">
        <v>192634746</v>
      </c>
      <c r="H685">
        <v>140848851</v>
      </c>
      <c r="I685">
        <v>125615443</v>
      </c>
      <c r="P685">
        <v>245</v>
      </c>
      <c r="Q685" t="s">
        <v>1597</v>
      </c>
    </row>
    <row r="686" spans="1:17" x14ac:dyDescent="0.3">
      <c r="A686" t="s">
        <v>17</v>
      </c>
      <c r="B686" t="str">
        <f>"600790"</f>
        <v>600790</v>
      </c>
      <c r="C686" t="s">
        <v>1598</v>
      </c>
      <c r="D686" t="s">
        <v>271</v>
      </c>
      <c r="F686">
        <v>6552904</v>
      </c>
      <c r="G686">
        <v>4928955</v>
      </c>
      <c r="H686">
        <v>5239156</v>
      </c>
      <c r="I686">
        <v>5215636</v>
      </c>
      <c r="P686">
        <v>183</v>
      </c>
      <c r="Q686" t="s">
        <v>1599</v>
      </c>
    </row>
    <row r="687" spans="1:17" x14ac:dyDescent="0.3">
      <c r="A687" t="s">
        <v>17</v>
      </c>
      <c r="B687" t="str">
        <f>"600791"</f>
        <v>600791</v>
      </c>
      <c r="C687" t="s">
        <v>1600</v>
      </c>
      <c r="D687" t="s">
        <v>104</v>
      </c>
      <c r="F687">
        <v>0</v>
      </c>
      <c r="G687">
        <v>0</v>
      </c>
      <c r="P687">
        <v>105</v>
      </c>
      <c r="Q687" t="s">
        <v>1601</v>
      </c>
    </row>
    <row r="688" spans="1:17" x14ac:dyDescent="0.3">
      <c r="A688" t="s">
        <v>17</v>
      </c>
      <c r="B688" t="str">
        <f>"600792"</f>
        <v>600792</v>
      </c>
      <c r="C688" t="s">
        <v>1602</v>
      </c>
      <c r="D688" t="s">
        <v>885</v>
      </c>
      <c r="F688">
        <v>11740993</v>
      </c>
      <c r="G688">
        <v>7159760</v>
      </c>
      <c r="H688">
        <v>6641928</v>
      </c>
      <c r="I688">
        <v>5837596</v>
      </c>
      <c r="P688">
        <v>97</v>
      </c>
      <c r="Q688" t="s">
        <v>1603</v>
      </c>
    </row>
    <row r="689" spans="1:17" x14ac:dyDescent="0.3">
      <c r="A689" t="s">
        <v>17</v>
      </c>
      <c r="B689" t="str">
        <f>"600793"</f>
        <v>600793</v>
      </c>
      <c r="C689" t="s">
        <v>1604</v>
      </c>
      <c r="D689" t="s">
        <v>244</v>
      </c>
      <c r="F689">
        <v>5033414</v>
      </c>
      <c r="G689">
        <v>429783</v>
      </c>
      <c r="P689">
        <v>109</v>
      </c>
      <c r="Q689" t="s">
        <v>1605</v>
      </c>
    </row>
    <row r="690" spans="1:17" x14ac:dyDescent="0.3">
      <c r="A690" t="s">
        <v>17</v>
      </c>
      <c r="B690" t="str">
        <f>"600794"</f>
        <v>600794</v>
      </c>
      <c r="C690" t="s">
        <v>1606</v>
      </c>
      <c r="D690" t="s">
        <v>1592</v>
      </c>
      <c r="F690">
        <v>8833036</v>
      </c>
      <c r="G690">
        <v>17860746</v>
      </c>
      <c r="P690">
        <v>99</v>
      </c>
      <c r="Q690" t="s">
        <v>1607</v>
      </c>
    </row>
    <row r="691" spans="1:17" x14ac:dyDescent="0.3">
      <c r="A691" t="s">
        <v>17</v>
      </c>
      <c r="B691" t="str">
        <f>"600795"</f>
        <v>600795</v>
      </c>
      <c r="C691" t="s">
        <v>1608</v>
      </c>
      <c r="D691" t="s">
        <v>41</v>
      </c>
      <c r="F691">
        <v>496523493</v>
      </c>
      <c r="G691">
        <v>373836804</v>
      </c>
      <c r="H691">
        <v>319642714</v>
      </c>
      <c r="I691">
        <v>6630617</v>
      </c>
      <c r="P691">
        <v>548</v>
      </c>
      <c r="Q691" t="s">
        <v>1609</v>
      </c>
    </row>
    <row r="692" spans="1:17" x14ac:dyDescent="0.3">
      <c r="A692" t="s">
        <v>17</v>
      </c>
      <c r="B692" t="str">
        <f>"600796"</f>
        <v>600796</v>
      </c>
      <c r="C692" t="s">
        <v>1610</v>
      </c>
      <c r="D692" t="s">
        <v>853</v>
      </c>
      <c r="F692">
        <v>32029993</v>
      </c>
      <c r="G692">
        <v>11139543</v>
      </c>
      <c r="H692">
        <v>13083729</v>
      </c>
      <c r="I692">
        <v>15912818</v>
      </c>
      <c r="P692">
        <v>73</v>
      </c>
      <c r="Q692" t="s">
        <v>1611</v>
      </c>
    </row>
    <row r="693" spans="1:17" x14ac:dyDescent="0.3">
      <c r="A693" t="s">
        <v>17</v>
      </c>
      <c r="B693" t="str">
        <f>"600797"</f>
        <v>600797</v>
      </c>
      <c r="C693" t="s">
        <v>1612</v>
      </c>
      <c r="D693" t="s">
        <v>316</v>
      </c>
      <c r="F693">
        <v>352477571</v>
      </c>
      <c r="G693">
        <v>306382756</v>
      </c>
      <c r="H693">
        <v>291452002</v>
      </c>
      <c r="I693">
        <v>274350272</v>
      </c>
      <c r="P693">
        <v>221</v>
      </c>
      <c r="Q693" t="s">
        <v>1613</v>
      </c>
    </row>
    <row r="694" spans="1:17" x14ac:dyDescent="0.3">
      <c r="A694" t="s">
        <v>17</v>
      </c>
      <c r="B694" t="str">
        <f>"600798"</f>
        <v>600798</v>
      </c>
      <c r="C694" t="s">
        <v>1614</v>
      </c>
      <c r="D694" t="s">
        <v>69</v>
      </c>
      <c r="F694">
        <v>222341</v>
      </c>
      <c r="G694">
        <v>1634458</v>
      </c>
      <c r="H694">
        <v>1937193</v>
      </c>
      <c r="I694">
        <v>637508</v>
      </c>
      <c r="P694">
        <v>142</v>
      </c>
      <c r="Q694" t="s">
        <v>1615</v>
      </c>
    </row>
    <row r="695" spans="1:17" x14ac:dyDescent="0.3">
      <c r="A695" t="s">
        <v>17</v>
      </c>
      <c r="B695" t="str">
        <f>"600800"</f>
        <v>600800</v>
      </c>
      <c r="C695" t="s">
        <v>1616</v>
      </c>
      <c r="D695" t="s">
        <v>1617</v>
      </c>
      <c r="F695">
        <v>70816917</v>
      </c>
      <c r="G695">
        <v>41910560</v>
      </c>
      <c r="H695">
        <v>12267185</v>
      </c>
      <c r="I695">
        <v>9610785</v>
      </c>
      <c r="P695">
        <v>147</v>
      </c>
      <c r="Q695" t="s">
        <v>1618</v>
      </c>
    </row>
    <row r="696" spans="1:17" x14ac:dyDescent="0.3">
      <c r="A696" t="s">
        <v>17</v>
      </c>
      <c r="B696" t="str">
        <f>"600801"</f>
        <v>600801</v>
      </c>
      <c r="C696" t="s">
        <v>1619</v>
      </c>
      <c r="D696" t="s">
        <v>731</v>
      </c>
      <c r="F696">
        <v>71401459</v>
      </c>
      <c r="G696">
        <v>55979438</v>
      </c>
      <c r="H696">
        <v>37322742</v>
      </c>
      <c r="I696">
        <v>10773061</v>
      </c>
      <c r="P696">
        <v>1595</v>
      </c>
      <c r="Q696" t="s">
        <v>1620</v>
      </c>
    </row>
    <row r="697" spans="1:17" x14ac:dyDescent="0.3">
      <c r="A697" t="s">
        <v>17</v>
      </c>
      <c r="B697" t="str">
        <f>"600802"</f>
        <v>600802</v>
      </c>
      <c r="C697" t="s">
        <v>1621</v>
      </c>
      <c r="D697" t="s">
        <v>731</v>
      </c>
      <c r="F697">
        <v>0</v>
      </c>
      <c r="G697">
        <v>0</v>
      </c>
      <c r="P697">
        <v>248</v>
      </c>
      <c r="Q697" t="s">
        <v>1622</v>
      </c>
    </row>
    <row r="698" spans="1:17" x14ac:dyDescent="0.3">
      <c r="A698" t="s">
        <v>17</v>
      </c>
      <c r="B698" t="str">
        <f>"600803"</f>
        <v>600803</v>
      </c>
      <c r="C698" t="s">
        <v>1623</v>
      </c>
      <c r="D698" t="s">
        <v>749</v>
      </c>
      <c r="F698">
        <v>1035320000</v>
      </c>
      <c r="G698">
        <v>585080000</v>
      </c>
      <c r="H698">
        <v>127991237</v>
      </c>
      <c r="I698">
        <v>145656896</v>
      </c>
      <c r="P698">
        <v>577</v>
      </c>
      <c r="Q698" t="s">
        <v>1624</v>
      </c>
    </row>
    <row r="699" spans="1:17" x14ac:dyDescent="0.3">
      <c r="A699" t="s">
        <v>17</v>
      </c>
      <c r="B699" t="str">
        <f>"600804"</f>
        <v>600804</v>
      </c>
      <c r="C699" t="s">
        <v>1625</v>
      </c>
      <c r="D699" t="s">
        <v>107</v>
      </c>
      <c r="F699">
        <v>174961406</v>
      </c>
      <c r="G699">
        <v>209660965</v>
      </c>
      <c r="H699">
        <v>280846731</v>
      </c>
      <c r="I699">
        <v>323602999</v>
      </c>
      <c r="P699">
        <v>460</v>
      </c>
      <c r="Q699" t="s">
        <v>1626</v>
      </c>
    </row>
    <row r="700" spans="1:17" x14ac:dyDescent="0.3">
      <c r="A700" t="s">
        <v>17</v>
      </c>
      <c r="B700" t="str">
        <f>"600805"</f>
        <v>600805</v>
      </c>
      <c r="C700" t="s">
        <v>1627</v>
      </c>
      <c r="D700" t="s">
        <v>110</v>
      </c>
      <c r="F700">
        <v>81371946</v>
      </c>
      <c r="G700">
        <v>68746388</v>
      </c>
      <c r="H700">
        <v>49345675</v>
      </c>
      <c r="I700">
        <v>59237906</v>
      </c>
      <c r="P700">
        <v>106</v>
      </c>
      <c r="Q700" t="s">
        <v>1628</v>
      </c>
    </row>
    <row r="701" spans="1:17" x14ac:dyDescent="0.3">
      <c r="A701" t="s">
        <v>17</v>
      </c>
      <c r="B701" t="str">
        <f>"600806"</f>
        <v>600806</v>
      </c>
      <c r="C701" t="s">
        <v>1629</v>
      </c>
      <c r="P701">
        <v>11</v>
      </c>
      <c r="Q701" t="s">
        <v>1630</v>
      </c>
    </row>
    <row r="702" spans="1:17" x14ac:dyDescent="0.3">
      <c r="A702" t="s">
        <v>17</v>
      </c>
      <c r="B702" t="str">
        <f>"600807"</f>
        <v>600807</v>
      </c>
      <c r="C702" t="s">
        <v>1631</v>
      </c>
      <c r="D702" t="s">
        <v>104</v>
      </c>
      <c r="F702">
        <v>17060905</v>
      </c>
      <c r="G702">
        <v>11790395</v>
      </c>
      <c r="P702">
        <v>111</v>
      </c>
      <c r="Q702" t="s">
        <v>1632</v>
      </c>
    </row>
    <row r="703" spans="1:17" x14ac:dyDescent="0.3">
      <c r="A703" t="s">
        <v>17</v>
      </c>
      <c r="B703" t="str">
        <f>"600808"</f>
        <v>600808</v>
      </c>
      <c r="C703" t="s">
        <v>1633</v>
      </c>
      <c r="D703" t="s">
        <v>38</v>
      </c>
      <c r="F703">
        <v>4506577893</v>
      </c>
      <c r="G703">
        <v>1813176837</v>
      </c>
      <c r="H703">
        <v>846472355</v>
      </c>
      <c r="I703">
        <v>801240784</v>
      </c>
      <c r="P703">
        <v>636</v>
      </c>
      <c r="Q703" t="s">
        <v>1634</v>
      </c>
    </row>
    <row r="704" spans="1:17" x14ac:dyDescent="0.3">
      <c r="A704" t="s">
        <v>17</v>
      </c>
      <c r="B704" t="str">
        <f>"600809"</f>
        <v>600809</v>
      </c>
      <c r="C704" t="s">
        <v>1635</v>
      </c>
      <c r="D704" t="s">
        <v>458</v>
      </c>
      <c r="F704">
        <v>22994707</v>
      </c>
      <c r="G704">
        <v>16666449</v>
      </c>
      <c r="H704">
        <v>22251635</v>
      </c>
      <c r="I704">
        <v>12152024</v>
      </c>
      <c r="P704">
        <v>3740</v>
      </c>
      <c r="Q704" t="s">
        <v>1636</v>
      </c>
    </row>
    <row r="705" spans="1:17" x14ac:dyDescent="0.3">
      <c r="A705" t="s">
        <v>17</v>
      </c>
      <c r="B705" t="str">
        <f>"600810"</f>
        <v>600810</v>
      </c>
      <c r="C705" t="s">
        <v>1637</v>
      </c>
      <c r="D705" t="s">
        <v>1638</v>
      </c>
      <c r="F705">
        <v>494618513</v>
      </c>
      <c r="G705">
        <v>352479799</v>
      </c>
      <c r="H705">
        <v>188369641</v>
      </c>
      <c r="I705">
        <v>130577264</v>
      </c>
      <c r="P705">
        <v>354</v>
      </c>
      <c r="Q705" t="s">
        <v>1639</v>
      </c>
    </row>
    <row r="706" spans="1:17" x14ac:dyDescent="0.3">
      <c r="A706" t="s">
        <v>17</v>
      </c>
      <c r="B706" t="str">
        <f>"600811"</f>
        <v>600811</v>
      </c>
      <c r="C706" t="s">
        <v>1640</v>
      </c>
      <c r="D706" t="s">
        <v>110</v>
      </c>
      <c r="F706">
        <v>5715586</v>
      </c>
      <c r="G706">
        <v>2015838</v>
      </c>
      <c r="P706">
        <v>205</v>
      </c>
      <c r="Q706" t="s">
        <v>1641</v>
      </c>
    </row>
    <row r="707" spans="1:17" x14ac:dyDescent="0.3">
      <c r="A707" t="s">
        <v>17</v>
      </c>
      <c r="B707" t="str">
        <f>"600812"</f>
        <v>600812</v>
      </c>
      <c r="C707" t="s">
        <v>1642</v>
      </c>
      <c r="D707" t="s">
        <v>143</v>
      </c>
      <c r="F707">
        <v>153087952</v>
      </c>
      <c r="G707">
        <v>136157756</v>
      </c>
      <c r="H707">
        <v>67007647</v>
      </c>
      <c r="I707">
        <v>71881322</v>
      </c>
      <c r="P707">
        <v>226</v>
      </c>
      <c r="Q707" t="s">
        <v>1643</v>
      </c>
    </row>
    <row r="708" spans="1:17" x14ac:dyDescent="0.3">
      <c r="A708" t="s">
        <v>17</v>
      </c>
      <c r="B708" t="str">
        <f>"600813"</f>
        <v>600813</v>
      </c>
      <c r="C708" t="s">
        <v>1644</v>
      </c>
      <c r="P708">
        <v>2</v>
      </c>
      <c r="Q708" t="s">
        <v>1645</v>
      </c>
    </row>
    <row r="709" spans="1:17" x14ac:dyDescent="0.3">
      <c r="A709" t="s">
        <v>17</v>
      </c>
      <c r="B709" t="str">
        <f>"600814"</f>
        <v>600814</v>
      </c>
      <c r="C709" t="s">
        <v>1646</v>
      </c>
      <c r="D709" t="s">
        <v>633</v>
      </c>
      <c r="F709">
        <v>0</v>
      </c>
      <c r="G709">
        <v>0</v>
      </c>
      <c r="P709">
        <v>150</v>
      </c>
      <c r="Q709" t="s">
        <v>1647</v>
      </c>
    </row>
    <row r="710" spans="1:17" x14ac:dyDescent="0.3">
      <c r="A710" t="s">
        <v>17</v>
      </c>
      <c r="B710" t="str">
        <f>"600815"</f>
        <v>600815</v>
      </c>
      <c r="C710" t="s">
        <v>1648</v>
      </c>
      <c r="D710" t="s">
        <v>83</v>
      </c>
      <c r="F710">
        <v>27306154</v>
      </c>
      <c r="G710">
        <v>28293107</v>
      </c>
      <c r="H710">
        <v>47686571</v>
      </c>
      <c r="I710">
        <v>50843262</v>
      </c>
      <c r="P710">
        <v>67</v>
      </c>
      <c r="Q710" t="s">
        <v>1649</v>
      </c>
    </row>
    <row r="711" spans="1:17" x14ac:dyDescent="0.3">
      <c r="A711" t="s">
        <v>17</v>
      </c>
      <c r="B711" t="str">
        <f>"600816"</f>
        <v>600816</v>
      </c>
      <c r="C711" t="s">
        <v>1650</v>
      </c>
      <c r="D711" t="s">
        <v>1651</v>
      </c>
      <c r="F711">
        <v>0</v>
      </c>
      <c r="G711">
        <v>0</v>
      </c>
      <c r="P711">
        <v>6688</v>
      </c>
      <c r="Q711" t="s">
        <v>1652</v>
      </c>
    </row>
    <row r="712" spans="1:17" x14ac:dyDescent="0.3">
      <c r="A712" t="s">
        <v>17</v>
      </c>
      <c r="B712" t="str">
        <f>"600817"</f>
        <v>600817</v>
      </c>
      <c r="C712" t="s">
        <v>1653</v>
      </c>
      <c r="D712" t="s">
        <v>83</v>
      </c>
      <c r="F712">
        <v>174862972</v>
      </c>
      <c r="G712">
        <v>189249276</v>
      </c>
      <c r="H712">
        <v>948188</v>
      </c>
      <c r="P712">
        <v>104</v>
      </c>
      <c r="Q712" t="s">
        <v>1654</v>
      </c>
    </row>
    <row r="713" spans="1:17" x14ac:dyDescent="0.3">
      <c r="A713" t="s">
        <v>17</v>
      </c>
      <c r="B713" t="str">
        <f>"600818"</f>
        <v>600818</v>
      </c>
      <c r="C713" t="s">
        <v>1655</v>
      </c>
      <c r="D713" t="s">
        <v>1656</v>
      </c>
      <c r="F713">
        <v>35340938</v>
      </c>
      <c r="G713">
        <v>27408174</v>
      </c>
      <c r="H713">
        <v>31044719</v>
      </c>
      <c r="I713">
        <v>30416737</v>
      </c>
      <c r="P713">
        <v>82</v>
      </c>
      <c r="Q713" t="s">
        <v>1657</v>
      </c>
    </row>
    <row r="714" spans="1:17" x14ac:dyDescent="0.3">
      <c r="A714" t="s">
        <v>17</v>
      </c>
      <c r="B714" t="str">
        <f>"600819"</f>
        <v>600819</v>
      </c>
      <c r="C714" t="s">
        <v>1658</v>
      </c>
      <c r="D714" t="s">
        <v>666</v>
      </c>
      <c r="F714">
        <v>211176584</v>
      </c>
      <c r="G714">
        <v>184280250</v>
      </c>
      <c r="H714">
        <v>175370294</v>
      </c>
      <c r="I714">
        <v>140073278</v>
      </c>
      <c r="P714">
        <v>94</v>
      </c>
      <c r="Q714" t="s">
        <v>1659</v>
      </c>
    </row>
    <row r="715" spans="1:17" x14ac:dyDescent="0.3">
      <c r="A715" t="s">
        <v>17</v>
      </c>
      <c r="B715" t="str">
        <f>"600820"</f>
        <v>600820</v>
      </c>
      <c r="C715" t="s">
        <v>1660</v>
      </c>
      <c r="D715" t="s">
        <v>101</v>
      </c>
      <c r="F715">
        <v>2172317364</v>
      </c>
      <c r="G715">
        <v>2113553639</v>
      </c>
      <c r="H715">
        <v>1637115662</v>
      </c>
      <c r="I715">
        <v>1273850284</v>
      </c>
      <c r="P715">
        <v>685</v>
      </c>
      <c r="Q715" t="s">
        <v>1661</v>
      </c>
    </row>
    <row r="716" spans="1:17" x14ac:dyDescent="0.3">
      <c r="A716" t="s">
        <v>17</v>
      </c>
      <c r="B716" t="str">
        <f>"600821"</f>
        <v>600821</v>
      </c>
      <c r="C716" t="s">
        <v>1662</v>
      </c>
      <c r="D716" t="s">
        <v>633</v>
      </c>
      <c r="F716">
        <v>1825874</v>
      </c>
      <c r="G716">
        <v>3883495</v>
      </c>
      <c r="P716">
        <v>125</v>
      </c>
      <c r="Q716" t="s">
        <v>1663</v>
      </c>
    </row>
    <row r="717" spans="1:17" x14ac:dyDescent="0.3">
      <c r="A717" t="s">
        <v>17</v>
      </c>
      <c r="B717" t="str">
        <f>"600822"</f>
        <v>600822</v>
      </c>
      <c r="C717" t="s">
        <v>1664</v>
      </c>
      <c r="D717" t="s">
        <v>672</v>
      </c>
      <c r="F717">
        <v>0</v>
      </c>
      <c r="G717">
        <v>0</v>
      </c>
      <c r="P717">
        <v>75</v>
      </c>
      <c r="Q717" t="s">
        <v>1665</v>
      </c>
    </row>
    <row r="718" spans="1:17" x14ac:dyDescent="0.3">
      <c r="A718" t="s">
        <v>17</v>
      </c>
      <c r="B718" t="str">
        <f>"600823"</f>
        <v>600823</v>
      </c>
      <c r="C718" t="s">
        <v>1666</v>
      </c>
      <c r="D718" t="s">
        <v>104</v>
      </c>
      <c r="F718">
        <v>0</v>
      </c>
      <c r="G718">
        <v>0</v>
      </c>
      <c r="P718">
        <v>1058</v>
      </c>
      <c r="Q718" t="s">
        <v>1667</v>
      </c>
    </row>
    <row r="719" spans="1:17" x14ac:dyDescent="0.3">
      <c r="A719" t="s">
        <v>17</v>
      </c>
      <c r="B719" t="str">
        <f>"600824"</f>
        <v>600824</v>
      </c>
      <c r="C719" t="s">
        <v>1668</v>
      </c>
      <c r="D719" t="s">
        <v>1404</v>
      </c>
      <c r="F719">
        <v>4314211</v>
      </c>
      <c r="G719">
        <v>3496939</v>
      </c>
      <c r="H719">
        <v>4436520</v>
      </c>
      <c r="P719">
        <v>80</v>
      </c>
      <c r="Q719" t="s">
        <v>1669</v>
      </c>
    </row>
    <row r="720" spans="1:17" x14ac:dyDescent="0.3">
      <c r="A720" t="s">
        <v>17</v>
      </c>
      <c r="B720" t="str">
        <f>"600825"</f>
        <v>600825</v>
      </c>
      <c r="C720" t="s">
        <v>1670</v>
      </c>
      <c r="D720" t="s">
        <v>525</v>
      </c>
      <c r="F720">
        <v>0</v>
      </c>
      <c r="G720">
        <v>0</v>
      </c>
      <c r="P720">
        <v>84</v>
      </c>
      <c r="Q720" t="s">
        <v>1671</v>
      </c>
    </row>
    <row r="721" spans="1:17" x14ac:dyDescent="0.3">
      <c r="A721" t="s">
        <v>17</v>
      </c>
      <c r="B721" t="str">
        <f>"600826"</f>
        <v>600826</v>
      </c>
      <c r="C721" t="s">
        <v>1672</v>
      </c>
      <c r="D721" t="s">
        <v>1673</v>
      </c>
      <c r="F721">
        <v>0</v>
      </c>
      <c r="G721">
        <v>0</v>
      </c>
      <c r="P721">
        <v>145</v>
      </c>
      <c r="Q721" t="s">
        <v>1674</v>
      </c>
    </row>
    <row r="722" spans="1:17" x14ac:dyDescent="0.3">
      <c r="A722" t="s">
        <v>17</v>
      </c>
      <c r="B722" t="str">
        <f>"600827"</f>
        <v>600827</v>
      </c>
      <c r="C722" t="s">
        <v>1276</v>
      </c>
      <c r="D722" t="s">
        <v>1404</v>
      </c>
      <c r="F722">
        <v>21762457</v>
      </c>
      <c r="G722">
        <v>17421246</v>
      </c>
      <c r="H722">
        <v>14644458</v>
      </c>
      <c r="I722">
        <v>8314235</v>
      </c>
      <c r="P722">
        <v>274</v>
      </c>
      <c r="Q722" t="s">
        <v>1675</v>
      </c>
    </row>
    <row r="723" spans="1:17" x14ac:dyDescent="0.3">
      <c r="A723" t="s">
        <v>17</v>
      </c>
      <c r="B723" t="str">
        <f>"600828"</f>
        <v>600828</v>
      </c>
      <c r="C723" t="s">
        <v>1676</v>
      </c>
      <c r="D723" t="s">
        <v>633</v>
      </c>
      <c r="F723">
        <v>0</v>
      </c>
      <c r="G723">
        <v>0</v>
      </c>
      <c r="P723">
        <v>628</v>
      </c>
      <c r="Q723" t="s">
        <v>1677</v>
      </c>
    </row>
    <row r="724" spans="1:17" x14ac:dyDescent="0.3">
      <c r="A724" t="s">
        <v>17</v>
      </c>
      <c r="B724" t="str">
        <f>"600829"</f>
        <v>600829</v>
      </c>
      <c r="C724" t="s">
        <v>1678</v>
      </c>
      <c r="D724" t="s">
        <v>125</v>
      </c>
      <c r="F724">
        <v>0</v>
      </c>
      <c r="G724">
        <v>0</v>
      </c>
      <c r="P724">
        <v>1902</v>
      </c>
      <c r="Q724" t="s">
        <v>1679</v>
      </c>
    </row>
    <row r="725" spans="1:17" x14ac:dyDescent="0.3">
      <c r="A725" t="s">
        <v>17</v>
      </c>
      <c r="B725" t="str">
        <f>"600830"</f>
        <v>600830</v>
      </c>
      <c r="C725" t="s">
        <v>1680</v>
      </c>
      <c r="D725" t="s">
        <v>140</v>
      </c>
      <c r="F725">
        <v>0</v>
      </c>
      <c r="G725">
        <v>0</v>
      </c>
      <c r="P725">
        <v>73</v>
      </c>
      <c r="Q725" t="s">
        <v>1681</v>
      </c>
    </row>
    <row r="726" spans="1:17" x14ac:dyDescent="0.3">
      <c r="A726" t="s">
        <v>17</v>
      </c>
      <c r="B726" t="str">
        <f>"600831"</f>
        <v>600831</v>
      </c>
      <c r="C726" t="s">
        <v>1682</v>
      </c>
      <c r="D726" t="s">
        <v>95</v>
      </c>
      <c r="F726">
        <v>0</v>
      </c>
      <c r="G726">
        <v>0</v>
      </c>
      <c r="P726">
        <v>199</v>
      </c>
      <c r="Q726" t="s">
        <v>1683</v>
      </c>
    </row>
    <row r="727" spans="1:17" x14ac:dyDescent="0.3">
      <c r="A727" t="s">
        <v>17</v>
      </c>
      <c r="B727" t="str">
        <f>"600832"</f>
        <v>600832</v>
      </c>
      <c r="C727" t="s">
        <v>1287</v>
      </c>
      <c r="P727">
        <v>15</v>
      </c>
      <c r="Q727" t="s">
        <v>1684</v>
      </c>
    </row>
    <row r="728" spans="1:17" x14ac:dyDescent="0.3">
      <c r="A728" t="s">
        <v>17</v>
      </c>
      <c r="B728" t="str">
        <f>"600833"</f>
        <v>600833</v>
      </c>
      <c r="C728" t="s">
        <v>1685</v>
      </c>
      <c r="D728" t="s">
        <v>1686</v>
      </c>
      <c r="F728">
        <v>0</v>
      </c>
      <c r="G728">
        <v>0</v>
      </c>
      <c r="P728">
        <v>108</v>
      </c>
      <c r="Q728" t="s">
        <v>1687</v>
      </c>
    </row>
    <row r="729" spans="1:17" x14ac:dyDescent="0.3">
      <c r="A729" t="s">
        <v>17</v>
      </c>
      <c r="B729" t="str">
        <f>"600834"</f>
        <v>600834</v>
      </c>
      <c r="C729" t="s">
        <v>1688</v>
      </c>
      <c r="D729" t="s">
        <v>1133</v>
      </c>
      <c r="F729">
        <v>0</v>
      </c>
      <c r="G729">
        <v>0</v>
      </c>
      <c r="P729">
        <v>120</v>
      </c>
      <c r="Q729" t="s">
        <v>1689</v>
      </c>
    </row>
    <row r="730" spans="1:17" x14ac:dyDescent="0.3">
      <c r="A730" t="s">
        <v>17</v>
      </c>
      <c r="B730" t="str">
        <f>"600835"</f>
        <v>600835</v>
      </c>
      <c r="C730" t="s">
        <v>1690</v>
      </c>
      <c r="D730" t="s">
        <v>1691</v>
      </c>
      <c r="F730">
        <v>830669044</v>
      </c>
      <c r="G730">
        <v>790155287</v>
      </c>
      <c r="H730">
        <v>730617250</v>
      </c>
      <c r="I730">
        <v>697042855</v>
      </c>
      <c r="P730">
        <v>661</v>
      </c>
      <c r="Q730" t="s">
        <v>1692</v>
      </c>
    </row>
    <row r="731" spans="1:17" x14ac:dyDescent="0.3">
      <c r="A731" t="s">
        <v>17</v>
      </c>
      <c r="B731" t="str">
        <f>"600836"</f>
        <v>600836</v>
      </c>
      <c r="C731" t="s">
        <v>1693</v>
      </c>
      <c r="D731" t="s">
        <v>1694</v>
      </c>
      <c r="F731">
        <v>18572148</v>
      </c>
      <c r="G731">
        <v>23986680</v>
      </c>
      <c r="H731">
        <v>29483597</v>
      </c>
      <c r="I731">
        <v>21907074</v>
      </c>
      <c r="P731">
        <v>70</v>
      </c>
      <c r="Q731" t="s">
        <v>1695</v>
      </c>
    </row>
    <row r="732" spans="1:17" x14ac:dyDescent="0.3">
      <c r="A732" t="s">
        <v>17</v>
      </c>
      <c r="B732" t="str">
        <f>"600837"</f>
        <v>600837</v>
      </c>
      <c r="C732" t="s">
        <v>1696</v>
      </c>
      <c r="D732" t="s">
        <v>80</v>
      </c>
      <c r="P732">
        <v>4978</v>
      </c>
      <c r="Q732" t="s">
        <v>1697</v>
      </c>
    </row>
    <row r="733" spans="1:17" x14ac:dyDescent="0.3">
      <c r="A733" t="s">
        <v>17</v>
      </c>
      <c r="B733" t="str">
        <f>"600838"</f>
        <v>600838</v>
      </c>
      <c r="C733" t="s">
        <v>1698</v>
      </c>
      <c r="D733" t="s">
        <v>1404</v>
      </c>
      <c r="F733">
        <v>22214</v>
      </c>
      <c r="G733">
        <v>0</v>
      </c>
      <c r="P733">
        <v>79</v>
      </c>
      <c r="Q733" t="s">
        <v>1699</v>
      </c>
    </row>
    <row r="734" spans="1:17" x14ac:dyDescent="0.3">
      <c r="A734" t="s">
        <v>17</v>
      </c>
      <c r="B734" t="str">
        <f>"600839"</f>
        <v>600839</v>
      </c>
      <c r="C734" t="s">
        <v>1700</v>
      </c>
      <c r="D734" t="s">
        <v>137</v>
      </c>
      <c r="F734">
        <v>2092807354</v>
      </c>
      <c r="G734">
        <v>1889483514</v>
      </c>
      <c r="H734">
        <v>1589465533</v>
      </c>
      <c r="I734">
        <v>1326890306</v>
      </c>
      <c r="P734">
        <v>272</v>
      </c>
      <c r="Q734" t="s">
        <v>1701</v>
      </c>
    </row>
    <row r="735" spans="1:17" x14ac:dyDescent="0.3">
      <c r="A735" t="s">
        <v>17</v>
      </c>
      <c r="B735" t="str">
        <f>"600841"</f>
        <v>600841</v>
      </c>
      <c r="C735" t="s">
        <v>1702</v>
      </c>
      <c r="D735" t="s">
        <v>348</v>
      </c>
      <c r="F735">
        <v>482689306</v>
      </c>
      <c r="G735">
        <v>241408282</v>
      </c>
      <c r="H735">
        <v>215767500</v>
      </c>
      <c r="I735">
        <v>183166669</v>
      </c>
      <c r="P735">
        <v>88</v>
      </c>
      <c r="Q735" t="s">
        <v>1703</v>
      </c>
    </row>
    <row r="736" spans="1:17" x14ac:dyDescent="0.3">
      <c r="A736" t="s">
        <v>17</v>
      </c>
      <c r="B736" t="str">
        <f>"600843"</f>
        <v>600843</v>
      </c>
      <c r="C736" t="s">
        <v>1704</v>
      </c>
      <c r="D736" t="s">
        <v>534</v>
      </c>
      <c r="F736">
        <v>112720240</v>
      </c>
      <c r="G736">
        <v>123559801</v>
      </c>
      <c r="H736">
        <v>100964059</v>
      </c>
      <c r="I736">
        <v>97647658</v>
      </c>
      <c r="P736">
        <v>78</v>
      </c>
      <c r="Q736" t="s">
        <v>1705</v>
      </c>
    </row>
    <row r="737" spans="1:17" x14ac:dyDescent="0.3">
      <c r="A737" t="s">
        <v>17</v>
      </c>
      <c r="B737" t="str">
        <f>"600844"</f>
        <v>600844</v>
      </c>
      <c r="C737" t="s">
        <v>1706</v>
      </c>
      <c r="D737" t="s">
        <v>914</v>
      </c>
      <c r="F737">
        <v>47265282</v>
      </c>
      <c r="G737">
        <v>41473494</v>
      </c>
      <c r="H737">
        <v>48759413</v>
      </c>
      <c r="I737">
        <v>40177964</v>
      </c>
      <c r="P737">
        <v>106</v>
      </c>
      <c r="Q737" t="s">
        <v>1707</v>
      </c>
    </row>
    <row r="738" spans="1:17" x14ac:dyDescent="0.3">
      <c r="A738" t="s">
        <v>17</v>
      </c>
      <c r="B738" t="str">
        <f>"600845"</f>
        <v>600845</v>
      </c>
      <c r="C738" t="s">
        <v>1708</v>
      </c>
      <c r="D738" t="s">
        <v>316</v>
      </c>
      <c r="F738">
        <v>1289643638</v>
      </c>
      <c r="G738">
        <v>948770810</v>
      </c>
      <c r="H738">
        <v>723753908</v>
      </c>
      <c r="I738">
        <v>551213576</v>
      </c>
      <c r="P738">
        <v>1594</v>
      </c>
      <c r="Q738" t="s">
        <v>1709</v>
      </c>
    </row>
    <row r="739" spans="1:17" x14ac:dyDescent="0.3">
      <c r="A739" t="s">
        <v>17</v>
      </c>
      <c r="B739" t="str">
        <f>"600846"</f>
        <v>600846</v>
      </c>
      <c r="C739" t="s">
        <v>1710</v>
      </c>
      <c r="D739" t="s">
        <v>104</v>
      </c>
      <c r="F739">
        <v>42673114</v>
      </c>
      <c r="G739">
        <v>25480308</v>
      </c>
      <c r="H739">
        <v>17934286</v>
      </c>
      <c r="I739">
        <v>16877763</v>
      </c>
      <c r="P739">
        <v>355</v>
      </c>
      <c r="Q739" t="s">
        <v>1711</v>
      </c>
    </row>
    <row r="740" spans="1:17" x14ac:dyDescent="0.3">
      <c r="A740" t="s">
        <v>17</v>
      </c>
      <c r="B740" t="str">
        <f>"600847"</f>
        <v>600847</v>
      </c>
      <c r="C740" t="s">
        <v>1712</v>
      </c>
      <c r="D740" t="s">
        <v>555</v>
      </c>
      <c r="F740">
        <v>1962668</v>
      </c>
      <c r="G740">
        <v>2320157</v>
      </c>
      <c r="H740">
        <v>2205562</v>
      </c>
      <c r="I740">
        <v>1750252</v>
      </c>
      <c r="P740">
        <v>54</v>
      </c>
      <c r="Q740" t="s">
        <v>1713</v>
      </c>
    </row>
    <row r="741" spans="1:17" x14ac:dyDescent="0.3">
      <c r="A741" t="s">
        <v>17</v>
      </c>
      <c r="B741" t="str">
        <f>"600848"</f>
        <v>600848</v>
      </c>
      <c r="C741" t="s">
        <v>1714</v>
      </c>
      <c r="D741" t="s">
        <v>194</v>
      </c>
      <c r="F741">
        <v>0</v>
      </c>
      <c r="G741">
        <v>0</v>
      </c>
      <c r="P741">
        <v>271</v>
      </c>
      <c r="Q741" t="s">
        <v>1715</v>
      </c>
    </row>
    <row r="742" spans="1:17" x14ac:dyDescent="0.3">
      <c r="A742" t="s">
        <v>17</v>
      </c>
      <c r="B742" t="str">
        <f>"600849"</f>
        <v>600849</v>
      </c>
      <c r="C742" t="s">
        <v>1716</v>
      </c>
      <c r="P742">
        <v>3</v>
      </c>
      <c r="Q742" t="s">
        <v>1717</v>
      </c>
    </row>
    <row r="743" spans="1:17" x14ac:dyDescent="0.3">
      <c r="A743" t="s">
        <v>17</v>
      </c>
      <c r="B743" t="str">
        <f>"600850"</f>
        <v>600850</v>
      </c>
      <c r="C743" t="s">
        <v>1718</v>
      </c>
      <c r="D743" t="s">
        <v>316</v>
      </c>
      <c r="F743">
        <v>330405399</v>
      </c>
      <c r="G743">
        <v>306707418</v>
      </c>
      <c r="H743">
        <v>280685801</v>
      </c>
      <c r="I743">
        <v>251589523</v>
      </c>
      <c r="P743">
        <v>322</v>
      </c>
      <c r="Q743" t="s">
        <v>1719</v>
      </c>
    </row>
    <row r="744" spans="1:17" x14ac:dyDescent="0.3">
      <c r="A744" t="s">
        <v>17</v>
      </c>
      <c r="B744" t="str">
        <f>"600851"</f>
        <v>600851</v>
      </c>
      <c r="C744" t="s">
        <v>1720</v>
      </c>
      <c r="D744" t="s">
        <v>143</v>
      </c>
      <c r="F744">
        <v>23913873</v>
      </c>
      <c r="G744">
        <v>21610562</v>
      </c>
      <c r="H744">
        <v>19940755</v>
      </c>
      <c r="I744">
        <v>15800789</v>
      </c>
      <c r="P744">
        <v>98</v>
      </c>
      <c r="Q744" t="s">
        <v>1721</v>
      </c>
    </row>
    <row r="745" spans="1:17" x14ac:dyDescent="0.3">
      <c r="A745" t="s">
        <v>17</v>
      </c>
      <c r="B745" t="str">
        <f>"600852"</f>
        <v>600852</v>
      </c>
      <c r="C745" t="s">
        <v>1722</v>
      </c>
      <c r="P745">
        <v>3</v>
      </c>
      <c r="Q745" t="s">
        <v>1723</v>
      </c>
    </row>
    <row r="746" spans="1:17" x14ac:dyDescent="0.3">
      <c r="A746" t="s">
        <v>17</v>
      </c>
      <c r="B746" t="str">
        <f>"600853"</f>
        <v>600853</v>
      </c>
      <c r="C746" t="s">
        <v>1724</v>
      </c>
      <c r="D746" t="s">
        <v>101</v>
      </c>
      <c r="F746">
        <v>620757061</v>
      </c>
      <c r="G746">
        <v>170548306</v>
      </c>
      <c r="H746">
        <v>13151138</v>
      </c>
      <c r="I746">
        <v>7118866</v>
      </c>
      <c r="P746">
        <v>94</v>
      </c>
      <c r="Q746" t="s">
        <v>1725</v>
      </c>
    </row>
    <row r="747" spans="1:17" x14ac:dyDescent="0.3">
      <c r="A747" t="s">
        <v>17</v>
      </c>
      <c r="B747" t="str">
        <f>"600854"</f>
        <v>600854</v>
      </c>
      <c r="C747" t="s">
        <v>1726</v>
      </c>
      <c r="D747" t="s">
        <v>1727</v>
      </c>
      <c r="F747">
        <v>915330</v>
      </c>
      <c r="G747">
        <v>1037120</v>
      </c>
      <c r="H747">
        <v>740293</v>
      </c>
      <c r="I747">
        <v>421534</v>
      </c>
      <c r="P747">
        <v>146</v>
      </c>
      <c r="Q747" t="s">
        <v>1728</v>
      </c>
    </row>
    <row r="748" spans="1:17" x14ac:dyDescent="0.3">
      <c r="A748" t="s">
        <v>17</v>
      </c>
      <c r="B748" t="str">
        <f>"600855"</f>
        <v>600855</v>
      </c>
      <c r="C748" t="s">
        <v>1729</v>
      </c>
      <c r="D748" t="s">
        <v>236</v>
      </c>
      <c r="F748">
        <v>150678273</v>
      </c>
      <c r="G748">
        <v>103931527</v>
      </c>
      <c r="H748">
        <v>74494044</v>
      </c>
      <c r="I748">
        <v>39069424</v>
      </c>
      <c r="P748">
        <v>139</v>
      </c>
      <c r="Q748" t="s">
        <v>1730</v>
      </c>
    </row>
    <row r="749" spans="1:17" x14ac:dyDescent="0.3">
      <c r="A749" t="s">
        <v>17</v>
      </c>
      <c r="B749" t="str">
        <f>"600856"</f>
        <v>600856</v>
      </c>
      <c r="C749" t="s">
        <v>1731</v>
      </c>
      <c r="D749" t="s">
        <v>1541</v>
      </c>
      <c r="F749">
        <v>0</v>
      </c>
      <c r="G749">
        <v>0</v>
      </c>
      <c r="P749">
        <v>129</v>
      </c>
      <c r="Q749" t="s">
        <v>1732</v>
      </c>
    </row>
    <row r="750" spans="1:17" x14ac:dyDescent="0.3">
      <c r="A750" t="s">
        <v>17</v>
      </c>
      <c r="B750" t="str">
        <f>"600857"</f>
        <v>600857</v>
      </c>
      <c r="C750" t="s">
        <v>1733</v>
      </c>
      <c r="D750" t="s">
        <v>633</v>
      </c>
      <c r="F750">
        <v>0</v>
      </c>
      <c r="G750">
        <v>0</v>
      </c>
      <c r="P750">
        <v>74</v>
      </c>
      <c r="Q750" t="s">
        <v>1734</v>
      </c>
    </row>
    <row r="751" spans="1:17" x14ac:dyDescent="0.3">
      <c r="A751" t="s">
        <v>17</v>
      </c>
      <c r="B751" t="str">
        <f>"600858"</f>
        <v>600858</v>
      </c>
      <c r="C751" t="s">
        <v>1735</v>
      </c>
      <c r="D751" t="s">
        <v>1404</v>
      </c>
      <c r="F751">
        <v>0</v>
      </c>
      <c r="G751">
        <v>0</v>
      </c>
      <c r="P751">
        <v>91</v>
      </c>
      <c r="Q751" t="s">
        <v>1736</v>
      </c>
    </row>
    <row r="752" spans="1:17" x14ac:dyDescent="0.3">
      <c r="A752" t="s">
        <v>17</v>
      </c>
      <c r="B752" t="str">
        <f>"600859"</f>
        <v>600859</v>
      </c>
      <c r="C752" t="s">
        <v>1737</v>
      </c>
      <c r="D752" t="s">
        <v>633</v>
      </c>
      <c r="F752">
        <v>0</v>
      </c>
      <c r="G752">
        <v>0</v>
      </c>
      <c r="P752">
        <v>553</v>
      </c>
      <c r="Q752" t="s">
        <v>1738</v>
      </c>
    </row>
    <row r="753" spans="1:17" x14ac:dyDescent="0.3">
      <c r="A753" t="s">
        <v>17</v>
      </c>
      <c r="B753" t="str">
        <f>"600860"</f>
        <v>600860</v>
      </c>
      <c r="C753" t="s">
        <v>1739</v>
      </c>
      <c r="D753" t="s">
        <v>274</v>
      </c>
      <c r="F753">
        <v>26536622</v>
      </c>
      <c r="G753">
        <v>26555136</v>
      </c>
      <c r="H753">
        <v>14278613</v>
      </c>
      <c r="I753">
        <v>11827459</v>
      </c>
      <c r="P753">
        <v>108</v>
      </c>
      <c r="Q753" t="s">
        <v>1740</v>
      </c>
    </row>
    <row r="754" spans="1:17" x14ac:dyDescent="0.3">
      <c r="A754" t="s">
        <v>17</v>
      </c>
      <c r="B754" t="str">
        <f>"600861"</f>
        <v>600861</v>
      </c>
      <c r="C754" t="s">
        <v>1741</v>
      </c>
      <c r="D754" t="s">
        <v>1404</v>
      </c>
      <c r="F754">
        <v>0</v>
      </c>
      <c r="G754">
        <v>0</v>
      </c>
      <c r="P754">
        <v>72</v>
      </c>
      <c r="Q754" t="s">
        <v>1742</v>
      </c>
    </row>
    <row r="755" spans="1:17" x14ac:dyDescent="0.3">
      <c r="A755" t="s">
        <v>17</v>
      </c>
      <c r="B755" t="str">
        <f>"600862"</f>
        <v>600862</v>
      </c>
      <c r="C755" t="s">
        <v>1743</v>
      </c>
      <c r="D755" t="s">
        <v>98</v>
      </c>
      <c r="F755">
        <v>151240268</v>
      </c>
      <c r="G755">
        <v>90637125</v>
      </c>
      <c r="H755">
        <v>97665909</v>
      </c>
      <c r="I755">
        <v>62664711</v>
      </c>
      <c r="P755">
        <v>457</v>
      </c>
      <c r="Q755" t="s">
        <v>1744</v>
      </c>
    </row>
    <row r="756" spans="1:17" x14ac:dyDescent="0.3">
      <c r="A756" t="s">
        <v>17</v>
      </c>
      <c r="B756" t="str">
        <f>"600863"</f>
        <v>600863</v>
      </c>
      <c r="C756" t="s">
        <v>1745</v>
      </c>
      <c r="D756" t="s">
        <v>41</v>
      </c>
      <c r="F756">
        <v>7103227</v>
      </c>
      <c r="G756">
        <v>18399963</v>
      </c>
      <c r="P756">
        <v>308</v>
      </c>
      <c r="Q756" t="s">
        <v>1746</v>
      </c>
    </row>
    <row r="757" spans="1:17" x14ac:dyDescent="0.3">
      <c r="A757" t="s">
        <v>17</v>
      </c>
      <c r="B757" t="str">
        <f>"600864"</f>
        <v>600864</v>
      </c>
      <c r="C757" t="s">
        <v>1747</v>
      </c>
      <c r="D757" t="s">
        <v>80</v>
      </c>
      <c r="F757">
        <v>0</v>
      </c>
      <c r="G757">
        <v>0</v>
      </c>
      <c r="P757">
        <v>412</v>
      </c>
      <c r="Q757" t="s">
        <v>1748</v>
      </c>
    </row>
    <row r="758" spans="1:17" x14ac:dyDescent="0.3">
      <c r="A758" t="s">
        <v>17</v>
      </c>
      <c r="B758" t="str">
        <f>"600865"</f>
        <v>600865</v>
      </c>
      <c r="C758" t="s">
        <v>1749</v>
      </c>
      <c r="D758" t="s">
        <v>633</v>
      </c>
      <c r="F758">
        <v>0</v>
      </c>
      <c r="G758">
        <v>0</v>
      </c>
      <c r="P758">
        <v>123</v>
      </c>
      <c r="Q758" t="s">
        <v>1750</v>
      </c>
    </row>
    <row r="759" spans="1:17" x14ac:dyDescent="0.3">
      <c r="A759" t="s">
        <v>17</v>
      </c>
      <c r="B759" t="str">
        <f>"600866"</f>
        <v>600866</v>
      </c>
      <c r="C759" t="s">
        <v>1751</v>
      </c>
      <c r="D759" t="s">
        <v>677</v>
      </c>
      <c r="F759">
        <v>68877956</v>
      </c>
      <c r="G759">
        <v>58679169</v>
      </c>
      <c r="H759">
        <v>53550926</v>
      </c>
      <c r="I759">
        <v>36467030</v>
      </c>
      <c r="P759">
        <v>143</v>
      </c>
      <c r="Q759" t="s">
        <v>1752</v>
      </c>
    </row>
    <row r="760" spans="1:17" x14ac:dyDescent="0.3">
      <c r="A760" t="s">
        <v>17</v>
      </c>
      <c r="B760" t="str">
        <f>"600867"</f>
        <v>600867</v>
      </c>
      <c r="C760" t="s">
        <v>1753</v>
      </c>
      <c r="D760" t="s">
        <v>1379</v>
      </c>
      <c r="F760">
        <v>166855900</v>
      </c>
      <c r="G760">
        <v>106926064</v>
      </c>
      <c r="H760">
        <v>78043444</v>
      </c>
      <c r="I760">
        <v>97651504</v>
      </c>
      <c r="P760">
        <v>2946</v>
      </c>
      <c r="Q760" t="s">
        <v>1754</v>
      </c>
    </row>
    <row r="761" spans="1:17" x14ac:dyDescent="0.3">
      <c r="A761" t="s">
        <v>17</v>
      </c>
      <c r="B761" t="str">
        <f>"600868"</f>
        <v>600868</v>
      </c>
      <c r="C761" t="s">
        <v>1755</v>
      </c>
      <c r="D761" t="s">
        <v>66</v>
      </c>
      <c r="F761">
        <v>8101794</v>
      </c>
      <c r="G761">
        <v>0</v>
      </c>
      <c r="P761">
        <v>125</v>
      </c>
      <c r="Q761" t="s">
        <v>1756</v>
      </c>
    </row>
    <row r="762" spans="1:17" x14ac:dyDescent="0.3">
      <c r="A762" t="s">
        <v>17</v>
      </c>
      <c r="B762" t="str">
        <f>"600869"</f>
        <v>600869</v>
      </c>
      <c r="C762" t="s">
        <v>1757</v>
      </c>
      <c r="D762" t="s">
        <v>1164</v>
      </c>
      <c r="F762">
        <v>530402706</v>
      </c>
      <c r="G762">
        <v>346003148</v>
      </c>
      <c r="H762">
        <v>295580267</v>
      </c>
      <c r="I762">
        <v>239391302</v>
      </c>
      <c r="P762">
        <v>206</v>
      </c>
      <c r="Q762" t="s">
        <v>1758</v>
      </c>
    </row>
    <row r="763" spans="1:17" x14ac:dyDescent="0.3">
      <c r="A763" t="s">
        <v>17</v>
      </c>
      <c r="B763" t="str">
        <f>"600870"</f>
        <v>600870</v>
      </c>
      <c r="C763" t="s">
        <v>1759</v>
      </c>
      <c r="D763" t="s">
        <v>131</v>
      </c>
      <c r="F763">
        <v>0</v>
      </c>
      <c r="G763">
        <v>0</v>
      </c>
      <c r="P763">
        <v>55</v>
      </c>
      <c r="Q763" t="s">
        <v>1760</v>
      </c>
    </row>
    <row r="764" spans="1:17" x14ac:dyDescent="0.3">
      <c r="A764" t="s">
        <v>17</v>
      </c>
      <c r="B764" t="str">
        <f>"600871"</f>
        <v>600871</v>
      </c>
      <c r="C764" t="s">
        <v>1761</v>
      </c>
      <c r="D764" t="s">
        <v>1762</v>
      </c>
      <c r="F764">
        <v>1669706000</v>
      </c>
      <c r="G764">
        <v>1369501000</v>
      </c>
      <c r="H764">
        <v>1194198000</v>
      </c>
      <c r="I764">
        <v>928586000</v>
      </c>
      <c r="P764">
        <v>172</v>
      </c>
      <c r="Q764" t="s">
        <v>1763</v>
      </c>
    </row>
    <row r="765" spans="1:17" x14ac:dyDescent="0.3">
      <c r="A765" t="s">
        <v>17</v>
      </c>
      <c r="B765" t="str">
        <f>"600872"</f>
        <v>600872</v>
      </c>
      <c r="C765" t="s">
        <v>1764</v>
      </c>
      <c r="D765" t="s">
        <v>433</v>
      </c>
      <c r="F765">
        <v>170105531</v>
      </c>
      <c r="G765">
        <v>154130172</v>
      </c>
      <c r="H765">
        <v>147189722</v>
      </c>
      <c r="I765">
        <v>121868261</v>
      </c>
      <c r="P765">
        <v>2534</v>
      </c>
      <c r="Q765" t="s">
        <v>1765</v>
      </c>
    </row>
    <row r="766" spans="1:17" x14ac:dyDescent="0.3">
      <c r="A766" t="s">
        <v>17</v>
      </c>
      <c r="B766" t="str">
        <f>"600873"</f>
        <v>600873</v>
      </c>
      <c r="C766" t="s">
        <v>1766</v>
      </c>
      <c r="D766" t="s">
        <v>433</v>
      </c>
      <c r="F766">
        <v>254879968</v>
      </c>
      <c r="G766">
        <v>173142009</v>
      </c>
      <c r="H766">
        <v>60544869</v>
      </c>
      <c r="I766">
        <v>29058271</v>
      </c>
      <c r="P766">
        <v>992</v>
      </c>
      <c r="Q766" t="s">
        <v>1767</v>
      </c>
    </row>
    <row r="767" spans="1:17" x14ac:dyDescent="0.3">
      <c r="A767" t="s">
        <v>17</v>
      </c>
      <c r="B767" t="str">
        <f>"600874"</f>
        <v>600874</v>
      </c>
      <c r="C767" t="s">
        <v>1768</v>
      </c>
      <c r="D767" t="s">
        <v>33</v>
      </c>
      <c r="F767">
        <v>18345000</v>
      </c>
      <c r="G767">
        <v>13201000</v>
      </c>
      <c r="H767">
        <v>17925000</v>
      </c>
      <c r="I767">
        <v>10439000</v>
      </c>
      <c r="P767">
        <v>203</v>
      </c>
      <c r="Q767" t="s">
        <v>1769</v>
      </c>
    </row>
    <row r="768" spans="1:17" x14ac:dyDescent="0.3">
      <c r="A768" t="s">
        <v>17</v>
      </c>
      <c r="B768" t="str">
        <f>"600875"</f>
        <v>600875</v>
      </c>
      <c r="C768" t="s">
        <v>1770</v>
      </c>
      <c r="D768" t="s">
        <v>973</v>
      </c>
      <c r="F768">
        <v>2109687441</v>
      </c>
      <c r="G768">
        <v>2002738591</v>
      </c>
      <c r="H768">
        <v>1888388725</v>
      </c>
      <c r="I768">
        <v>1689014827</v>
      </c>
      <c r="J768">
        <v>1435218361</v>
      </c>
      <c r="P768">
        <v>482</v>
      </c>
      <c r="Q768" t="s">
        <v>1771</v>
      </c>
    </row>
    <row r="769" spans="1:17" x14ac:dyDescent="0.3">
      <c r="A769" t="s">
        <v>17</v>
      </c>
      <c r="B769" t="str">
        <f>"600876"</f>
        <v>600876</v>
      </c>
      <c r="C769" t="s">
        <v>1772</v>
      </c>
      <c r="D769" t="s">
        <v>666</v>
      </c>
      <c r="F769">
        <v>154331929</v>
      </c>
      <c r="G769">
        <v>120749370</v>
      </c>
      <c r="H769">
        <v>66823936</v>
      </c>
      <c r="I769">
        <v>62819240</v>
      </c>
      <c r="P769">
        <v>175</v>
      </c>
      <c r="Q769" t="s">
        <v>1773</v>
      </c>
    </row>
    <row r="770" spans="1:17" x14ac:dyDescent="0.3">
      <c r="A770" t="s">
        <v>17</v>
      </c>
      <c r="B770" t="str">
        <f>"600877"</f>
        <v>600877</v>
      </c>
      <c r="C770" t="s">
        <v>1774</v>
      </c>
      <c r="D770" t="s">
        <v>359</v>
      </c>
      <c r="F770">
        <v>189889887</v>
      </c>
      <c r="G770">
        <v>37676572</v>
      </c>
      <c r="H770">
        <v>41938446</v>
      </c>
      <c r="I770">
        <v>1148885</v>
      </c>
      <c r="P770">
        <v>119</v>
      </c>
      <c r="Q770" t="s">
        <v>1775</v>
      </c>
    </row>
    <row r="771" spans="1:17" x14ac:dyDescent="0.3">
      <c r="A771" t="s">
        <v>17</v>
      </c>
      <c r="B771" t="str">
        <f>"600878"</f>
        <v>600878</v>
      </c>
      <c r="C771" t="s">
        <v>1776</v>
      </c>
      <c r="P771">
        <v>2</v>
      </c>
      <c r="Q771" t="s">
        <v>1777</v>
      </c>
    </row>
    <row r="772" spans="1:17" x14ac:dyDescent="0.3">
      <c r="A772" t="s">
        <v>17</v>
      </c>
      <c r="B772" t="str">
        <f>"600879"</f>
        <v>600879</v>
      </c>
      <c r="C772" t="s">
        <v>1778</v>
      </c>
      <c r="D772" t="s">
        <v>284</v>
      </c>
      <c r="F772">
        <v>718535281</v>
      </c>
      <c r="G772">
        <v>571738829</v>
      </c>
      <c r="H772">
        <v>545702286</v>
      </c>
      <c r="I772">
        <v>391167549</v>
      </c>
      <c r="P772">
        <v>359</v>
      </c>
      <c r="Q772" t="s">
        <v>1779</v>
      </c>
    </row>
    <row r="773" spans="1:17" x14ac:dyDescent="0.3">
      <c r="A773" t="s">
        <v>17</v>
      </c>
      <c r="B773" t="str">
        <f>"600880"</f>
        <v>600880</v>
      </c>
      <c r="C773" t="s">
        <v>1780</v>
      </c>
      <c r="D773" t="s">
        <v>1781</v>
      </c>
      <c r="F773">
        <v>39673661</v>
      </c>
      <c r="G773">
        <v>35422460</v>
      </c>
      <c r="H773">
        <v>33950095</v>
      </c>
      <c r="I773">
        <v>100026669</v>
      </c>
      <c r="P773">
        <v>314</v>
      </c>
      <c r="Q773" t="s">
        <v>1782</v>
      </c>
    </row>
    <row r="774" spans="1:17" x14ac:dyDescent="0.3">
      <c r="A774" t="s">
        <v>17</v>
      </c>
      <c r="B774" t="str">
        <f>"600881"</f>
        <v>600881</v>
      </c>
      <c r="C774" t="s">
        <v>1783</v>
      </c>
      <c r="D774" t="s">
        <v>110</v>
      </c>
      <c r="F774">
        <v>196549915</v>
      </c>
      <c r="G774">
        <v>159675479</v>
      </c>
      <c r="H774">
        <v>124765621</v>
      </c>
      <c r="I774">
        <v>18012111</v>
      </c>
      <c r="P774">
        <v>144</v>
      </c>
      <c r="Q774" t="s">
        <v>1784</v>
      </c>
    </row>
    <row r="775" spans="1:17" x14ac:dyDescent="0.3">
      <c r="A775" t="s">
        <v>17</v>
      </c>
      <c r="B775" t="str">
        <f>"600882"</f>
        <v>600882</v>
      </c>
      <c r="C775" t="s">
        <v>1785</v>
      </c>
      <c r="D775" t="s">
        <v>900</v>
      </c>
      <c r="F775">
        <v>40090274</v>
      </c>
      <c r="G775">
        <v>38860661</v>
      </c>
      <c r="H775">
        <v>22304115</v>
      </c>
      <c r="I775">
        <v>13976667</v>
      </c>
      <c r="P775">
        <v>515</v>
      </c>
      <c r="Q775" t="s">
        <v>1786</v>
      </c>
    </row>
    <row r="776" spans="1:17" x14ac:dyDescent="0.3">
      <c r="A776" t="s">
        <v>17</v>
      </c>
      <c r="B776" t="str">
        <f>"600883"</f>
        <v>600883</v>
      </c>
      <c r="C776" t="s">
        <v>1787</v>
      </c>
      <c r="D776" t="s">
        <v>731</v>
      </c>
      <c r="F776">
        <v>0</v>
      </c>
      <c r="G776">
        <v>0</v>
      </c>
      <c r="P776">
        <v>78</v>
      </c>
      <c r="Q776" t="s">
        <v>1788</v>
      </c>
    </row>
    <row r="777" spans="1:17" x14ac:dyDescent="0.3">
      <c r="A777" t="s">
        <v>17</v>
      </c>
      <c r="B777" t="str">
        <f>"600884"</f>
        <v>600884</v>
      </c>
      <c r="C777" t="s">
        <v>1789</v>
      </c>
      <c r="D777" t="s">
        <v>1790</v>
      </c>
      <c r="F777">
        <v>715632070</v>
      </c>
      <c r="G777">
        <v>392960107</v>
      </c>
      <c r="H777">
        <v>411881794</v>
      </c>
      <c r="I777">
        <v>374844004</v>
      </c>
      <c r="P777">
        <v>758</v>
      </c>
      <c r="Q777" t="s">
        <v>1791</v>
      </c>
    </row>
    <row r="778" spans="1:17" x14ac:dyDescent="0.3">
      <c r="A778" t="s">
        <v>17</v>
      </c>
      <c r="B778" t="str">
        <f>"600885"</f>
        <v>600885</v>
      </c>
      <c r="C778" t="s">
        <v>1792</v>
      </c>
      <c r="D778" t="s">
        <v>610</v>
      </c>
      <c r="F778">
        <v>495298632</v>
      </c>
      <c r="G778">
        <v>381167895</v>
      </c>
      <c r="H778">
        <v>350421077</v>
      </c>
      <c r="I778">
        <v>330737918</v>
      </c>
      <c r="P778">
        <v>13103</v>
      </c>
      <c r="Q778" t="s">
        <v>1793</v>
      </c>
    </row>
    <row r="779" spans="1:17" x14ac:dyDescent="0.3">
      <c r="A779" t="s">
        <v>17</v>
      </c>
      <c r="B779" t="str">
        <f>"600886"</f>
        <v>600886</v>
      </c>
      <c r="C779" t="s">
        <v>1794</v>
      </c>
      <c r="D779" t="s">
        <v>66</v>
      </c>
      <c r="F779">
        <v>31306405</v>
      </c>
      <c r="G779">
        <v>37865006</v>
      </c>
      <c r="H779">
        <v>34670514</v>
      </c>
      <c r="I779">
        <v>1283632</v>
      </c>
      <c r="P779">
        <v>2023</v>
      </c>
      <c r="Q779" t="s">
        <v>1795</v>
      </c>
    </row>
    <row r="780" spans="1:17" x14ac:dyDescent="0.3">
      <c r="A780" t="s">
        <v>17</v>
      </c>
      <c r="B780" t="str">
        <f>"600887"</f>
        <v>600887</v>
      </c>
      <c r="C780" t="s">
        <v>1796</v>
      </c>
      <c r="D780" t="s">
        <v>900</v>
      </c>
      <c r="F780">
        <v>601017082</v>
      </c>
      <c r="G780">
        <v>487099849</v>
      </c>
      <c r="H780">
        <v>495170757</v>
      </c>
      <c r="I780">
        <v>426873117</v>
      </c>
      <c r="P780">
        <v>72799</v>
      </c>
      <c r="Q780" t="s">
        <v>1797</v>
      </c>
    </row>
    <row r="781" spans="1:17" x14ac:dyDescent="0.3">
      <c r="A781" t="s">
        <v>17</v>
      </c>
      <c r="B781" t="str">
        <f>"600888"</f>
        <v>600888</v>
      </c>
      <c r="C781" t="s">
        <v>1798</v>
      </c>
      <c r="D781" t="s">
        <v>504</v>
      </c>
      <c r="F781">
        <v>33927247</v>
      </c>
      <c r="G781">
        <v>37717258</v>
      </c>
      <c r="H781">
        <v>48243124</v>
      </c>
      <c r="I781">
        <v>36790975</v>
      </c>
      <c r="P781">
        <v>183</v>
      </c>
      <c r="Q781" t="s">
        <v>1799</v>
      </c>
    </row>
    <row r="782" spans="1:17" x14ac:dyDescent="0.3">
      <c r="A782" t="s">
        <v>17</v>
      </c>
      <c r="B782" t="str">
        <f>"600889"</f>
        <v>600889</v>
      </c>
      <c r="C782" t="s">
        <v>1800</v>
      </c>
      <c r="D782" t="s">
        <v>888</v>
      </c>
      <c r="F782">
        <v>16658681</v>
      </c>
      <c r="G782">
        <v>2499030</v>
      </c>
      <c r="H782">
        <v>2767588</v>
      </c>
      <c r="I782">
        <v>1411141</v>
      </c>
      <c r="P782">
        <v>77</v>
      </c>
      <c r="Q782" t="s">
        <v>1801</v>
      </c>
    </row>
    <row r="783" spans="1:17" x14ac:dyDescent="0.3">
      <c r="A783" t="s">
        <v>17</v>
      </c>
      <c r="B783" t="str">
        <f>"600890"</f>
        <v>600890</v>
      </c>
      <c r="C783" t="s">
        <v>1802</v>
      </c>
      <c r="D783" t="s">
        <v>30</v>
      </c>
      <c r="F783">
        <v>0</v>
      </c>
      <c r="G783">
        <v>0</v>
      </c>
      <c r="P783">
        <v>73</v>
      </c>
      <c r="Q783" t="s">
        <v>1803</v>
      </c>
    </row>
    <row r="784" spans="1:17" x14ac:dyDescent="0.3">
      <c r="A784" t="s">
        <v>17</v>
      </c>
      <c r="B784" t="str">
        <f>"600891"</f>
        <v>600891</v>
      </c>
      <c r="C784" t="s">
        <v>1804</v>
      </c>
      <c r="G784">
        <v>0</v>
      </c>
      <c r="H784">
        <v>0</v>
      </c>
      <c r="I784">
        <v>0</v>
      </c>
      <c r="P784">
        <v>45</v>
      </c>
      <c r="Q784" t="s">
        <v>1805</v>
      </c>
    </row>
    <row r="785" spans="1:17" x14ac:dyDescent="0.3">
      <c r="A785" t="s">
        <v>17</v>
      </c>
      <c r="B785" t="str">
        <f>"600892"</f>
        <v>600892</v>
      </c>
      <c r="C785" t="s">
        <v>1806</v>
      </c>
      <c r="D785" t="s">
        <v>517</v>
      </c>
      <c r="F785">
        <v>67742368</v>
      </c>
      <c r="G785">
        <v>63359171</v>
      </c>
      <c r="H785">
        <v>67478224</v>
      </c>
      <c r="I785">
        <v>75198952</v>
      </c>
      <c r="P785">
        <v>85</v>
      </c>
      <c r="Q785" t="s">
        <v>1807</v>
      </c>
    </row>
    <row r="786" spans="1:17" x14ac:dyDescent="0.3">
      <c r="A786" t="s">
        <v>17</v>
      </c>
      <c r="B786" t="str">
        <f>"600893"</f>
        <v>600893</v>
      </c>
      <c r="C786" t="s">
        <v>1808</v>
      </c>
      <c r="D786" t="s">
        <v>98</v>
      </c>
      <c r="F786">
        <v>472765376</v>
      </c>
      <c r="G786">
        <v>446966547</v>
      </c>
      <c r="H786">
        <v>420148544</v>
      </c>
      <c r="I786">
        <v>442571929</v>
      </c>
      <c r="P786">
        <v>1086</v>
      </c>
      <c r="Q786" t="s">
        <v>1809</v>
      </c>
    </row>
    <row r="787" spans="1:17" x14ac:dyDescent="0.3">
      <c r="A787" t="s">
        <v>17</v>
      </c>
      <c r="B787" t="str">
        <f>"600894"</f>
        <v>600894</v>
      </c>
      <c r="C787" t="s">
        <v>1810</v>
      </c>
      <c r="D787" t="s">
        <v>1691</v>
      </c>
      <c r="F787">
        <v>266282002</v>
      </c>
      <c r="G787">
        <v>228681385</v>
      </c>
      <c r="H787">
        <v>207524894</v>
      </c>
      <c r="I787">
        <v>199927690</v>
      </c>
      <c r="P787">
        <v>394</v>
      </c>
      <c r="Q787" t="s">
        <v>1811</v>
      </c>
    </row>
    <row r="788" spans="1:17" x14ac:dyDescent="0.3">
      <c r="A788" t="s">
        <v>17</v>
      </c>
      <c r="B788" t="str">
        <f>"600895"</f>
        <v>600895</v>
      </c>
      <c r="C788" t="s">
        <v>1812</v>
      </c>
      <c r="D788" t="s">
        <v>194</v>
      </c>
      <c r="F788">
        <v>0</v>
      </c>
      <c r="G788">
        <v>0</v>
      </c>
      <c r="P788">
        <v>336</v>
      </c>
      <c r="Q788" t="s">
        <v>1813</v>
      </c>
    </row>
    <row r="789" spans="1:17" x14ac:dyDescent="0.3">
      <c r="A789" t="s">
        <v>17</v>
      </c>
      <c r="B789" t="str">
        <f>"600896"</f>
        <v>600896</v>
      </c>
      <c r="C789" t="s">
        <v>1814</v>
      </c>
      <c r="D789" t="s">
        <v>1147</v>
      </c>
      <c r="F789">
        <v>0</v>
      </c>
      <c r="G789">
        <v>0</v>
      </c>
      <c r="P789">
        <v>93</v>
      </c>
      <c r="Q789" t="s">
        <v>1815</v>
      </c>
    </row>
    <row r="790" spans="1:17" x14ac:dyDescent="0.3">
      <c r="A790" t="s">
        <v>17</v>
      </c>
      <c r="B790" t="str">
        <f>"600897"</f>
        <v>600897</v>
      </c>
      <c r="C790" t="s">
        <v>1816</v>
      </c>
      <c r="D790" t="s">
        <v>22</v>
      </c>
      <c r="F790">
        <v>0</v>
      </c>
      <c r="G790">
        <v>0</v>
      </c>
      <c r="P790">
        <v>479</v>
      </c>
      <c r="Q790" t="s">
        <v>1817</v>
      </c>
    </row>
    <row r="791" spans="1:17" x14ac:dyDescent="0.3">
      <c r="A791" t="s">
        <v>17</v>
      </c>
      <c r="B791" t="str">
        <f>"600898"</f>
        <v>600898</v>
      </c>
      <c r="C791" t="s">
        <v>1818</v>
      </c>
      <c r="D791" t="s">
        <v>313</v>
      </c>
      <c r="F791">
        <v>8700611</v>
      </c>
      <c r="G791">
        <v>9265966</v>
      </c>
      <c r="H791">
        <v>75851087</v>
      </c>
      <c r="I791">
        <v>122882140</v>
      </c>
      <c r="P791">
        <v>57</v>
      </c>
      <c r="Q791" t="s">
        <v>1819</v>
      </c>
    </row>
    <row r="792" spans="1:17" x14ac:dyDescent="0.3">
      <c r="A792" t="s">
        <v>17</v>
      </c>
      <c r="B792" t="str">
        <f>"600900"</f>
        <v>600900</v>
      </c>
      <c r="C792" t="s">
        <v>1820</v>
      </c>
      <c r="D792" t="s">
        <v>66</v>
      </c>
      <c r="F792">
        <v>39416835</v>
      </c>
      <c r="G792">
        <v>39568010</v>
      </c>
      <c r="H792">
        <v>41066919</v>
      </c>
      <c r="I792">
        <v>42489564</v>
      </c>
      <c r="P792">
        <v>5901</v>
      </c>
      <c r="Q792" t="s">
        <v>1821</v>
      </c>
    </row>
    <row r="793" spans="1:17" x14ac:dyDescent="0.3">
      <c r="A793" t="s">
        <v>17</v>
      </c>
      <c r="B793" t="str">
        <f>"600901"</f>
        <v>600901</v>
      </c>
      <c r="C793" t="s">
        <v>1822</v>
      </c>
      <c r="D793" t="s">
        <v>336</v>
      </c>
      <c r="F793">
        <v>0</v>
      </c>
      <c r="G793">
        <v>0</v>
      </c>
      <c r="H793">
        <v>0</v>
      </c>
      <c r="P793">
        <v>475</v>
      </c>
      <c r="Q793" t="s">
        <v>1823</v>
      </c>
    </row>
    <row r="794" spans="1:17" x14ac:dyDescent="0.3">
      <c r="A794" t="s">
        <v>17</v>
      </c>
      <c r="B794" t="str">
        <f>"600903"</f>
        <v>600903</v>
      </c>
      <c r="C794" t="s">
        <v>1824</v>
      </c>
      <c r="D794" t="s">
        <v>749</v>
      </c>
      <c r="F794">
        <v>660405</v>
      </c>
      <c r="G794">
        <v>1078821</v>
      </c>
      <c r="H794">
        <v>476480</v>
      </c>
      <c r="P794">
        <v>186</v>
      </c>
      <c r="Q794" t="s">
        <v>1825</v>
      </c>
    </row>
    <row r="795" spans="1:17" x14ac:dyDescent="0.3">
      <c r="A795" t="s">
        <v>17</v>
      </c>
      <c r="B795" t="str">
        <f>"600905"</f>
        <v>600905</v>
      </c>
      <c r="C795" t="s">
        <v>1826</v>
      </c>
      <c r="D795" t="s">
        <v>383</v>
      </c>
      <c r="F795">
        <v>7419746</v>
      </c>
      <c r="G795">
        <v>1301530</v>
      </c>
      <c r="H795">
        <v>1530183</v>
      </c>
      <c r="I795">
        <v>36493</v>
      </c>
      <c r="J795">
        <v>12227999</v>
      </c>
      <c r="P795">
        <v>657</v>
      </c>
      <c r="Q795" t="s">
        <v>1827</v>
      </c>
    </row>
    <row r="796" spans="1:17" x14ac:dyDescent="0.3">
      <c r="A796" t="s">
        <v>17</v>
      </c>
      <c r="B796" t="str">
        <f>"600906"</f>
        <v>600906</v>
      </c>
      <c r="C796" t="s">
        <v>1828</v>
      </c>
      <c r="D796" t="s">
        <v>80</v>
      </c>
      <c r="F796">
        <v>0</v>
      </c>
      <c r="G796">
        <v>0</v>
      </c>
      <c r="H796">
        <v>0</v>
      </c>
      <c r="I796">
        <v>0</v>
      </c>
      <c r="P796">
        <v>131</v>
      </c>
      <c r="Q796" t="s">
        <v>1829</v>
      </c>
    </row>
    <row r="797" spans="1:17" x14ac:dyDescent="0.3">
      <c r="A797" t="s">
        <v>17</v>
      </c>
      <c r="B797" t="str">
        <f>"600908"</f>
        <v>600908</v>
      </c>
      <c r="C797" t="s">
        <v>1830</v>
      </c>
      <c r="D797" t="s">
        <v>1831</v>
      </c>
      <c r="P797">
        <v>897</v>
      </c>
      <c r="Q797" t="s">
        <v>1832</v>
      </c>
    </row>
    <row r="798" spans="1:17" x14ac:dyDescent="0.3">
      <c r="A798" t="s">
        <v>17</v>
      </c>
      <c r="B798" t="str">
        <f>"600909"</f>
        <v>600909</v>
      </c>
      <c r="C798" t="s">
        <v>1833</v>
      </c>
      <c r="D798" t="s">
        <v>80</v>
      </c>
      <c r="P798">
        <v>832</v>
      </c>
      <c r="Q798" t="s">
        <v>1834</v>
      </c>
    </row>
    <row r="799" spans="1:17" x14ac:dyDescent="0.3">
      <c r="A799" t="s">
        <v>17</v>
      </c>
      <c r="B799" t="str">
        <f>"600916"</f>
        <v>600916</v>
      </c>
      <c r="C799" t="s">
        <v>1835</v>
      </c>
      <c r="D799" t="s">
        <v>1238</v>
      </c>
      <c r="F799">
        <v>14624960</v>
      </c>
      <c r="G799">
        <v>5406046</v>
      </c>
      <c r="H799">
        <v>8527364</v>
      </c>
      <c r="I799">
        <v>3464485</v>
      </c>
      <c r="J799">
        <v>3522362</v>
      </c>
      <c r="P799">
        <v>97</v>
      </c>
      <c r="Q799" t="s">
        <v>1836</v>
      </c>
    </row>
    <row r="800" spans="1:17" x14ac:dyDescent="0.3">
      <c r="A800" t="s">
        <v>17</v>
      </c>
      <c r="B800" t="str">
        <f>"600917"</f>
        <v>600917</v>
      </c>
      <c r="C800" t="s">
        <v>1837</v>
      </c>
      <c r="D800" t="s">
        <v>749</v>
      </c>
      <c r="F800">
        <v>3036908</v>
      </c>
      <c r="G800">
        <v>1590923</v>
      </c>
      <c r="H800">
        <v>3620325</v>
      </c>
      <c r="I800">
        <v>7029898</v>
      </c>
      <c r="P800">
        <v>176</v>
      </c>
      <c r="Q800" t="s">
        <v>1838</v>
      </c>
    </row>
    <row r="801" spans="1:17" x14ac:dyDescent="0.3">
      <c r="A801" t="s">
        <v>17</v>
      </c>
      <c r="B801" t="str">
        <f>"600918"</f>
        <v>600918</v>
      </c>
      <c r="C801" t="s">
        <v>1839</v>
      </c>
      <c r="D801" t="s">
        <v>80</v>
      </c>
      <c r="P801">
        <v>568</v>
      </c>
      <c r="Q801" t="s">
        <v>1840</v>
      </c>
    </row>
    <row r="802" spans="1:17" x14ac:dyDescent="0.3">
      <c r="A802" t="s">
        <v>17</v>
      </c>
      <c r="B802" t="str">
        <f>"600919"</f>
        <v>600919</v>
      </c>
      <c r="C802" t="s">
        <v>1841</v>
      </c>
      <c r="D802" t="s">
        <v>1842</v>
      </c>
      <c r="P802">
        <v>1465</v>
      </c>
      <c r="Q802" t="s">
        <v>1843</v>
      </c>
    </row>
    <row r="803" spans="1:17" x14ac:dyDescent="0.3">
      <c r="A803" t="s">
        <v>17</v>
      </c>
      <c r="B803" t="str">
        <f>"600926"</f>
        <v>600926</v>
      </c>
      <c r="C803" t="s">
        <v>1844</v>
      </c>
      <c r="D803" t="s">
        <v>1842</v>
      </c>
      <c r="P803">
        <v>1141</v>
      </c>
      <c r="Q803" t="s">
        <v>1845</v>
      </c>
    </row>
    <row r="804" spans="1:17" x14ac:dyDescent="0.3">
      <c r="A804" t="s">
        <v>17</v>
      </c>
      <c r="B804" t="str">
        <f>"600927"</f>
        <v>600927</v>
      </c>
      <c r="C804" t="s">
        <v>1846</v>
      </c>
      <c r="D804" t="s">
        <v>1847</v>
      </c>
      <c r="F804">
        <v>0</v>
      </c>
      <c r="G804">
        <v>0</v>
      </c>
      <c r="H804">
        <v>0</v>
      </c>
      <c r="I804">
        <v>0</v>
      </c>
      <c r="P804">
        <v>22</v>
      </c>
      <c r="Q804" t="s">
        <v>1848</v>
      </c>
    </row>
    <row r="805" spans="1:17" x14ac:dyDescent="0.3">
      <c r="A805" t="s">
        <v>17</v>
      </c>
      <c r="B805" t="str">
        <f>"600928"</f>
        <v>600928</v>
      </c>
      <c r="C805" t="s">
        <v>1849</v>
      </c>
      <c r="D805" t="s">
        <v>1842</v>
      </c>
      <c r="P805">
        <v>409</v>
      </c>
      <c r="Q805" t="s">
        <v>1850</v>
      </c>
    </row>
    <row r="806" spans="1:17" x14ac:dyDescent="0.3">
      <c r="A806" t="s">
        <v>17</v>
      </c>
      <c r="B806" t="str">
        <f>"600929"</f>
        <v>600929</v>
      </c>
      <c r="C806" t="s">
        <v>1851</v>
      </c>
      <c r="D806" t="s">
        <v>736</v>
      </c>
      <c r="F806">
        <v>187879688</v>
      </c>
      <c r="G806">
        <v>84985931</v>
      </c>
      <c r="H806">
        <v>87867120</v>
      </c>
      <c r="I806">
        <v>91296321</v>
      </c>
      <c r="P806">
        <v>133</v>
      </c>
      <c r="Q806" t="s">
        <v>1852</v>
      </c>
    </row>
    <row r="807" spans="1:17" x14ac:dyDescent="0.3">
      <c r="A807" t="s">
        <v>17</v>
      </c>
      <c r="B807" t="str">
        <f>"600933"</f>
        <v>600933</v>
      </c>
      <c r="C807" t="s">
        <v>1853</v>
      </c>
      <c r="D807" t="s">
        <v>348</v>
      </c>
      <c r="F807">
        <v>184432034</v>
      </c>
      <c r="G807">
        <v>128518962</v>
      </c>
      <c r="H807">
        <v>117235084</v>
      </c>
      <c r="I807">
        <v>102331976</v>
      </c>
      <c r="P807">
        <v>176</v>
      </c>
      <c r="Q807" t="s">
        <v>1854</v>
      </c>
    </row>
    <row r="808" spans="1:17" x14ac:dyDescent="0.3">
      <c r="A808" t="s">
        <v>17</v>
      </c>
      <c r="B808" t="str">
        <f>"600935"</f>
        <v>600935</v>
      </c>
      <c r="C808" t="s">
        <v>1855</v>
      </c>
      <c r="D808" t="s">
        <v>175</v>
      </c>
      <c r="F808">
        <v>230153861</v>
      </c>
      <c r="G808">
        <v>186625685</v>
      </c>
      <c r="H808">
        <v>183631085</v>
      </c>
      <c r="I808">
        <v>170536296</v>
      </c>
      <c r="J808">
        <v>131318445</v>
      </c>
      <c r="P808">
        <v>16</v>
      </c>
      <c r="Q808" t="s">
        <v>1856</v>
      </c>
    </row>
    <row r="809" spans="1:17" x14ac:dyDescent="0.3">
      <c r="A809" t="s">
        <v>17</v>
      </c>
      <c r="B809" t="str">
        <f>"600936"</f>
        <v>600936</v>
      </c>
      <c r="C809" t="s">
        <v>1857</v>
      </c>
      <c r="D809" t="s">
        <v>95</v>
      </c>
      <c r="F809">
        <v>67900092</v>
      </c>
      <c r="G809">
        <v>66017169</v>
      </c>
      <c r="H809">
        <v>75479492</v>
      </c>
      <c r="I809">
        <v>82992001</v>
      </c>
      <c r="P809">
        <v>80</v>
      </c>
      <c r="Q809" t="s">
        <v>1858</v>
      </c>
    </row>
    <row r="810" spans="1:17" x14ac:dyDescent="0.3">
      <c r="A810" t="s">
        <v>17</v>
      </c>
      <c r="B810" t="str">
        <f>"600938"</f>
        <v>600938</v>
      </c>
      <c r="C810" t="s">
        <v>1859</v>
      </c>
      <c r="F810">
        <v>1506000000</v>
      </c>
      <c r="G810">
        <v>1321075400</v>
      </c>
      <c r="H810">
        <v>984921800</v>
      </c>
      <c r="I810">
        <v>715097300</v>
      </c>
      <c r="P810">
        <v>26</v>
      </c>
      <c r="Q810" t="s">
        <v>1860</v>
      </c>
    </row>
    <row r="811" spans="1:17" x14ac:dyDescent="0.3">
      <c r="A811" t="s">
        <v>17</v>
      </c>
      <c r="B811" t="str">
        <f>"600939"</f>
        <v>600939</v>
      </c>
      <c r="C811" t="s">
        <v>1861</v>
      </c>
      <c r="D811" t="s">
        <v>398</v>
      </c>
      <c r="F811">
        <v>78060980</v>
      </c>
      <c r="G811">
        <v>61417407</v>
      </c>
      <c r="H811">
        <v>54518288</v>
      </c>
      <c r="I811">
        <v>39379054</v>
      </c>
      <c r="P811">
        <v>125</v>
      </c>
      <c r="Q811" t="s">
        <v>1862</v>
      </c>
    </row>
    <row r="812" spans="1:17" x14ac:dyDescent="0.3">
      <c r="A812" t="s">
        <v>17</v>
      </c>
      <c r="B812" t="str">
        <f>"600941"</f>
        <v>600941</v>
      </c>
      <c r="C812" t="s">
        <v>1863</v>
      </c>
      <c r="D812" t="s">
        <v>107</v>
      </c>
      <c r="F812">
        <v>15577000000</v>
      </c>
      <c r="G812">
        <v>11099000000</v>
      </c>
      <c r="H812">
        <v>6670000000</v>
      </c>
      <c r="I812">
        <v>3865000000</v>
      </c>
      <c r="P812">
        <v>114</v>
      </c>
      <c r="Q812" t="s">
        <v>1864</v>
      </c>
    </row>
    <row r="813" spans="1:17" x14ac:dyDescent="0.3">
      <c r="A813" t="s">
        <v>17</v>
      </c>
      <c r="B813" t="str">
        <f>"600955"</f>
        <v>600955</v>
      </c>
      <c r="C813" t="s">
        <v>1865</v>
      </c>
      <c r="D813" t="s">
        <v>1233</v>
      </c>
      <c r="F813">
        <v>15472168</v>
      </c>
      <c r="G813">
        <v>9228927</v>
      </c>
      <c r="H813">
        <v>11225062</v>
      </c>
      <c r="I813">
        <v>3093243</v>
      </c>
      <c r="J813">
        <v>993996</v>
      </c>
      <c r="P813">
        <v>46</v>
      </c>
      <c r="Q813" t="s">
        <v>1866</v>
      </c>
    </row>
    <row r="814" spans="1:17" x14ac:dyDescent="0.3">
      <c r="A814" t="s">
        <v>17</v>
      </c>
      <c r="B814" t="str">
        <f>"600956"</f>
        <v>600956</v>
      </c>
      <c r="C814" t="s">
        <v>1867</v>
      </c>
      <c r="D814" t="s">
        <v>383</v>
      </c>
      <c r="F814">
        <v>72022184</v>
      </c>
      <c r="G814">
        <v>36417584</v>
      </c>
      <c r="H814">
        <v>10292552</v>
      </c>
      <c r="I814">
        <v>8012949</v>
      </c>
      <c r="J814">
        <v>6146670</v>
      </c>
      <c r="P814">
        <v>206</v>
      </c>
      <c r="Q814" t="s">
        <v>1868</v>
      </c>
    </row>
    <row r="815" spans="1:17" x14ac:dyDescent="0.3">
      <c r="A815" t="s">
        <v>17</v>
      </c>
      <c r="B815" t="str">
        <f>"600958"</f>
        <v>600958</v>
      </c>
      <c r="C815" t="s">
        <v>1869</v>
      </c>
      <c r="D815" t="s">
        <v>80</v>
      </c>
      <c r="P815">
        <v>1248</v>
      </c>
      <c r="Q815" t="s">
        <v>1870</v>
      </c>
    </row>
    <row r="816" spans="1:17" x14ac:dyDescent="0.3">
      <c r="A816" t="s">
        <v>17</v>
      </c>
      <c r="B816" t="str">
        <f>"600959"</f>
        <v>600959</v>
      </c>
      <c r="C816" t="s">
        <v>1871</v>
      </c>
      <c r="D816" t="s">
        <v>95</v>
      </c>
      <c r="F816">
        <v>96355701</v>
      </c>
      <c r="G816">
        <v>13257089</v>
      </c>
      <c r="H816">
        <v>14864764</v>
      </c>
      <c r="I816">
        <v>26565609</v>
      </c>
      <c r="P816">
        <v>150</v>
      </c>
      <c r="Q816" t="s">
        <v>1872</v>
      </c>
    </row>
    <row r="817" spans="1:17" x14ac:dyDescent="0.3">
      <c r="A817" t="s">
        <v>17</v>
      </c>
      <c r="B817" t="str">
        <f>"600960"</f>
        <v>600960</v>
      </c>
      <c r="C817" t="s">
        <v>1873</v>
      </c>
      <c r="D817" t="s">
        <v>348</v>
      </c>
      <c r="F817">
        <v>126408043</v>
      </c>
      <c r="G817">
        <v>117018835</v>
      </c>
      <c r="H817">
        <v>102271492</v>
      </c>
      <c r="I817">
        <v>104368354</v>
      </c>
      <c r="P817">
        <v>91</v>
      </c>
      <c r="Q817" t="s">
        <v>1874</v>
      </c>
    </row>
    <row r="818" spans="1:17" x14ac:dyDescent="0.3">
      <c r="A818" t="s">
        <v>17</v>
      </c>
      <c r="B818" t="str">
        <f>"600961"</f>
        <v>600961</v>
      </c>
      <c r="C818" t="s">
        <v>1875</v>
      </c>
      <c r="D818" t="s">
        <v>744</v>
      </c>
      <c r="F818">
        <v>72909106</v>
      </c>
      <c r="G818">
        <v>62942308</v>
      </c>
      <c r="H818">
        <v>48967694</v>
      </c>
      <c r="I818">
        <v>24711791</v>
      </c>
      <c r="P818">
        <v>127</v>
      </c>
      <c r="Q818" t="s">
        <v>1876</v>
      </c>
    </row>
    <row r="819" spans="1:17" x14ac:dyDescent="0.3">
      <c r="A819" t="s">
        <v>17</v>
      </c>
      <c r="B819" t="str">
        <f>"600962"</f>
        <v>600962</v>
      </c>
      <c r="C819" t="s">
        <v>1877</v>
      </c>
      <c r="D819" t="s">
        <v>574</v>
      </c>
      <c r="F819">
        <v>6452150</v>
      </c>
      <c r="G819">
        <v>9722485</v>
      </c>
      <c r="H819">
        <v>7698555</v>
      </c>
      <c r="I819">
        <v>5757767</v>
      </c>
      <c r="P819">
        <v>94</v>
      </c>
      <c r="Q819" t="s">
        <v>1878</v>
      </c>
    </row>
    <row r="820" spans="1:17" x14ac:dyDescent="0.3">
      <c r="A820" t="s">
        <v>17</v>
      </c>
      <c r="B820" t="str">
        <f>"600963"</f>
        <v>600963</v>
      </c>
      <c r="C820" t="s">
        <v>1879</v>
      </c>
      <c r="D820" t="s">
        <v>694</v>
      </c>
      <c r="F820">
        <v>248151622</v>
      </c>
      <c r="G820">
        <v>239475217</v>
      </c>
      <c r="H820">
        <v>225033509</v>
      </c>
      <c r="I820">
        <v>188869012</v>
      </c>
      <c r="P820">
        <v>201</v>
      </c>
      <c r="Q820" t="s">
        <v>1880</v>
      </c>
    </row>
    <row r="821" spans="1:17" x14ac:dyDescent="0.3">
      <c r="A821" t="s">
        <v>17</v>
      </c>
      <c r="B821" t="str">
        <f>"600965"</f>
        <v>600965</v>
      </c>
      <c r="C821" t="s">
        <v>1881</v>
      </c>
      <c r="D821" t="s">
        <v>1882</v>
      </c>
      <c r="F821">
        <v>16438101</v>
      </c>
      <c r="G821">
        <v>29560641</v>
      </c>
      <c r="H821">
        <v>32103022</v>
      </c>
      <c r="P821">
        <v>113</v>
      </c>
      <c r="Q821" t="s">
        <v>1883</v>
      </c>
    </row>
    <row r="822" spans="1:17" x14ac:dyDescent="0.3">
      <c r="A822" t="s">
        <v>17</v>
      </c>
      <c r="B822" t="str">
        <f>"600966"</f>
        <v>600966</v>
      </c>
      <c r="C822" t="s">
        <v>1884</v>
      </c>
      <c r="D822" t="s">
        <v>694</v>
      </c>
      <c r="F822">
        <v>555893282</v>
      </c>
      <c r="G822">
        <v>279551581</v>
      </c>
      <c r="H822">
        <v>7482885</v>
      </c>
      <c r="I822">
        <v>5666596</v>
      </c>
      <c r="P822">
        <v>398</v>
      </c>
      <c r="Q822" t="s">
        <v>1885</v>
      </c>
    </row>
    <row r="823" spans="1:17" x14ac:dyDescent="0.3">
      <c r="A823" t="s">
        <v>17</v>
      </c>
      <c r="B823" t="str">
        <f>"600967"</f>
        <v>600967</v>
      </c>
      <c r="C823" t="s">
        <v>1886</v>
      </c>
      <c r="D823" t="s">
        <v>428</v>
      </c>
      <c r="F823">
        <v>422778840</v>
      </c>
      <c r="G823">
        <v>364193111</v>
      </c>
      <c r="H823">
        <v>387436328</v>
      </c>
      <c r="I823">
        <v>390675115</v>
      </c>
      <c r="P823">
        <v>286</v>
      </c>
      <c r="Q823" t="s">
        <v>1887</v>
      </c>
    </row>
    <row r="824" spans="1:17" x14ac:dyDescent="0.3">
      <c r="A824" t="s">
        <v>17</v>
      </c>
      <c r="B824" t="str">
        <f>"600968"</f>
        <v>600968</v>
      </c>
      <c r="C824" t="s">
        <v>1888</v>
      </c>
      <c r="D824" t="s">
        <v>1762</v>
      </c>
      <c r="F824">
        <v>1040598625</v>
      </c>
      <c r="G824">
        <v>855285754</v>
      </c>
      <c r="H824">
        <v>804908380</v>
      </c>
      <c r="I824">
        <v>640478804</v>
      </c>
      <c r="J824">
        <v>524665847</v>
      </c>
      <c r="K824">
        <v>511358780</v>
      </c>
      <c r="P824">
        <v>189</v>
      </c>
      <c r="Q824" t="s">
        <v>1889</v>
      </c>
    </row>
    <row r="825" spans="1:17" x14ac:dyDescent="0.3">
      <c r="A825" t="s">
        <v>17</v>
      </c>
      <c r="B825" t="str">
        <f>"600969"</f>
        <v>600969</v>
      </c>
      <c r="C825" t="s">
        <v>1890</v>
      </c>
      <c r="D825" t="s">
        <v>239</v>
      </c>
      <c r="F825">
        <v>1272726</v>
      </c>
      <c r="G825">
        <v>0</v>
      </c>
      <c r="P825">
        <v>77</v>
      </c>
      <c r="Q825" t="s">
        <v>1891</v>
      </c>
    </row>
    <row r="826" spans="1:17" x14ac:dyDescent="0.3">
      <c r="A826" t="s">
        <v>17</v>
      </c>
      <c r="B826" t="str">
        <f>"600970"</f>
        <v>600970</v>
      </c>
      <c r="C826" t="s">
        <v>1892</v>
      </c>
      <c r="D826" t="s">
        <v>1893</v>
      </c>
      <c r="F826">
        <v>1165663697</v>
      </c>
      <c r="G826">
        <v>608636167</v>
      </c>
      <c r="H826">
        <v>610233395</v>
      </c>
      <c r="I826">
        <v>564141362</v>
      </c>
      <c r="P826">
        <v>853</v>
      </c>
      <c r="Q826" t="s">
        <v>1894</v>
      </c>
    </row>
    <row r="827" spans="1:17" x14ac:dyDescent="0.3">
      <c r="A827" t="s">
        <v>17</v>
      </c>
      <c r="B827" t="str">
        <f>"600971"</f>
        <v>600971</v>
      </c>
      <c r="C827" t="s">
        <v>1895</v>
      </c>
      <c r="D827" t="s">
        <v>292</v>
      </c>
      <c r="F827">
        <v>282806056</v>
      </c>
      <c r="G827">
        <v>180820669</v>
      </c>
      <c r="H827">
        <v>257672402</v>
      </c>
      <c r="I827">
        <v>372318783</v>
      </c>
      <c r="P827">
        <v>1522</v>
      </c>
      <c r="Q827" t="s">
        <v>1896</v>
      </c>
    </row>
    <row r="828" spans="1:17" x14ac:dyDescent="0.3">
      <c r="A828" t="s">
        <v>17</v>
      </c>
      <c r="B828" t="str">
        <f>"600973"</f>
        <v>600973</v>
      </c>
      <c r="C828" t="s">
        <v>1897</v>
      </c>
      <c r="D828" t="s">
        <v>1164</v>
      </c>
      <c r="F828">
        <v>718512913</v>
      </c>
      <c r="G828">
        <v>494080782</v>
      </c>
      <c r="H828">
        <v>424266993</v>
      </c>
      <c r="I828">
        <v>452444413</v>
      </c>
      <c r="P828">
        <v>116</v>
      </c>
      <c r="Q828" t="s">
        <v>1898</v>
      </c>
    </row>
    <row r="829" spans="1:17" x14ac:dyDescent="0.3">
      <c r="A829" t="s">
        <v>17</v>
      </c>
      <c r="B829" t="str">
        <f>"600975"</f>
        <v>600975</v>
      </c>
      <c r="C829" t="s">
        <v>1899</v>
      </c>
      <c r="D829" t="s">
        <v>1900</v>
      </c>
      <c r="F829">
        <v>16344007</v>
      </c>
      <c r="G829">
        <v>9000062</v>
      </c>
      <c r="H829">
        <v>6230042</v>
      </c>
      <c r="I829">
        <v>1957109</v>
      </c>
      <c r="P829">
        <v>305</v>
      </c>
      <c r="Q829" t="s">
        <v>1901</v>
      </c>
    </row>
    <row r="830" spans="1:17" x14ac:dyDescent="0.3">
      <c r="A830" t="s">
        <v>17</v>
      </c>
      <c r="B830" t="str">
        <f>"600976"</f>
        <v>600976</v>
      </c>
      <c r="C830" t="s">
        <v>1902</v>
      </c>
      <c r="D830" t="s">
        <v>188</v>
      </c>
      <c r="F830">
        <v>52611368</v>
      </c>
      <c r="G830">
        <v>37401646</v>
      </c>
      <c r="H830">
        <v>41013656</v>
      </c>
      <c r="I830">
        <v>25624679</v>
      </c>
      <c r="P830">
        <v>249</v>
      </c>
      <c r="Q830" t="s">
        <v>1903</v>
      </c>
    </row>
    <row r="831" spans="1:17" x14ac:dyDescent="0.3">
      <c r="A831" t="s">
        <v>17</v>
      </c>
      <c r="B831" t="str">
        <f>"600977"</f>
        <v>600977</v>
      </c>
      <c r="C831" t="s">
        <v>1904</v>
      </c>
      <c r="D831" t="s">
        <v>113</v>
      </c>
      <c r="F831">
        <v>70882271</v>
      </c>
      <c r="G831">
        <v>58148643</v>
      </c>
      <c r="H831">
        <v>96552702</v>
      </c>
      <c r="I831">
        <v>64705244</v>
      </c>
      <c r="P831">
        <v>554</v>
      </c>
      <c r="Q831" t="s">
        <v>1905</v>
      </c>
    </row>
    <row r="832" spans="1:17" x14ac:dyDescent="0.3">
      <c r="A832" t="s">
        <v>17</v>
      </c>
      <c r="B832" t="str">
        <f>"600978"</f>
        <v>600978</v>
      </c>
      <c r="C832" t="s">
        <v>1906</v>
      </c>
      <c r="H832">
        <v>69285936</v>
      </c>
      <c r="I832">
        <v>116948851</v>
      </c>
      <c r="P832">
        <v>167</v>
      </c>
      <c r="Q832" t="s">
        <v>1907</v>
      </c>
    </row>
    <row r="833" spans="1:17" x14ac:dyDescent="0.3">
      <c r="A833" t="s">
        <v>17</v>
      </c>
      <c r="B833" t="str">
        <f>"600979"</f>
        <v>600979</v>
      </c>
      <c r="C833" t="s">
        <v>1908</v>
      </c>
      <c r="D833" t="s">
        <v>239</v>
      </c>
      <c r="F833">
        <v>1304004</v>
      </c>
      <c r="G833">
        <v>442935</v>
      </c>
      <c r="H833">
        <v>3000000</v>
      </c>
      <c r="P833">
        <v>117</v>
      </c>
      <c r="Q833" t="s">
        <v>1909</v>
      </c>
    </row>
    <row r="834" spans="1:17" x14ac:dyDescent="0.3">
      <c r="A834" t="s">
        <v>17</v>
      </c>
      <c r="B834" t="str">
        <f>"600980"</f>
        <v>600980</v>
      </c>
      <c r="C834" t="s">
        <v>1910</v>
      </c>
      <c r="D834" t="s">
        <v>808</v>
      </c>
      <c r="F834">
        <v>41164003</v>
      </c>
      <c r="G834">
        <v>30538270</v>
      </c>
      <c r="H834">
        <v>23223894</v>
      </c>
      <c r="I834">
        <v>21601975</v>
      </c>
      <c r="P834">
        <v>97</v>
      </c>
      <c r="Q834" t="s">
        <v>1911</v>
      </c>
    </row>
    <row r="835" spans="1:17" x14ac:dyDescent="0.3">
      <c r="A835" t="s">
        <v>17</v>
      </c>
      <c r="B835" t="str">
        <f>"600981"</f>
        <v>600981</v>
      </c>
      <c r="C835" t="s">
        <v>1912</v>
      </c>
      <c r="D835" t="s">
        <v>131</v>
      </c>
      <c r="F835">
        <v>38932779</v>
      </c>
      <c r="G835">
        <v>35383286</v>
      </c>
      <c r="H835">
        <v>30311969</v>
      </c>
      <c r="I835">
        <v>19221096</v>
      </c>
      <c r="P835">
        <v>99</v>
      </c>
      <c r="Q835" t="s">
        <v>1913</v>
      </c>
    </row>
    <row r="836" spans="1:17" x14ac:dyDescent="0.3">
      <c r="A836" t="s">
        <v>17</v>
      </c>
      <c r="B836" t="str">
        <f>"600982"</f>
        <v>600982</v>
      </c>
      <c r="C836" t="s">
        <v>1914</v>
      </c>
      <c r="D836" t="s">
        <v>351</v>
      </c>
      <c r="F836">
        <v>32652067</v>
      </c>
      <c r="G836">
        <v>3283390</v>
      </c>
      <c r="P836">
        <v>135</v>
      </c>
      <c r="Q836" t="s">
        <v>1915</v>
      </c>
    </row>
    <row r="837" spans="1:17" x14ac:dyDescent="0.3">
      <c r="A837" t="s">
        <v>17</v>
      </c>
      <c r="B837" t="str">
        <f>"600983"</f>
        <v>600983</v>
      </c>
      <c r="C837" t="s">
        <v>1916</v>
      </c>
      <c r="D837" t="s">
        <v>754</v>
      </c>
      <c r="F837">
        <v>113723451</v>
      </c>
      <c r="G837">
        <v>147406862</v>
      </c>
      <c r="H837">
        <v>150681563</v>
      </c>
      <c r="I837">
        <v>144086798</v>
      </c>
      <c r="P837">
        <v>128</v>
      </c>
      <c r="Q837" t="s">
        <v>1917</v>
      </c>
    </row>
    <row r="838" spans="1:17" x14ac:dyDescent="0.3">
      <c r="A838" t="s">
        <v>17</v>
      </c>
      <c r="B838" t="str">
        <f>"600984"</f>
        <v>600984</v>
      </c>
      <c r="C838" t="s">
        <v>1918</v>
      </c>
      <c r="D838" t="s">
        <v>83</v>
      </c>
      <c r="F838">
        <v>117570934</v>
      </c>
      <c r="G838">
        <v>114480177</v>
      </c>
      <c r="H838">
        <v>95443723</v>
      </c>
      <c r="I838">
        <v>85263016</v>
      </c>
      <c r="P838">
        <v>279</v>
      </c>
      <c r="Q838" t="s">
        <v>1919</v>
      </c>
    </row>
    <row r="839" spans="1:17" x14ac:dyDescent="0.3">
      <c r="A839" t="s">
        <v>17</v>
      </c>
      <c r="B839" t="str">
        <f>"600985"</f>
        <v>600985</v>
      </c>
      <c r="C839" t="s">
        <v>1920</v>
      </c>
      <c r="D839" t="s">
        <v>298</v>
      </c>
      <c r="F839">
        <v>1659715026</v>
      </c>
      <c r="G839">
        <v>1372927431</v>
      </c>
      <c r="H839">
        <v>1244055229</v>
      </c>
      <c r="I839">
        <v>1323599080</v>
      </c>
      <c r="P839">
        <v>1007</v>
      </c>
      <c r="Q839" t="s">
        <v>1921</v>
      </c>
    </row>
    <row r="840" spans="1:17" x14ac:dyDescent="0.3">
      <c r="A840" t="s">
        <v>17</v>
      </c>
      <c r="B840" t="str">
        <f>"600986"</f>
        <v>600986</v>
      </c>
      <c r="C840" t="s">
        <v>1922</v>
      </c>
      <c r="D840" t="s">
        <v>207</v>
      </c>
      <c r="F840">
        <v>86784184</v>
      </c>
      <c r="G840">
        <v>117288700</v>
      </c>
      <c r="H840">
        <v>197440558</v>
      </c>
      <c r="I840">
        <v>148301217</v>
      </c>
      <c r="P840">
        <v>239</v>
      </c>
      <c r="Q840" t="s">
        <v>1923</v>
      </c>
    </row>
    <row r="841" spans="1:17" x14ac:dyDescent="0.3">
      <c r="A841" t="s">
        <v>17</v>
      </c>
      <c r="B841" t="str">
        <f>"600987"</f>
        <v>600987</v>
      </c>
      <c r="C841" t="s">
        <v>1924</v>
      </c>
      <c r="D841" t="s">
        <v>817</v>
      </c>
      <c r="F841">
        <v>174030555</v>
      </c>
      <c r="G841">
        <v>138869109</v>
      </c>
      <c r="H841">
        <v>168540521</v>
      </c>
      <c r="I841">
        <v>165181543</v>
      </c>
      <c r="P841">
        <v>4846</v>
      </c>
      <c r="Q841" t="s">
        <v>1925</v>
      </c>
    </row>
    <row r="842" spans="1:17" x14ac:dyDescent="0.3">
      <c r="A842" t="s">
        <v>17</v>
      </c>
      <c r="B842" t="str">
        <f>"600988"</f>
        <v>600988</v>
      </c>
      <c r="C842" t="s">
        <v>1926</v>
      </c>
      <c r="D842" t="s">
        <v>701</v>
      </c>
      <c r="F842">
        <v>24846570</v>
      </c>
      <c r="G842">
        <v>74050069</v>
      </c>
      <c r="H842">
        <v>73048113</v>
      </c>
      <c r="I842">
        <v>47931310</v>
      </c>
      <c r="P842">
        <v>487</v>
      </c>
      <c r="Q842" t="s">
        <v>1927</v>
      </c>
    </row>
    <row r="843" spans="1:17" x14ac:dyDescent="0.3">
      <c r="A843" t="s">
        <v>17</v>
      </c>
      <c r="B843" t="str">
        <f>"600989"</f>
        <v>600989</v>
      </c>
      <c r="C843" t="s">
        <v>1928</v>
      </c>
      <c r="D843" t="s">
        <v>914</v>
      </c>
      <c r="F843">
        <v>132538541</v>
      </c>
      <c r="G843">
        <v>100046308</v>
      </c>
      <c r="H843">
        <v>53420513</v>
      </c>
      <c r="I843">
        <v>19567845</v>
      </c>
      <c r="J843">
        <v>7979592</v>
      </c>
      <c r="P843">
        <v>769</v>
      </c>
      <c r="Q843" t="s">
        <v>1929</v>
      </c>
    </row>
    <row r="844" spans="1:17" x14ac:dyDescent="0.3">
      <c r="A844" t="s">
        <v>17</v>
      </c>
      <c r="B844" t="str">
        <f>"600990"</f>
        <v>600990</v>
      </c>
      <c r="C844" t="s">
        <v>1930</v>
      </c>
      <c r="D844" t="s">
        <v>1136</v>
      </c>
      <c r="F844">
        <v>68459262</v>
      </c>
      <c r="G844">
        <v>79387431</v>
      </c>
      <c r="H844">
        <v>119114340</v>
      </c>
      <c r="I844">
        <v>121418080</v>
      </c>
      <c r="P844">
        <v>166</v>
      </c>
      <c r="Q844" t="s">
        <v>1931</v>
      </c>
    </row>
    <row r="845" spans="1:17" x14ac:dyDescent="0.3">
      <c r="A845" t="s">
        <v>17</v>
      </c>
      <c r="B845" t="str">
        <f>"600992"</f>
        <v>600992</v>
      </c>
      <c r="C845" t="s">
        <v>1932</v>
      </c>
      <c r="D845" t="s">
        <v>274</v>
      </c>
      <c r="F845">
        <v>37786226</v>
      </c>
      <c r="G845">
        <v>23786585</v>
      </c>
      <c r="H845">
        <v>14837840</v>
      </c>
      <c r="I845">
        <v>8035098</v>
      </c>
      <c r="P845">
        <v>57</v>
      </c>
      <c r="Q845" t="s">
        <v>1933</v>
      </c>
    </row>
    <row r="846" spans="1:17" x14ac:dyDescent="0.3">
      <c r="A846" t="s">
        <v>17</v>
      </c>
      <c r="B846" t="str">
        <f>"600993"</f>
        <v>600993</v>
      </c>
      <c r="C846" t="s">
        <v>1934</v>
      </c>
      <c r="D846" t="s">
        <v>188</v>
      </c>
      <c r="F846">
        <v>66732886</v>
      </c>
      <c r="G846">
        <v>55662622</v>
      </c>
      <c r="H846">
        <v>55292118</v>
      </c>
      <c r="I846">
        <v>40888759</v>
      </c>
      <c r="P846">
        <v>942</v>
      </c>
      <c r="Q846" t="s">
        <v>1935</v>
      </c>
    </row>
    <row r="847" spans="1:17" x14ac:dyDescent="0.3">
      <c r="A847" t="s">
        <v>17</v>
      </c>
      <c r="B847" t="str">
        <f>"600995"</f>
        <v>600995</v>
      </c>
      <c r="C847" t="s">
        <v>1936</v>
      </c>
      <c r="D847" t="s">
        <v>239</v>
      </c>
      <c r="F847">
        <v>0</v>
      </c>
      <c r="G847">
        <v>9387</v>
      </c>
      <c r="H847">
        <v>73673</v>
      </c>
      <c r="P847">
        <v>267</v>
      </c>
      <c r="Q847" t="s">
        <v>1937</v>
      </c>
    </row>
    <row r="848" spans="1:17" x14ac:dyDescent="0.3">
      <c r="A848" t="s">
        <v>17</v>
      </c>
      <c r="B848" t="str">
        <f>"600996"</f>
        <v>600996</v>
      </c>
      <c r="C848" t="s">
        <v>1938</v>
      </c>
      <c r="D848" t="s">
        <v>95</v>
      </c>
      <c r="F848">
        <v>21327997</v>
      </c>
      <c r="G848">
        <v>23503648</v>
      </c>
      <c r="H848">
        <v>121356825</v>
      </c>
      <c r="I848">
        <v>119148267</v>
      </c>
      <c r="P848">
        <v>244</v>
      </c>
      <c r="Q848" t="s">
        <v>1939</v>
      </c>
    </row>
    <row r="849" spans="1:17" x14ac:dyDescent="0.3">
      <c r="A849" t="s">
        <v>17</v>
      </c>
      <c r="B849" t="str">
        <f>"600997"</f>
        <v>600997</v>
      </c>
      <c r="C849" t="s">
        <v>1940</v>
      </c>
      <c r="D849" t="s">
        <v>885</v>
      </c>
      <c r="F849">
        <v>192554426</v>
      </c>
      <c r="G849">
        <v>148704489</v>
      </c>
      <c r="H849">
        <v>80492852</v>
      </c>
      <c r="I849">
        <v>29002345</v>
      </c>
      <c r="P849">
        <v>729</v>
      </c>
      <c r="Q849" t="s">
        <v>1941</v>
      </c>
    </row>
    <row r="850" spans="1:17" x14ac:dyDescent="0.3">
      <c r="A850" t="s">
        <v>17</v>
      </c>
      <c r="B850" t="str">
        <f>"600998"</f>
        <v>600998</v>
      </c>
      <c r="C850" t="s">
        <v>1942</v>
      </c>
      <c r="D850" t="s">
        <v>125</v>
      </c>
      <c r="F850">
        <v>194941893</v>
      </c>
      <c r="G850">
        <v>126626404</v>
      </c>
      <c r="H850">
        <v>74131617</v>
      </c>
      <c r="I850">
        <v>76233032</v>
      </c>
      <c r="P850">
        <v>612</v>
      </c>
      <c r="Q850" t="s">
        <v>1943</v>
      </c>
    </row>
    <row r="851" spans="1:17" x14ac:dyDescent="0.3">
      <c r="A851" t="s">
        <v>17</v>
      </c>
      <c r="B851" t="str">
        <f>"600999"</f>
        <v>600999</v>
      </c>
      <c r="C851" t="s">
        <v>1944</v>
      </c>
      <c r="D851" t="s">
        <v>80</v>
      </c>
      <c r="P851">
        <v>2822</v>
      </c>
      <c r="Q851" t="s">
        <v>1945</v>
      </c>
    </row>
    <row r="852" spans="1:17" x14ac:dyDescent="0.3">
      <c r="A852" t="s">
        <v>17</v>
      </c>
      <c r="B852" t="str">
        <f>"601000"</f>
        <v>601000</v>
      </c>
      <c r="C852" t="s">
        <v>1946</v>
      </c>
      <c r="D852" t="s">
        <v>51</v>
      </c>
      <c r="F852">
        <v>55553594</v>
      </c>
      <c r="G852">
        <v>24720762</v>
      </c>
      <c r="H852">
        <v>16348939</v>
      </c>
      <c r="I852">
        <v>7858208</v>
      </c>
      <c r="P852">
        <v>892</v>
      </c>
      <c r="Q852" t="s">
        <v>1947</v>
      </c>
    </row>
    <row r="853" spans="1:17" x14ac:dyDescent="0.3">
      <c r="A853" t="s">
        <v>17</v>
      </c>
      <c r="B853" t="str">
        <f>"601001"</f>
        <v>601001</v>
      </c>
      <c r="C853" t="s">
        <v>1948</v>
      </c>
      <c r="D853" t="s">
        <v>292</v>
      </c>
      <c r="F853">
        <v>216026283</v>
      </c>
      <c r="G853">
        <v>133199627</v>
      </c>
      <c r="H853">
        <v>174889709</v>
      </c>
      <c r="P853">
        <v>289</v>
      </c>
      <c r="Q853" t="s">
        <v>1949</v>
      </c>
    </row>
    <row r="854" spans="1:17" x14ac:dyDescent="0.3">
      <c r="A854" t="s">
        <v>17</v>
      </c>
      <c r="B854" t="str">
        <f>"601002"</f>
        <v>601002</v>
      </c>
      <c r="C854" t="s">
        <v>1950</v>
      </c>
      <c r="D854" t="s">
        <v>274</v>
      </c>
      <c r="F854">
        <v>124606030</v>
      </c>
      <c r="G854">
        <v>121655848</v>
      </c>
      <c r="H854">
        <v>112784482</v>
      </c>
      <c r="I854">
        <v>78911229</v>
      </c>
      <c r="P854">
        <v>146</v>
      </c>
      <c r="Q854" t="s">
        <v>1951</v>
      </c>
    </row>
    <row r="855" spans="1:17" x14ac:dyDescent="0.3">
      <c r="A855" t="s">
        <v>17</v>
      </c>
      <c r="B855" t="str">
        <f>"601003"</f>
        <v>601003</v>
      </c>
      <c r="C855" t="s">
        <v>1952</v>
      </c>
      <c r="D855" t="s">
        <v>38</v>
      </c>
      <c r="F855">
        <v>1862399013</v>
      </c>
      <c r="G855">
        <v>1550037431</v>
      </c>
      <c r="H855">
        <v>1398944377</v>
      </c>
      <c r="I855">
        <v>267114901</v>
      </c>
      <c r="P855">
        <v>1021</v>
      </c>
      <c r="Q855" t="s">
        <v>1953</v>
      </c>
    </row>
    <row r="856" spans="1:17" x14ac:dyDescent="0.3">
      <c r="A856" t="s">
        <v>17</v>
      </c>
      <c r="B856" t="str">
        <f>"601005"</f>
        <v>601005</v>
      </c>
      <c r="C856" t="s">
        <v>1954</v>
      </c>
      <c r="D856" t="s">
        <v>38</v>
      </c>
      <c r="F856">
        <v>11805000</v>
      </c>
      <c r="G856">
        <v>0</v>
      </c>
      <c r="P856">
        <v>249</v>
      </c>
      <c r="Q856" t="s">
        <v>1955</v>
      </c>
    </row>
    <row r="857" spans="1:17" x14ac:dyDescent="0.3">
      <c r="A857" t="s">
        <v>17</v>
      </c>
      <c r="B857" t="str">
        <f>"601006"</f>
        <v>601006</v>
      </c>
      <c r="C857" t="s">
        <v>1956</v>
      </c>
      <c r="D857" t="s">
        <v>301</v>
      </c>
      <c r="F857">
        <v>7228182</v>
      </c>
      <c r="G857">
        <v>5850546</v>
      </c>
      <c r="H857">
        <v>9454738</v>
      </c>
      <c r="I857">
        <v>6811318</v>
      </c>
      <c r="P857">
        <v>4202</v>
      </c>
      <c r="Q857" t="s">
        <v>1957</v>
      </c>
    </row>
    <row r="858" spans="1:17" x14ac:dyDescent="0.3">
      <c r="A858" t="s">
        <v>17</v>
      </c>
      <c r="B858" t="str">
        <f>"601007"</f>
        <v>601007</v>
      </c>
      <c r="C858" t="s">
        <v>1958</v>
      </c>
      <c r="D858" t="s">
        <v>590</v>
      </c>
      <c r="F858">
        <v>1780799</v>
      </c>
      <c r="G858">
        <v>978094</v>
      </c>
      <c r="H858">
        <v>637980</v>
      </c>
      <c r="I858">
        <v>389751</v>
      </c>
      <c r="P858">
        <v>111</v>
      </c>
      <c r="Q858" t="s">
        <v>1959</v>
      </c>
    </row>
    <row r="859" spans="1:17" x14ac:dyDescent="0.3">
      <c r="A859" t="s">
        <v>17</v>
      </c>
      <c r="B859" t="str">
        <f>"601008"</f>
        <v>601008</v>
      </c>
      <c r="C859" t="s">
        <v>1960</v>
      </c>
      <c r="D859" t="s">
        <v>51</v>
      </c>
      <c r="F859">
        <v>0</v>
      </c>
      <c r="G859">
        <v>0</v>
      </c>
      <c r="P859">
        <v>131</v>
      </c>
      <c r="Q859" t="s">
        <v>1961</v>
      </c>
    </row>
    <row r="860" spans="1:17" x14ac:dyDescent="0.3">
      <c r="A860" t="s">
        <v>17</v>
      </c>
      <c r="B860" t="str">
        <f>"601009"</f>
        <v>601009</v>
      </c>
      <c r="C860" t="s">
        <v>1962</v>
      </c>
      <c r="D860" t="s">
        <v>1842</v>
      </c>
      <c r="P860">
        <v>44247</v>
      </c>
      <c r="Q860" t="s">
        <v>1963</v>
      </c>
    </row>
    <row r="861" spans="1:17" x14ac:dyDescent="0.3">
      <c r="A861" t="s">
        <v>17</v>
      </c>
      <c r="B861" t="str">
        <f>"601010"</f>
        <v>601010</v>
      </c>
      <c r="C861" t="s">
        <v>1964</v>
      </c>
      <c r="D861" t="s">
        <v>1404</v>
      </c>
      <c r="F861">
        <v>0</v>
      </c>
      <c r="G861">
        <v>0</v>
      </c>
      <c r="P861">
        <v>94</v>
      </c>
      <c r="Q861" t="s">
        <v>1965</v>
      </c>
    </row>
    <row r="862" spans="1:17" x14ac:dyDescent="0.3">
      <c r="A862" t="s">
        <v>17</v>
      </c>
      <c r="B862" t="str">
        <f>"601011"</f>
        <v>601011</v>
      </c>
      <c r="C862" t="s">
        <v>1966</v>
      </c>
      <c r="D862" t="s">
        <v>885</v>
      </c>
      <c r="F862">
        <v>14238779</v>
      </c>
      <c r="G862">
        <v>12842516</v>
      </c>
      <c r="H862">
        <v>13402726</v>
      </c>
      <c r="I862">
        <v>5390443</v>
      </c>
      <c r="P862">
        <v>134</v>
      </c>
      <c r="Q862" t="s">
        <v>1967</v>
      </c>
    </row>
    <row r="863" spans="1:17" x14ac:dyDescent="0.3">
      <c r="A863" t="s">
        <v>17</v>
      </c>
      <c r="B863" t="str">
        <f>"601012"</f>
        <v>601012</v>
      </c>
      <c r="C863" t="s">
        <v>1968</v>
      </c>
      <c r="D863" t="s">
        <v>929</v>
      </c>
      <c r="F863">
        <v>854376147</v>
      </c>
      <c r="G863">
        <v>499103855</v>
      </c>
      <c r="H863">
        <v>304198316</v>
      </c>
      <c r="I863">
        <v>201837032</v>
      </c>
      <c r="P863">
        <v>6941</v>
      </c>
      <c r="Q863" t="s">
        <v>1969</v>
      </c>
    </row>
    <row r="864" spans="1:17" x14ac:dyDescent="0.3">
      <c r="A864" t="s">
        <v>17</v>
      </c>
      <c r="B864" t="str">
        <f>"601015"</f>
        <v>601015</v>
      </c>
      <c r="C864" t="s">
        <v>1970</v>
      </c>
      <c r="D864" t="s">
        <v>885</v>
      </c>
      <c r="F864">
        <v>0</v>
      </c>
      <c r="G864">
        <v>0</v>
      </c>
      <c r="H864">
        <v>1437254</v>
      </c>
      <c r="I864">
        <v>41229142</v>
      </c>
      <c r="P864">
        <v>212</v>
      </c>
      <c r="Q864" t="s">
        <v>1971</v>
      </c>
    </row>
    <row r="865" spans="1:17" x14ac:dyDescent="0.3">
      <c r="A865" t="s">
        <v>17</v>
      </c>
      <c r="B865" t="str">
        <f>"601016"</f>
        <v>601016</v>
      </c>
      <c r="C865" t="s">
        <v>1972</v>
      </c>
      <c r="D865" t="s">
        <v>383</v>
      </c>
      <c r="F865">
        <v>13501210</v>
      </c>
      <c r="G865">
        <v>13083296</v>
      </c>
      <c r="H865">
        <v>4169888</v>
      </c>
      <c r="I865">
        <v>1661374</v>
      </c>
      <c r="P865">
        <v>542</v>
      </c>
      <c r="Q865" t="s">
        <v>1973</v>
      </c>
    </row>
    <row r="866" spans="1:17" x14ac:dyDescent="0.3">
      <c r="A866" t="s">
        <v>17</v>
      </c>
      <c r="B866" t="str">
        <f>"601018"</f>
        <v>601018</v>
      </c>
      <c r="C866" t="s">
        <v>1974</v>
      </c>
      <c r="D866" t="s">
        <v>51</v>
      </c>
      <c r="F866">
        <v>137658000</v>
      </c>
      <c r="G866">
        <v>52942000</v>
      </c>
      <c r="H866">
        <v>44914000</v>
      </c>
      <c r="I866">
        <v>28075000</v>
      </c>
      <c r="P866">
        <v>335</v>
      </c>
      <c r="Q866" t="s">
        <v>1975</v>
      </c>
    </row>
    <row r="867" spans="1:17" x14ac:dyDescent="0.3">
      <c r="A867" t="s">
        <v>17</v>
      </c>
      <c r="B867" t="str">
        <f>"601019"</f>
        <v>601019</v>
      </c>
      <c r="C867" t="s">
        <v>1976</v>
      </c>
      <c r="D867" t="s">
        <v>1536</v>
      </c>
      <c r="F867">
        <v>15098449</v>
      </c>
      <c r="G867">
        <v>0</v>
      </c>
      <c r="P867">
        <v>401</v>
      </c>
      <c r="Q867" t="s">
        <v>1977</v>
      </c>
    </row>
    <row r="868" spans="1:17" x14ac:dyDescent="0.3">
      <c r="A868" t="s">
        <v>17</v>
      </c>
      <c r="B868" t="str">
        <f>"601020"</f>
        <v>601020</v>
      </c>
      <c r="C868" t="s">
        <v>1978</v>
      </c>
      <c r="D868" t="s">
        <v>701</v>
      </c>
      <c r="F868">
        <v>1536362</v>
      </c>
      <c r="G868">
        <v>3673713</v>
      </c>
      <c r="H868">
        <v>1320686</v>
      </c>
      <c r="I868">
        <v>1136380</v>
      </c>
      <c r="P868">
        <v>180</v>
      </c>
      <c r="Q868" t="s">
        <v>1979</v>
      </c>
    </row>
    <row r="869" spans="1:17" x14ac:dyDescent="0.3">
      <c r="A869" t="s">
        <v>17</v>
      </c>
      <c r="B869" t="str">
        <f>"601021"</f>
        <v>601021</v>
      </c>
      <c r="C869" t="s">
        <v>1980</v>
      </c>
      <c r="D869" t="s">
        <v>77</v>
      </c>
      <c r="F869">
        <v>119392115</v>
      </c>
      <c r="G869">
        <v>107423433</v>
      </c>
      <c r="H869">
        <v>125166617</v>
      </c>
      <c r="I869">
        <v>104918909</v>
      </c>
      <c r="P869">
        <v>1019</v>
      </c>
      <c r="Q869" t="s">
        <v>1981</v>
      </c>
    </row>
    <row r="870" spans="1:17" x14ac:dyDescent="0.3">
      <c r="A870" t="s">
        <v>17</v>
      </c>
      <c r="B870" t="str">
        <f>"601028"</f>
        <v>601028</v>
      </c>
      <c r="C870" t="s">
        <v>1982</v>
      </c>
      <c r="D870" t="s">
        <v>131</v>
      </c>
      <c r="F870">
        <v>0</v>
      </c>
      <c r="G870">
        <v>0</v>
      </c>
      <c r="H870">
        <v>4537057</v>
      </c>
      <c r="I870">
        <v>4888638</v>
      </c>
      <c r="P870">
        <v>87</v>
      </c>
      <c r="Q870" t="s">
        <v>1983</v>
      </c>
    </row>
    <row r="871" spans="1:17" x14ac:dyDescent="0.3">
      <c r="A871" t="s">
        <v>17</v>
      </c>
      <c r="B871" t="str">
        <f>"601038"</f>
        <v>601038</v>
      </c>
      <c r="C871" t="s">
        <v>1984</v>
      </c>
      <c r="D871" t="s">
        <v>1985</v>
      </c>
      <c r="F871">
        <v>415352332</v>
      </c>
      <c r="G871">
        <v>339036171</v>
      </c>
      <c r="H871">
        <v>356609547</v>
      </c>
      <c r="I871">
        <v>378394140</v>
      </c>
      <c r="P871">
        <v>179</v>
      </c>
      <c r="Q871" t="s">
        <v>1986</v>
      </c>
    </row>
    <row r="872" spans="1:17" x14ac:dyDescent="0.3">
      <c r="A872" t="s">
        <v>17</v>
      </c>
      <c r="B872" t="str">
        <f>"601058"</f>
        <v>601058</v>
      </c>
      <c r="C872" t="s">
        <v>1987</v>
      </c>
      <c r="D872" t="s">
        <v>422</v>
      </c>
      <c r="F872">
        <v>480663192</v>
      </c>
      <c r="G872">
        <v>347577003</v>
      </c>
      <c r="H872">
        <v>319758548</v>
      </c>
      <c r="I872">
        <v>230585166</v>
      </c>
      <c r="P872">
        <v>589</v>
      </c>
      <c r="Q872" t="s">
        <v>1988</v>
      </c>
    </row>
    <row r="873" spans="1:17" x14ac:dyDescent="0.3">
      <c r="A873" t="s">
        <v>17</v>
      </c>
      <c r="B873" t="str">
        <f>"601066"</f>
        <v>601066</v>
      </c>
      <c r="C873" t="s">
        <v>1989</v>
      </c>
      <c r="D873" t="s">
        <v>80</v>
      </c>
      <c r="P873">
        <v>1825</v>
      </c>
      <c r="Q873" t="s">
        <v>1990</v>
      </c>
    </row>
    <row r="874" spans="1:17" x14ac:dyDescent="0.3">
      <c r="A874" t="s">
        <v>17</v>
      </c>
      <c r="B874" t="str">
        <f>"601068"</f>
        <v>601068</v>
      </c>
      <c r="C874" t="s">
        <v>1991</v>
      </c>
      <c r="D874" t="s">
        <v>1992</v>
      </c>
      <c r="F874">
        <v>760127246</v>
      </c>
      <c r="G874">
        <v>604162835</v>
      </c>
      <c r="H874">
        <v>524316746</v>
      </c>
      <c r="I874">
        <v>482998218</v>
      </c>
      <c r="J874">
        <v>467596694</v>
      </c>
      <c r="P874">
        <v>109</v>
      </c>
      <c r="Q874" t="s">
        <v>1993</v>
      </c>
    </row>
    <row r="875" spans="1:17" x14ac:dyDescent="0.3">
      <c r="A875" t="s">
        <v>17</v>
      </c>
      <c r="B875" t="str">
        <f>"601069"</f>
        <v>601069</v>
      </c>
      <c r="C875" t="s">
        <v>1994</v>
      </c>
      <c r="D875" t="s">
        <v>701</v>
      </c>
      <c r="F875">
        <v>25077536</v>
      </c>
      <c r="G875">
        <v>9051065</v>
      </c>
      <c r="H875">
        <v>6319965</v>
      </c>
      <c r="I875">
        <v>8419433</v>
      </c>
      <c r="P875">
        <v>142</v>
      </c>
      <c r="Q875" t="s">
        <v>1995</v>
      </c>
    </row>
    <row r="876" spans="1:17" x14ac:dyDescent="0.3">
      <c r="A876" t="s">
        <v>17</v>
      </c>
      <c r="B876" t="str">
        <f>"601077"</f>
        <v>601077</v>
      </c>
      <c r="C876" t="s">
        <v>1996</v>
      </c>
      <c r="D876" t="s">
        <v>1831</v>
      </c>
      <c r="P876">
        <v>509</v>
      </c>
      <c r="Q876" t="s">
        <v>1997</v>
      </c>
    </row>
    <row r="877" spans="1:17" x14ac:dyDescent="0.3">
      <c r="A877" t="s">
        <v>17</v>
      </c>
      <c r="B877" t="str">
        <f>"601086"</f>
        <v>601086</v>
      </c>
      <c r="C877" t="s">
        <v>1998</v>
      </c>
      <c r="D877" t="s">
        <v>633</v>
      </c>
      <c r="F877">
        <v>0</v>
      </c>
      <c r="G877">
        <v>0</v>
      </c>
      <c r="H877">
        <v>0</v>
      </c>
      <c r="I877">
        <v>0</v>
      </c>
      <c r="P877">
        <v>79</v>
      </c>
      <c r="Q877" t="s">
        <v>1999</v>
      </c>
    </row>
    <row r="878" spans="1:17" x14ac:dyDescent="0.3">
      <c r="A878" t="s">
        <v>17</v>
      </c>
      <c r="B878" t="str">
        <f>"601088"</f>
        <v>601088</v>
      </c>
      <c r="C878" t="s">
        <v>2000</v>
      </c>
      <c r="D878" t="s">
        <v>292</v>
      </c>
      <c r="F878">
        <v>2499000000</v>
      </c>
      <c r="G878">
        <v>1362000000</v>
      </c>
      <c r="H878">
        <v>940000000</v>
      </c>
      <c r="I878">
        <v>454000000</v>
      </c>
      <c r="P878">
        <v>3939</v>
      </c>
      <c r="Q878" t="s">
        <v>2001</v>
      </c>
    </row>
    <row r="879" spans="1:17" x14ac:dyDescent="0.3">
      <c r="A879" t="s">
        <v>17</v>
      </c>
      <c r="B879" t="str">
        <f>"601098"</f>
        <v>601098</v>
      </c>
      <c r="C879" t="s">
        <v>2002</v>
      </c>
      <c r="D879" t="s">
        <v>1536</v>
      </c>
      <c r="F879">
        <v>63446682</v>
      </c>
      <c r="G879">
        <v>49842312</v>
      </c>
      <c r="H879">
        <v>50160912</v>
      </c>
      <c r="I879">
        <v>61573531</v>
      </c>
      <c r="P879">
        <v>882</v>
      </c>
      <c r="Q879" t="s">
        <v>2003</v>
      </c>
    </row>
    <row r="880" spans="1:17" x14ac:dyDescent="0.3">
      <c r="A880" t="s">
        <v>17</v>
      </c>
      <c r="B880" t="str">
        <f>"601099"</f>
        <v>601099</v>
      </c>
      <c r="C880" t="s">
        <v>2004</v>
      </c>
      <c r="D880" t="s">
        <v>80</v>
      </c>
      <c r="P880">
        <v>740</v>
      </c>
      <c r="Q880" t="s">
        <v>2005</v>
      </c>
    </row>
    <row r="881" spans="1:17" x14ac:dyDescent="0.3">
      <c r="A881" t="s">
        <v>17</v>
      </c>
      <c r="B881" t="str">
        <f>"601100"</f>
        <v>601100</v>
      </c>
      <c r="C881" t="s">
        <v>2006</v>
      </c>
      <c r="D881" t="s">
        <v>2007</v>
      </c>
      <c r="F881">
        <v>636061768</v>
      </c>
      <c r="G881">
        <v>308639193</v>
      </c>
      <c r="H881">
        <v>242038261</v>
      </c>
      <c r="I881">
        <v>171697806</v>
      </c>
      <c r="P881">
        <v>1782</v>
      </c>
      <c r="Q881" t="s">
        <v>2008</v>
      </c>
    </row>
    <row r="882" spans="1:17" x14ac:dyDescent="0.3">
      <c r="A882" t="s">
        <v>17</v>
      </c>
      <c r="B882" t="str">
        <f>"601101"</f>
        <v>601101</v>
      </c>
      <c r="C882" t="s">
        <v>2009</v>
      </c>
      <c r="D882" t="s">
        <v>292</v>
      </c>
      <c r="F882">
        <v>4080500</v>
      </c>
      <c r="G882">
        <v>5076895</v>
      </c>
      <c r="H882">
        <v>17207982</v>
      </c>
      <c r="I882">
        <v>14493195</v>
      </c>
      <c r="P882">
        <v>281</v>
      </c>
      <c r="Q882" t="s">
        <v>2010</v>
      </c>
    </row>
    <row r="883" spans="1:17" x14ac:dyDescent="0.3">
      <c r="A883" t="s">
        <v>17</v>
      </c>
      <c r="B883" t="str">
        <f>"601106"</f>
        <v>601106</v>
      </c>
      <c r="C883" t="s">
        <v>2011</v>
      </c>
      <c r="D883" t="s">
        <v>395</v>
      </c>
      <c r="F883">
        <v>518716202</v>
      </c>
      <c r="G883">
        <v>473141504</v>
      </c>
      <c r="H883">
        <v>368868291</v>
      </c>
      <c r="I883">
        <v>255843632</v>
      </c>
      <c r="P883">
        <v>175</v>
      </c>
      <c r="Q883" t="s">
        <v>2012</v>
      </c>
    </row>
    <row r="884" spans="1:17" x14ac:dyDescent="0.3">
      <c r="A884" t="s">
        <v>17</v>
      </c>
      <c r="B884" t="str">
        <f>"601107"</f>
        <v>601107</v>
      </c>
      <c r="C884" t="s">
        <v>2013</v>
      </c>
      <c r="D884" t="s">
        <v>44</v>
      </c>
      <c r="F884">
        <v>0</v>
      </c>
      <c r="G884">
        <v>0</v>
      </c>
      <c r="P884">
        <v>231</v>
      </c>
      <c r="Q884" t="s">
        <v>2014</v>
      </c>
    </row>
    <row r="885" spans="1:17" x14ac:dyDescent="0.3">
      <c r="A885" t="s">
        <v>17</v>
      </c>
      <c r="B885" t="str">
        <f>"601108"</f>
        <v>601108</v>
      </c>
      <c r="C885" t="s">
        <v>2015</v>
      </c>
      <c r="D885" t="s">
        <v>80</v>
      </c>
      <c r="P885">
        <v>980</v>
      </c>
      <c r="Q885" t="s">
        <v>2016</v>
      </c>
    </row>
    <row r="886" spans="1:17" x14ac:dyDescent="0.3">
      <c r="A886" t="s">
        <v>17</v>
      </c>
      <c r="B886" t="str">
        <f>"601111"</f>
        <v>601111</v>
      </c>
      <c r="C886" t="s">
        <v>2017</v>
      </c>
      <c r="D886" t="s">
        <v>77</v>
      </c>
      <c r="F886">
        <v>152566000</v>
      </c>
      <c r="G886">
        <v>179390000</v>
      </c>
      <c r="H886">
        <v>491363000</v>
      </c>
      <c r="I886">
        <v>107064000</v>
      </c>
      <c r="P886">
        <v>1106</v>
      </c>
      <c r="Q886" t="s">
        <v>2018</v>
      </c>
    </row>
    <row r="887" spans="1:17" x14ac:dyDescent="0.3">
      <c r="A887" t="s">
        <v>17</v>
      </c>
      <c r="B887" t="str">
        <f>"601113"</f>
        <v>601113</v>
      </c>
      <c r="C887" t="s">
        <v>2019</v>
      </c>
      <c r="D887" t="s">
        <v>2020</v>
      </c>
      <c r="F887">
        <v>108326386</v>
      </c>
      <c r="G887">
        <v>94995029</v>
      </c>
      <c r="H887">
        <v>109254088</v>
      </c>
      <c r="I887">
        <v>109039473</v>
      </c>
      <c r="P887">
        <v>68</v>
      </c>
      <c r="Q887" t="s">
        <v>2021</v>
      </c>
    </row>
    <row r="888" spans="1:17" x14ac:dyDescent="0.3">
      <c r="A888" t="s">
        <v>17</v>
      </c>
      <c r="B888" t="str">
        <f>"601116"</f>
        <v>601116</v>
      </c>
      <c r="C888" t="s">
        <v>2022</v>
      </c>
      <c r="D888" t="s">
        <v>798</v>
      </c>
      <c r="F888">
        <v>0</v>
      </c>
      <c r="G888">
        <v>0</v>
      </c>
      <c r="P888">
        <v>124</v>
      </c>
      <c r="Q888" t="s">
        <v>2023</v>
      </c>
    </row>
    <row r="889" spans="1:17" x14ac:dyDescent="0.3">
      <c r="A889" t="s">
        <v>17</v>
      </c>
      <c r="B889" t="str">
        <f>"601117"</f>
        <v>601117</v>
      </c>
      <c r="C889" t="s">
        <v>2024</v>
      </c>
      <c r="D889" t="s">
        <v>2025</v>
      </c>
      <c r="F889">
        <v>4738980024</v>
      </c>
      <c r="G889">
        <v>3802023537</v>
      </c>
      <c r="H889">
        <v>3316583027</v>
      </c>
      <c r="I889">
        <v>2582308094</v>
      </c>
      <c r="P889">
        <v>717</v>
      </c>
      <c r="Q889" t="s">
        <v>2026</v>
      </c>
    </row>
    <row r="890" spans="1:17" x14ac:dyDescent="0.3">
      <c r="A890" t="s">
        <v>17</v>
      </c>
      <c r="B890" t="str">
        <f>"601118"</f>
        <v>601118</v>
      </c>
      <c r="C890" t="s">
        <v>2027</v>
      </c>
      <c r="D890" t="s">
        <v>258</v>
      </c>
      <c r="F890">
        <v>27354459</v>
      </c>
      <c r="G890">
        <v>30092466</v>
      </c>
      <c r="H890">
        <v>32282849</v>
      </c>
      <c r="I890">
        <v>17351014</v>
      </c>
      <c r="P890">
        <v>199</v>
      </c>
      <c r="Q890" t="s">
        <v>2028</v>
      </c>
    </row>
    <row r="891" spans="1:17" x14ac:dyDescent="0.3">
      <c r="A891" t="s">
        <v>17</v>
      </c>
      <c r="B891" t="str">
        <f>"601126"</f>
        <v>601126</v>
      </c>
      <c r="C891" t="s">
        <v>2029</v>
      </c>
      <c r="D891" t="s">
        <v>610</v>
      </c>
      <c r="F891">
        <v>446716569</v>
      </c>
      <c r="G891">
        <v>418875621</v>
      </c>
      <c r="H891">
        <v>443531631</v>
      </c>
      <c r="I891">
        <v>427852873</v>
      </c>
      <c r="P891">
        <v>279</v>
      </c>
      <c r="Q891" t="s">
        <v>2030</v>
      </c>
    </row>
    <row r="892" spans="1:17" x14ac:dyDescent="0.3">
      <c r="A892" t="s">
        <v>17</v>
      </c>
      <c r="B892" t="str">
        <f>"601127"</f>
        <v>601127</v>
      </c>
      <c r="C892" t="s">
        <v>2031</v>
      </c>
      <c r="D892" t="s">
        <v>247</v>
      </c>
      <c r="F892">
        <v>947986962</v>
      </c>
      <c r="G892">
        <v>836979079</v>
      </c>
      <c r="H892">
        <v>651400135</v>
      </c>
      <c r="I892">
        <v>483111987</v>
      </c>
      <c r="P892">
        <v>476</v>
      </c>
      <c r="Q892" t="s">
        <v>2032</v>
      </c>
    </row>
    <row r="893" spans="1:17" x14ac:dyDescent="0.3">
      <c r="A893" t="s">
        <v>17</v>
      </c>
      <c r="B893" t="str">
        <f>"601128"</f>
        <v>601128</v>
      </c>
      <c r="C893" t="s">
        <v>2033</v>
      </c>
      <c r="D893" t="s">
        <v>1831</v>
      </c>
      <c r="P893">
        <v>939</v>
      </c>
      <c r="Q893" t="s">
        <v>2034</v>
      </c>
    </row>
    <row r="894" spans="1:17" x14ac:dyDescent="0.3">
      <c r="A894" t="s">
        <v>17</v>
      </c>
      <c r="B894" t="str">
        <f>"601137"</f>
        <v>601137</v>
      </c>
      <c r="C894" t="s">
        <v>2035</v>
      </c>
      <c r="D894" t="s">
        <v>581</v>
      </c>
      <c r="F894">
        <v>308790992</v>
      </c>
      <c r="G894">
        <v>207706355</v>
      </c>
      <c r="H894">
        <v>178429098</v>
      </c>
      <c r="I894">
        <v>148251327</v>
      </c>
      <c r="P894">
        <v>283</v>
      </c>
      <c r="Q894" t="s">
        <v>2036</v>
      </c>
    </row>
    <row r="895" spans="1:17" x14ac:dyDescent="0.3">
      <c r="A895" t="s">
        <v>17</v>
      </c>
      <c r="B895" t="str">
        <f>"601138"</f>
        <v>601138</v>
      </c>
      <c r="C895" t="s">
        <v>2037</v>
      </c>
      <c r="D895" t="s">
        <v>313</v>
      </c>
      <c r="F895">
        <v>10835032000</v>
      </c>
      <c r="G895">
        <v>10037729000</v>
      </c>
      <c r="H895">
        <v>9427180000</v>
      </c>
      <c r="I895">
        <v>8998879000</v>
      </c>
      <c r="P895">
        <v>1318</v>
      </c>
      <c r="Q895" t="s">
        <v>2038</v>
      </c>
    </row>
    <row r="896" spans="1:17" x14ac:dyDescent="0.3">
      <c r="A896" t="s">
        <v>17</v>
      </c>
      <c r="B896" t="str">
        <f>"601139"</f>
        <v>601139</v>
      </c>
      <c r="C896" t="s">
        <v>2039</v>
      </c>
      <c r="D896" t="s">
        <v>749</v>
      </c>
      <c r="F896">
        <v>382099527</v>
      </c>
      <c r="G896">
        <v>241743115</v>
      </c>
      <c r="H896">
        <v>232189887</v>
      </c>
      <c r="I896">
        <v>219223271</v>
      </c>
      <c r="P896">
        <v>478</v>
      </c>
      <c r="Q896" t="s">
        <v>2040</v>
      </c>
    </row>
    <row r="897" spans="1:17" x14ac:dyDescent="0.3">
      <c r="A897" t="s">
        <v>17</v>
      </c>
      <c r="B897" t="str">
        <f>"601155"</f>
        <v>601155</v>
      </c>
      <c r="C897" t="s">
        <v>2041</v>
      </c>
      <c r="D897" t="s">
        <v>30</v>
      </c>
      <c r="F897">
        <v>32929147</v>
      </c>
      <c r="G897">
        <v>0</v>
      </c>
      <c r="P897">
        <v>7593</v>
      </c>
      <c r="Q897" t="s">
        <v>2042</v>
      </c>
    </row>
    <row r="898" spans="1:17" x14ac:dyDescent="0.3">
      <c r="A898" t="s">
        <v>17</v>
      </c>
      <c r="B898" t="str">
        <f>"601156"</f>
        <v>601156</v>
      </c>
      <c r="C898" t="s">
        <v>2043</v>
      </c>
      <c r="D898" t="s">
        <v>287</v>
      </c>
      <c r="F898">
        <v>13751661</v>
      </c>
      <c r="G898">
        <v>7020048</v>
      </c>
      <c r="H898">
        <v>6522360</v>
      </c>
      <c r="P898">
        <v>104</v>
      </c>
      <c r="Q898" t="s">
        <v>2044</v>
      </c>
    </row>
    <row r="899" spans="1:17" x14ac:dyDescent="0.3">
      <c r="A899" t="s">
        <v>17</v>
      </c>
      <c r="B899" t="str">
        <f>"601158"</f>
        <v>601158</v>
      </c>
      <c r="C899" t="s">
        <v>2045</v>
      </c>
      <c r="D899" t="s">
        <v>33</v>
      </c>
      <c r="F899">
        <v>3428436</v>
      </c>
      <c r="G899">
        <v>4719242</v>
      </c>
      <c r="H899">
        <v>4893201</v>
      </c>
      <c r="I899">
        <v>2040437</v>
      </c>
      <c r="P899">
        <v>589</v>
      </c>
      <c r="Q899" t="s">
        <v>2046</v>
      </c>
    </row>
    <row r="900" spans="1:17" x14ac:dyDescent="0.3">
      <c r="A900" t="s">
        <v>17</v>
      </c>
      <c r="B900" t="str">
        <f>"601162"</f>
        <v>601162</v>
      </c>
      <c r="C900" t="s">
        <v>2047</v>
      </c>
      <c r="D900" t="s">
        <v>80</v>
      </c>
      <c r="P900">
        <v>897</v>
      </c>
      <c r="Q900" t="s">
        <v>2048</v>
      </c>
    </row>
    <row r="901" spans="1:17" x14ac:dyDescent="0.3">
      <c r="A901" t="s">
        <v>17</v>
      </c>
      <c r="B901" t="str">
        <f>"601163"</f>
        <v>601163</v>
      </c>
      <c r="C901" t="s">
        <v>2049</v>
      </c>
      <c r="D901" t="s">
        <v>422</v>
      </c>
      <c r="F901">
        <v>426874643</v>
      </c>
      <c r="G901">
        <v>450305657</v>
      </c>
      <c r="H901">
        <v>179149624</v>
      </c>
      <c r="I901">
        <v>166558740</v>
      </c>
      <c r="P901">
        <v>224</v>
      </c>
      <c r="Q901" t="s">
        <v>2050</v>
      </c>
    </row>
    <row r="902" spans="1:17" x14ac:dyDescent="0.3">
      <c r="A902" t="s">
        <v>17</v>
      </c>
      <c r="B902" t="str">
        <f>"601166"</f>
        <v>601166</v>
      </c>
      <c r="C902" t="s">
        <v>2051</v>
      </c>
      <c r="D902" t="s">
        <v>19</v>
      </c>
      <c r="P902">
        <v>24372</v>
      </c>
      <c r="Q902" t="s">
        <v>2052</v>
      </c>
    </row>
    <row r="903" spans="1:17" x14ac:dyDescent="0.3">
      <c r="A903" t="s">
        <v>17</v>
      </c>
      <c r="B903" t="str">
        <f>"601168"</f>
        <v>601168</v>
      </c>
      <c r="C903" t="s">
        <v>2053</v>
      </c>
      <c r="D903" t="s">
        <v>263</v>
      </c>
      <c r="F903">
        <v>293979361</v>
      </c>
      <c r="G903">
        <v>149652266</v>
      </c>
      <c r="H903">
        <v>123290619</v>
      </c>
      <c r="I903">
        <v>31604457</v>
      </c>
      <c r="P903">
        <v>392</v>
      </c>
      <c r="Q903" t="s">
        <v>2054</v>
      </c>
    </row>
    <row r="904" spans="1:17" x14ac:dyDescent="0.3">
      <c r="A904" t="s">
        <v>17</v>
      </c>
      <c r="B904" t="str">
        <f>"601169"</f>
        <v>601169</v>
      </c>
      <c r="C904" t="s">
        <v>2055</v>
      </c>
      <c r="D904" t="s">
        <v>1842</v>
      </c>
      <c r="P904">
        <v>16385</v>
      </c>
      <c r="Q904" t="s">
        <v>2056</v>
      </c>
    </row>
    <row r="905" spans="1:17" x14ac:dyDescent="0.3">
      <c r="A905" t="s">
        <v>17</v>
      </c>
      <c r="B905" t="str">
        <f>"601177"</f>
        <v>601177</v>
      </c>
      <c r="C905" t="s">
        <v>2057</v>
      </c>
      <c r="D905" t="s">
        <v>274</v>
      </c>
      <c r="F905">
        <v>106568321</v>
      </c>
      <c r="G905">
        <v>95836134</v>
      </c>
      <c r="H905">
        <v>96085890</v>
      </c>
      <c r="I905">
        <v>93541812</v>
      </c>
      <c r="P905">
        <v>74</v>
      </c>
      <c r="Q905" t="s">
        <v>2058</v>
      </c>
    </row>
    <row r="906" spans="1:17" x14ac:dyDescent="0.3">
      <c r="A906" t="s">
        <v>17</v>
      </c>
      <c r="B906" t="str">
        <f>"601179"</f>
        <v>601179</v>
      </c>
      <c r="C906" t="s">
        <v>2059</v>
      </c>
      <c r="D906" t="s">
        <v>210</v>
      </c>
      <c r="F906">
        <v>738066641</v>
      </c>
      <c r="G906">
        <v>565063992</v>
      </c>
      <c r="H906">
        <v>581254043</v>
      </c>
      <c r="I906">
        <v>487953570</v>
      </c>
      <c r="P906">
        <v>329</v>
      </c>
      <c r="Q906" t="s">
        <v>2060</v>
      </c>
    </row>
    <row r="907" spans="1:17" x14ac:dyDescent="0.3">
      <c r="A907" t="s">
        <v>17</v>
      </c>
      <c r="B907" t="str">
        <f>"601186"</f>
        <v>601186</v>
      </c>
      <c r="C907" t="s">
        <v>2061</v>
      </c>
      <c r="D907" t="s">
        <v>101</v>
      </c>
      <c r="F907">
        <v>20253956000</v>
      </c>
      <c r="G907">
        <v>18605952000</v>
      </c>
      <c r="H907">
        <v>16527801000</v>
      </c>
      <c r="I907">
        <v>11571783000</v>
      </c>
      <c r="J907">
        <v>0</v>
      </c>
      <c r="K907">
        <v>0</v>
      </c>
      <c r="P907">
        <v>1361</v>
      </c>
      <c r="Q907" t="s">
        <v>2062</v>
      </c>
    </row>
    <row r="908" spans="1:17" x14ac:dyDescent="0.3">
      <c r="A908" t="s">
        <v>17</v>
      </c>
      <c r="B908" t="str">
        <f>"601187"</f>
        <v>601187</v>
      </c>
      <c r="C908" t="s">
        <v>2063</v>
      </c>
      <c r="D908" t="s">
        <v>1842</v>
      </c>
      <c r="P908">
        <v>177</v>
      </c>
      <c r="Q908" t="s">
        <v>2064</v>
      </c>
    </row>
    <row r="909" spans="1:17" x14ac:dyDescent="0.3">
      <c r="A909" t="s">
        <v>17</v>
      </c>
      <c r="B909" t="str">
        <f>"601188"</f>
        <v>601188</v>
      </c>
      <c r="C909" t="s">
        <v>2065</v>
      </c>
      <c r="D909" t="s">
        <v>44</v>
      </c>
      <c r="F909">
        <v>0</v>
      </c>
      <c r="G909">
        <v>0</v>
      </c>
      <c r="P909">
        <v>124</v>
      </c>
      <c r="Q909" t="s">
        <v>2066</v>
      </c>
    </row>
    <row r="910" spans="1:17" x14ac:dyDescent="0.3">
      <c r="A910" t="s">
        <v>17</v>
      </c>
      <c r="B910" t="str">
        <f>"601198"</f>
        <v>601198</v>
      </c>
      <c r="C910" t="s">
        <v>2067</v>
      </c>
      <c r="D910" t="s">
        <v>80</v>
      </c>
      <c r="P910">
        <v>814</v>
      </c>
      <c r="Q910" t="s">
        <v>2068</v>
      </c>
    </row>
    <row r="911" spans="1:17" x14ac:dyDescent="0.3">
      <c r="A911" t="s">
        <v>17</v>
      </c>
      <c r="B911" t="str">
        <f>"601199"</f>
        <v>601199</v>
      </c>
      <c r="C911" t="s">
        <v>2069</v>
      </c>
      <c r="D911" t="s">
        <v>33</v>
      </c>
      <c r="F911">
        <v>5779198</v>
      </c>
      <c r="G911">
        <v>2059386</v>
      </c>
      <c r="H911">
        <v>1762103</v>
      </c>
      <c r="I911">
        <v>641043</v>
      </c>
      <c r="P911">
        <v>186</v>
      </c>
      <c r="Q911" t="s">
        <v>2070</v>
      </c>
    </row>
    <row r="912" spans="1:17" x14ac:dyDescent="0.3">
      <c r="A912" t="s">
        <v>17</v>
      </c>
      <c r="B912" t="str">
        <f>"601200"</f>
        <v>601200</v>
      </c>
      <c r="C912" t="s">
        <v>2071</v>
      </c>
      <c r="D912" t="s">
        <v>499</v>
      </c>
      <c r="F912">
        <v>113813420</v>
      </c>
      <c r="G912">
        <v>70252833</v>
      </c>
      <c r="H912">
        <v>49613206</v>
      </c>
      <c r="I912">
        <v>35241070</v>
      </c>
      <c r="P912">
        <v>326</v>
      </c>
      <c r="Q912" t="s">
        <v>2072</v>
      </c>
    </row>
    <row r="913" spans="1:17" x14ac:dyDescent="0.3">
      <c r="A913" t="s">
        <v>17</v>
      </c>
      <c r="B913" t="str">
        <f>"601206"</f>
        <v>601206</v>
      </c>
      <c r="C913" t="s">
        <v>2073</v>
      </c>
      <c r="D913" t="s">
        <v>2074</v>
      </c>
      <c r="P913">
        <v>19</v>
      </c>
      <c r="Q913" t="s">
        <v>2075</v>
      </c>
    </row>
    <row r="914" spans="1:17" x14ac:dyDescent="0.3">
      <c r="A914" t="s">
        <v>17</v>
      </c>
      <c r="B914" t="str">
        <f>"601208"</f>
        <v>601208</v>
      </c>
      <c r="C914" t="s">
        <v>2076</v>
      </c>
      <c r="D914" t="s">
        <v>324</v>
      </c>
      <c r="F914">
        <v>152125525</v>
      </c>
      <c r="G914">
        <v>116826189</v>
      </c>
      <c r="H914">
        <v>94598743</v>
      </c>
      <c r="I914">
        <v>77834130</v>
      </c>
      <c r="P914">
        <v>3074</v>
      </c>
      <c r="Q914" t="s">
        <v>2077</v>
      </c>
    </row>
    <row r="915" spans="1:17" x14ac:dyDescent="0.3">
      <c r="A915" t="s">
        <v>17</v>
      </c>
      <c r="B915" t="str">
        <f>"601211"</f>
        <v>601211</v>
      </c>
      <c r="C915" t="s">
        <v>2078</v>
      </c>
      <c r="D915" t="s">
        <v>80</v>
      </c>
      <c r="P915">
        <v>3571</v>
      </c>
      <c r="Q915" t="s">
        <v>2079</v>
      </c>
    </row>
    <row r="916" spans="1:17" x14ac:dyDescent="0.3">
      <c r="A916" t="s">
        <v>17</v>
      </c>
      <c r="B916" t="str">
        <f>"601212"</f>
        <v>601212</v>
      </c>
      <c r="C916" t="s">
        <v>2080</v>
      </c>
      <c r="D916" t="s">
        <v>2081</v>
      </c>
      <c r="F916">
        <v>62711667</v>
      </c>
      <c r="G916">
        <v>30423913</v>
      </c>
      <c r="H916">
        <v>14711568</v>
      </c>
      <c r="I916">
        <v>17472218</v>
      </c>
      <c r="P916">
        <v>185</v>
      </c>
      <c r="Q916" t="s">
        <v>2082</v>
      </c>
    </row>
    <row r="917" spans="1:17" x14ac:dyDescent="0.3">
      <c r="A917" t="s">
        <v>17</v>
      </c>
      <c r="B917" t="str">
        <f>"601216"</f>
        <v>601216</v>
      </c>
      <c r="C917" t="s">
        <v>2083</v>
      </c>
      <c r="D917" t="s">
        <v>175</v>
      </c>
      <c r="F917">
        <v>438146186</v>
      </c>
      <c r="G917">
        <v>296013402</v>
      </c>
      <c r="H917">
        <v>285300870</v>
      </c>
      <c r="I917">
        <v>318939163</v>
      </c>
      <c r="P917">
        <v>958</v>
      </c>
      <c r="Q917" t="s">
        <v>2084</v>
      </c>
    </row>
    <row r="918" spans="1:17" x14ac:dyDescent="0.3">
      <c r="A918" t="s">
        <v>17</v>
      </c>
      <c r="B918" t="str">
        <f>"601218"</f>
        <v>601218</v>
      </c>
      <c r="C918" t="s">
        <v>2085</v>
      </c>
      <c r="D918" t="s">
        <v>950</v>
      </c>
      <c r="F918">
        <v>70298709</v>
      </c>
      <c r="G918">
        <v>61789801</v>
      </c>
      <c r="H918">
        <v>48655083</v>
      </c>
      <c r="I918">
        <v>43492353</v>
      </c>
      <c r="P918">
        <v>146</v>
      </c>
      <c r="Q918" t="s">
        <v>2086</v>
      </c>
    </row>
    <row r="919" spans="1:17" x14ac:dyDescent="0.3">
      <c r="A919" t="s">
        <v>17</v>
      </c>
      <c r="B919" t="str">
        <f>"601222"</f>
        <v>601222</v>
      </c>
      <c r="C919" t="s">
        <v>2087</v>
      </c>
      <c r="D919" t="s">
        <v>86</v>
      </c>
      <c r="F919">
        <v>138780057</v>
      </c>
      <c r="G919">
        <v>131032749</v>
      </c>
      <c r="H919">
        <v>138561388</v>
      </c>
      <c r="I919">
        <v>147563321</v>
      </c>
      <c r="P919">
        <v>556</v>
      </c>
      <c r="Q919" t="s">
        <v>2088</v>
      </c>
    </row>
    <row r="920" spans="1:17" x14ac:dyDescent="0.3">
      <c r="A920" t="s">
        <v>17</v>
      </c>
      <c r="B920" t="str">
        <f>"601225"</f>
        <v>601225</v>
      </c>
      <c r="C920" t="s">
        <v>2089</v>
      </c>
      <c r="D920" t="s">
        <v>292</v>
      </c>
      <c r="F920">
        <v>136211930</v>
      </c>
      <c r="G920">
        <v>95982394</v>
      </c>
      <c r="H920">
        <v>53727248</v>
      </c>
      <c r="I920">
        <v>9962401</v>
      </c>
      <c r="P920">
        <v>2634</v>
      </c>
      <c r="Q920" t="s">
        <v>2090</v>
      </c>
    </row>
    <row r="921" spans="1:17" x14ac:dyDescent="0.3">
      <c r="A921" t="s">
        <v>17</v>
      </c>
      <c r="B921" t="str">
        <f>"601226"</f>
        <v>601226</v>
      </c>
      <c r="C921" t="s">
        <v>2091</v>
      </c>
      <c r="D921" t="s">
        <v>1992</v>
      </c>
      <c r="F921">
        <v>189486706</v>
      </c>
      <c r="G921">
        <v>142531171</v>
      </c>
      <c r="H921">
        <v>143777463</v>
      </c>
      <c r="I921">
        <v>119155463</v>
      </c>
      <c r="P921">
        <v>114</v>
      </c>
      <c r="Q921" t="s">
        <v>2092</v>
      </c>
    </row>
    <row r="922" spans="1:17" x14ac:dyDescent="0.3">
      <c r="A922" t="s">
        <v>17</v>
      </c>
      <c r="B922" t="str">
        <f>"601228"</f>
        <v>601228</v>
      </c>
      <c r="C922" t="s">
        <v>2093</v>
      </c>
      <c r="D922" t="s">
        <v>51</v>
      </c>
      <c r="F922">
        <v>28638083</v>
      </c>
      <c r="G922">
        <v>26895728</v>
      </c>
      <c r="H922">
        <v>22615378</v>
      </c>
      <c r="I922">
        <v>18220887</v>
      </c>
      <c r="P922">
        <v>189</v>
      </c>
      <c r="Q922" t="s">
        <v>2094</v>
      </c>
    </row>
    <row r="923" spans="1:17" x14ac:dyDescent="0.3">
      <c r="A923" t="s">
        <v>17</v>
      </c>
      <c r="B923" t="str">
        <f>"601229"</f>
        <v>601229</v>
      </c>
      <c r="C923" t="s">
        <v>2095</v>
      </c>
      <c r="D923" t="s">
        <v>1842</v>
      </c>
      <c r="P923">
        <v>1548</v>
      </c>
      <c r="Q923" t="s">
        <v>2096</v>
      </c>
    </row>
    <row r="924" spans="1:17" x14ac:dyDescent="0.3">
      <c r="A924" t="s">
        <v>17</v>
      </c>
      <c r="B924" t="str">
        <f>"601231"</f>
        <v>601231</v>
      </c>
      <c r="C924" t="s">
        <v>2097</v>
      </c>
      <c r="D924" t="s">
        <v>313</v>
      </c>
      <c r="F924">
        <v>1641398513</v>
      </c>
      <c r="G924">
        <v>1576363064</v>
      </c>
      <c r="H924">
        <v>1372606111</v>
      </c>
      <c r="I924">
        <v>1312476009</v>
      </c>
      <c r="P924">
        <v>735</v>
      </c>
      <c r="Q924" t="s">
        <v>2098</v>
      </c>
    </row>
    <row r="925" spans="1:17" x14ac:dyDescent="0.3">
      <c r="A925" t="s">
        <v>17</v>
      </c>
      <c r="B925" t="str">
        <f>"601233"</f>
        <v>601233</v>
      </c>
      <c r="C925" t="s">
        <v>2099</v>
      </c>
      <c r="D925" t="s">
        <v>1617</v>
      </c>
      <c r="F925">
        <v>1459725974</v>
      </c>
      <c r="G925">
        <v>1041947416</v>
      </c>
      <c r="H925">
        <v>1118107987</v>
      </c>
      <c r="I925">
        <v>487935545</v>
      </c>
      <c r="P925">
        <v>807</v>
      </c>
      <c r="Q925" t="s">
        <v>2100</v>
      </c>
    </row>
    <row r="926" spans="1:17" x14ac:dyDescent="0.3">
      <c r="A926" t="s">
        <v>17</v>
      </c>
      <c r="B926" t="str">
        <f>"601236"</f>
        <v>601236</v>
      </c>
      <c r="C926" t="s">
        <v>2101</v>
      </c>
      <c r="D926" t="s">
        <v>80</v>
      </c>
      <c r="P926">
        <v>879</v>
      </c>
      <c r="Q926" t="s">
        <v>2102</v>
      </c>
    </row>
    <row r="927" spans="1:17" x14ac:dyDescent="0.3">
      <c r="A927" t="s">
        <v>17</v>
      </c>
      <c r="B927" t="str">
        <f>"601238"</f>
        <v>601238</v>
      </c>
      <c r="C927" t="s">
        <v>2103</v>
      </c>
      <c r="D927" t="s">
        <v>247</v>
      </c>
      <c r="F927">
        <v>988697734</v>
      </c>
      <c r="G927">
        <v>976384049</v>
      </c>
      <c r="H927">
        <v>1002451985</v>
      </c>
      <c r="I927">
        <v>826674450</v>
      </c>
      <c r="P927">
        <v>1300</v>
      </c>
      <c r="Q927" t="s">
        <v>2104</v>
      </c>
    </row>
    <row r="928" spans="1:17" x14ac:dyDescent="0.3">
      <c r="A928" t="s">
        <v>17</v>
      </c>
      <c r="B928" t="str">
        <f>"601258"</f>
        <v>601258</v>
      </c>
      <c r="C928" t="s">
        <v>2105</v>
      </c>
      <c r="D928" t="s">
        <v>672</v>
      </c>
      <c r="F928">
        <v>0</v>
      </c>
      <c r="G928">
        <v>0</v>
      </c>
      <c r="P928">
        <v>133</v>
      </c>
      <c r="Q928" t="s">
        <v>2106</v>
      </c>
    </row>
    <row r="929" spans="1:17" x14ac:dyDescent="0.3">
      <c r="A929" t="s">
        <v>17</v>
      </c>
      <c r="B929" t="str">
        <f>"601268"</f>
        <v>601268</v>
      </c>
      <c r="C929" t="s">
        <v>2107</v>
      </c>
      <c r="P929">
        <v>2</v>
      </c>
      <c r="Q929" t="s">
        <v>2108</v>
      </c>
    </row>
    <row r="930" spans="1:17" x14ac:dyDescent="0.3">
      <c r="A930" t="s">
        <v>17</v>
      </c>
      <c r="B930" t="str">
        <f>"601279"</f>
        <v>601279</v>
      </c>
      <c r="C930" t="s">
        <v>2109</v>
      </c>
      <c r="D930" t="s">
        <v>985</v>
      </c>
      <c r="F930">
        <v>185492877</v>
      </c>
      <c r="G930">
        <v>150131139</v>
      </c>
      <c r="H930">
        <v>153920997</v>
      </c>
      <c r="I930">
        <v>159410398</v>
      </c>
      <c r="J930">
        <v>134353762</v>
      </c>
      <c r="K930">
        <v>106037108</v>
      </c>
      <c r="P930">
        <v>43</v>
      </c>
      <c r="Q930" t="s">
        <v>2110</v>
      </c>
    </row>
    <row r="931" spans="1:17" x14ac:dyDescent="0.3">
      <c r="A931" t="s">
        <v>17</v>
      </c>
      <c r="B931" t="str">
        <f>"601288"</f>
        <v>601288</v>
      </c>
      <c r="C931" t="s">
        <v>2111</v>
      </c>
      <c r="D931" t="s">
        <v>2112</v>
      </c>
      <c r="P931">
        <v>9498</v>
      </c>
      <c r="Q931" t="s">
        <v>2113</v>
      </c>
    </row>
    <row r="932" spans="1:17" x14ac:dyDescent="0.3">
      <c r="A932" t="s">
        <v>17</v>
      </c>
      <c r="B932" t="str">
        <f>"601298"</f>
        <v>601298</v>
      </c>
      <c r="C932" t="s">
        <v>2114</v>
      </c>
      <c r="D932" t="s">
        <v>51</v>
      </c>
      <c r="F932">
        <v>82708843</v>
      </c>
      <c r="G932">
        <v>20178352</v>
      </c>
      <c r="H932">
        <v>33764127</v>
      </c>
      <c r="I932">
        <v>39728196</v>
      </c>
      <c r="P932">
        <v>431</v>
      </c>
      <c r="Q932" t="s">
        <v>2115</v>
      </c>
    </row>
    <row r="933" spans="1:17" x14ac:dyDescent="0.3">
      <c r="A933" t="s">
        <v>17</v>
      </c>
      <c r="B933" t="str">
        <f>"601299"</f>
        <v>601299</v>
      </c>
      <c r="C933" t="s">
        <v>2116</v>
      </c>
      <c r="P933">
        <v>12</v>
      </c>
      <c r="Q933" t="s">
        <v>2117</v>
      </c>
    </row>
    <row r="934" spans="1:17" x14ac:dyDescent="0.3">
      <c r="A934" t="s">
        <v>17</v>
      </c>
      <c r="B934" t="str">
        <f>"601311"</f>
        <v>601311</v>
      </c>
      <c r="C934" t="s">
        <v>2118</v>
      </c>
      <c r="D934" t="s">
        <v>555</v>
      </c>
      <c r="F934">
        <v>150266017</v>
      </c>
      <c r="G934">
        <v>82072529</v>
      </c>
      <c r="H934">
        <v>92324147</v>
      </c>
      <c r="I934">
        <v>78593646</v>
      </c>
      <c r="P934">
        <v>339</v>
      </c>
      <c r="Q934" t="s">
        <v>2119</v>
      </c>
    </row>
    <row r="935" spans="1:17" x14ac:dyDescent="0.3">
      <c r="A935" t="s">
        <v>17</v>
      </c>
      <c r="B935" t="str">
        <f>"601313"</f>
        <v>601313</v>
      </c>
      <c r="C935" t="s">
        <v>2120</v>
      </c>
      <c r="P935">
        <v>53</v>
      </c>
      <c r="Q935" t="s">
        <v>2121</v>
      </c>
    </row>
    <row r="936" spans="1:17" x14ac:dyDescent="0.3">
      <c r="A936" t="s">
        <v>17</v>
      </c>
      <c r="B936" t="str">
        <f>"601318"</f>
        <v>601318</v>
      </c>
      <c r="C936" t="s">
        <v>2122</v>
      </c>
      <c r="D936" t="s">
        <v>660</v>
      </c>
      <c r="P936">
        <v>27844</v>
      </c>
      <c r="Q936" t="s">
        <v>2123</v>
      </c>
    </row>
    <row r="937" spans="1:17" x14ac:dyDescent="0.3">
      <c r="A937" t="s">
        <v>17</v>
      </c>
      <c r="B937" t="str">
        <f>"601319"</f>
        <v>601319</v>
      </c>
      <c r="C937" t="s">
        <v>2124</v>
      </c>
      <c r="D937" t="s">
        <v>660</v>
      </c>
      <c r="P937">
        <v>901</v>
      </c>
      <c r="Q937" t="s">
        <v>2125</v>
      </c>
    </row>
    <row r="938" spans="1:17" x14ac:dyDescent="0.3">
      <c r="A938" t="s">
        <v>17</v>
      </c>
      <c r="B938" t="str">
        <f>"601326"</f>
        <v>601326</v>
      </c>
      <c r="C938" t="s">
        <v>2126</v>
      </c>
      <c r="D938" t="s">
        <v>51</v>
      </c>
      <c r="F938">
        <v>53878007</v>
      </c>
      <c r="G938">
        <v>11469426</v>
      </c>
      <c r="H938">
        <v>12397157</v>
      </c>
      <c r="I938">
        <v>11574245</v>
      </c>
      <c r="P938">
        <v>127</v>
      </c>
      <c r="Q938" t="s">
        <v>2127</v>
      </c>
    </row>
    <row r="939" spans="1:17" x14ac:dyDescent="0.3">
      <c r="A939" t="s">
        <v>17</v>
      </c>
      <c r="B939" t="str">
        <f>"601328"</f>
        <v>601328</v>
      </c>
      <c r="C939" t="s">
        <v>2128</v>
      </c>
      <c r="D939" t="s">
        <v>2112</v>
      </c>
      <c r="P939">
        <v>4577</v>
      </c>
      <c r="Q939" t="s">
        <v>2129</v>
      </c>
    </row>
    <row r="940" spans="1:17" x14ac:dyDescent="0.3">
      <c r="A940" t="s">
        <v>17</v>
      </c>
      <c r="B940" t="str">
        <f>"601330"</f>
        <v>601330</v>
      </c>
      <c r="C940" t="s">
        <v>2130</v>
      </c>
      <c r="D940" t="s">
        <v>499</v>
      </c>
      <c r="F940">
        <v>7085349</v>
      </c>
      <c r="G940">
        <v>7603578</v>
      </c>
      <c r="H940">
        <v>10667001</v>
      </c>
      <c r="I940">
        <v>13150332</v>
      </c>
      <c r="J940">
        <v>10241849</v>
      </c>
      <c r="P940">
        <v>234</v>
      </c>
      <c r="Q940" t="s">
        <v>2131</v>
      </c>
    </row>
    <row r="941" spans="1:17" x14ac:dyDescent="0.3">
      <c r="A941" t="s">
        <v>17</v>
      </c>
      <c r="B941" t="str">
        <f>"601333"</f>
        <v>601333</v>
      </c>
      <c r="C941" t="s">
        <v>2132</v>
      </c>
      <c r="D941" t="s">
        <v>301</v>
      </c>
      <c r="F941">
        <v>0</v>
      </c>
      <c r="G941">
        <v>0</v>
      </c>
      <c r="P941">
        <v>318</v>
      </c>
      <c r="Q941" t="s">
        <v>2133</v>
      </c>
    </row>
    <row r="942" spans="1:17" x14ac:dyDescent="0.3">
      <c r="A942" t="s">
        <v>17</v>
      </c>
      <c r="B942" t="str">
        <f>"601336"</f>
        <v>601336</v>
      </c>
      <c r="C942" t="s">
        <v>2134</v>
      </c>
      <c r="D942" t="s">
        <v>660</v>
      </c>
      <c r="P942">
        <v>1856</v>
      </c>
      <c r="Q942" t="s">
        <v>2135</v>
      </c>
    </row>
    <row r="943" spans="1:17" x14ac:dyDescent="0.3">
      <c r="A943" t="s">
        <v>17</v>
      </c>
      <c r="B943" t="str">
        <f>"601339"</f>
        <v>601339</v>
      </c>
      <c r="C943" t="s">
        <v>2136</v>
      </c>
      <c r="D943" t="s">
        <v>1009</v>
      </c>
      <c r="F943">
        <v>155094673</v>
      </c>
      <c r="G943">
        <v>138617428</v>
      </c>
      <c r="H943">
        <v>138204067</v>
      </c>
      <c r="I943">
        <v>141737289</v>
      </c>
      <c r="P943">
        <v>207</v>
      </c>
      <c r="Q943" t="s">
        <v>2137</v>
      </c>
    </row>
    <row r="944" spans="1:17" x14ac:dyDescent="0.3">
      <c r="A944" t="s">
        <v>17</v>
      </c>
      <c r="B944" t="str">
        <f>"601360"</f>
        <v>601360</v>
      </c>
      <c r="C944" t="s">
        <v>2138</v>
      </c>
      <c r="D944" t="s">
        <v>1189</v>
      </c>
      <c r="F944">
        <v>3128725000</v>
      </c>
      <c r="G944">
        <v>2871129000</v>
      </c>
      <c r="H944">
        <v>2528171000</v>
      </c>
      <c r="I944">
        <v>2546310000</v>
      </c>
      <c r="P944">
        <v>1010</v>
      </c>
      <c r="Q944" t="s">
        <v>2139</v>
      </c>
    </row>
    <row r="945" spans="1:17" x14ac:dyDescent="0.3">
      <c r="A945" t="s">
        <v>17</v>
      </c>
      <c r="B945" t="str">
        <f>"601366"</f>
        <v>601366</v>
      </c>
      <c r="C945" t="s">
        <v>2140</v>
      </c>
      <c r="D945" t="s">
        <v>1404</v>
      </c>
      <c r="F945">
        <v>0</v>
      </c>
      <c r="G945">
        <v>0</v>
      </c>
      <c r="P945">
        <v>132</v>
      </c>
      <c r="Q945" t="s">
        <v>2141</v>
      </c>
    </row>
    <row r="946" spans="1:17" x14ac:dyDescent="0.3">
      <c r="A946" t="s">
        <v>17</v>
      </c>
      <c r="B946" t="str">
        <f>"601368"</f>
        <v>601368</v>
      </c>
      <c r="C946" t="s">
        <v>2142</v>
      </c>
      <c r="D946" t="s">
        <v>33</v>
      </c>
      <c r="F946">
        <v>1034362</v>
      </c>
      <c r="G946">
        <v>107416</v>
      </c>
      <c r="H946">
        <v>47700</v>
      </c>
      <c r="I946">
        <v>0</v>
      </c>
      <c r="P946">
        <v>109</v>
      </c>
      <c r="Q946" t="s">
        <v>2143</v>
      </c>
    </row>
    <row r="947" spans="1:17" x14ac:dyDescent="0.3">
      <c r="A947" t="s">
        <v>17</v>
      </c>
      <c r="B947" t="str">
        <f>"601369"</f>
        <v>601369</v>
      </c>
      <c r="C947" t="s">
        <v>2144</v>
      </c>
      <c r="D947" t="s">
        <v>560</v>
      </c>
      <c r="F947">
        <v>326948084</v>
      </c>
      <c r="G947">
        <v>310604039</v>
      </c>
      <c r="H947">
        <v>254809547</v>
      </c>
      <c r="I947">
        <v>129554977</v>
      </c>
      <c r="P947">
        <v>215</v>
      </c>
      <c r="Q947" t="s">
        <v>2145</v>
      </c>
    </row>
    <row r="948" spans="1:17" x14ac:dyDescent="0.3">
      <c r="A948" t="s">
        <v>17</v>
      </c>
      <c r="B948" t="str">
        <f>"601375"</f>
        <v>601375</v>
      </c>
      <c r="C948" t="s">
        <v>2146</v>
      </c>
      <c r="D948" t="s">
        <v>80</v>
      </c>
      <c r="P948">
        <v>690</v>
      </c>
      <c r="Q948" t="s">
        <v>2147</v>
      </c>
    </row>
    <row r="949" spans="1:17" x14ac:dyDescent="0.3">
      <c r="A949" t="s">
        <v>17</v>
      </c>
      <c r="B949" t="str">
        <f>"601377"</f>
        <v>601377</v>
      </c>
      <c r="C949" t="s">
        <v>2148</v>
      </c>
      <c r="D949" t="s">
        <v>80</v>
      </c>
      <c r="P949">
        <v>1731</v>
      </c>
      <c r="Q949" t="s">
        <v>2149</v>
      </c>
    </row>
    <row r="950" spans="1:17" x14ac:dyDescent="0.3">
      <c r="A950" t="s">
        <v>17</v>
      </c>
      <c r="B950" t="str">
        <f>"601388"</f>
        <v>601388</v>
      </c>
      <c r="C950" t="s">
        <v>2150</v>
      </c>
      <c r="D950" t="s">
        <v>504</v>
      </c>
      <c r="F950">
        <v>5193882</v>
      </c>
      <c r="G950">
        <v>2694214</v>
      </c>
      <c r="H950">
        <v>2315023</v>
      </c>
      <c r="I950">
        <v>2240330</v>
      </c>
      <c r="P950">
        <v>206</v>
      </c>
      <c r="Q950" t="s">
        <v>2151</v>
      </c>
    </row>
    <row r="951" spans="1:17" x14ac:dyDescent="0.3">
      <c r="A951" t="s">
        <v>17</v>
      </c>
      <c r="B951" t="str">
        <f>"601390"</f>
        <v>601390</v>
      </c>
      <c r="C951" t="s">
        <v>2152</v>
      </c>
      <c r="D951" t="s">
        <v>101</v>
      </c>
      <c r="F951">
        <v>24756054000</v>
      </c>
      <c r="G951">
        <v>21837697000</v>
      </c>
      <c r="H951">
        <v>16511052000</v>
      </c>
      <c r="I951">
        <v>13436186000</v>
      </c>
      <c r="P951">
        <v>1323</v>
      </c>
      <c r="Q951" t="s">
        <v>2153</v>
      </c>
    </row>
    <row r="952" spans="1:17" x14ac:dyDescent="0.3">
      <c r="A952" t="s">
        <v>17</v>
      </c>
      <c r="B952" t="str">
        <f>"601398"</f>
        <v>601398</v>
      </c>
      <c r="C952" t="s">
        <v>2154</v>
      </c>
      <c r="D952" t="s">
        <v>2112</v>
      </c>
      <c r="P952">
        <v>20387</v>
      </c>
      <c r="Q952" t="s">
        <v>2155</v>
      </c>
    </row>
    <row r="953" spans="1:17" x14ac:dyDescent="0.3">
      <c r="A953" t="s">
        <v>17</v>
      </c>
      <c r="B953" t="str">
        <f>"601399"</f>
        <v>601399</v>
      </c>
      <c r="C953" t="s">
        <v>2156</v>
      </c>
      <c r="D953" t="s">
        <v>395</v>
      </c>
      <c r="F953">
        <v>358304788</v>
      </c>
      <c r="G953">
        <v>289022976</v>
      </c>
      <c r="H953">
        <v>264840091</v>
      </c>
      <c r="I953">
        <v>79683197</v>
      </c>
      <c r="J953">
        <v>112311962</v>
      </c>
      <c r="P953">
        <v>53</v>
      </c>
      <c r="Q953" t="s">
        <v>2157</v>
      </c>
    </row>
    <row r="954" spans="1:17" x14ac:dyDescent="0.3">
      <c r="A954" t="s">
        <v>17</v>
      </c>
      <c r="B954" t="str">
        <f>"601456"</f>
        <v>601456</v>
      </c>
      <c r="C954" t="s">
        <v>2158</v>
      </c>
      <c r="D954" t="s">
        <v>80</v>
      </c>
      <c r="P954">
        <v>310</v>
      </c>
      <c r="Q954" t="s">
        <v>2159</v>
      </c>
    </row>
    <row r="955" spans="1:17" x14ac:dyDescent="0.3">
      <c r="A955" t="s">
        <v>17</v>
      </c>
      <c r="B955" t="str">
        <f>"601500"</f>
        <v>601500</v>
      </c>
      <c r="C955" t="s">
        <v>2160</v>
      </c>
      <c r="D955" t="s">
        <v>422</v>
      </c>
      <c r="F955">
        <v>108237865</v>
      </c>
      <c r="G955">
        <v>108401406</v>
      </c>
      <c r="H955">
        <v>120087990</v>
      </c>
      <c r="I955">
        <v>136593467</v>
      </c>
      <c r="P955">
        <v>85</v>
      </c>
      <c r="Q955" t="s">
        <v>2161</v>
      </c>
    </row>
    <row r="956" spans="1:17" x14ac:dyDescent="0.3">
      <c r="A956" t="s">
        <v>17</v>
      </c>
      <c r="B956" t="str">
        <f>"601512"</f>
        <v>601512</v>
      </c>
      <c r="C956" t="s">
        <v>2162</v>
      </c>
      <c r="D956" t="s">
        <v>194</v>
      </c>
      <c r="F956">
        <v>14352534</v>
      </c>
      <c r="G956">
        <v>6267438</v>
      </c>
      <c r="H956">
        <v>3467028</v>
      </c>
      <c r="I956">
        <v>0</v>
      </c>
      <c r="J956">
        <v>0</v>
      </c>
      <c r="P956">
        <v>103</v>
      </c>
      <c r="Q956" t="s">
        <v>2163</v>
      </c>
    </row>
    <row r="957" spans="1:17" x14ac:dyDescent="0.3">
      <c r="A957" t="s">
        <v>17</v>
      </c>
      <c r="B957" t="str">
        <f>"601515"</f>
        <v>601515</v>
      </c>
      <c r="C957" t="s">
        <v>2164</v>
      </c>
      <c r="D957" t="s">
        <v>2165</v>
      </c>
      <c r="F957">
        <v>156614944</v>
      </c>
      <c r="G957">
        <v>133887759</v>
      </c>
      <c r="H957">
        <v>143448595</v>
      </c>
      <c r="I957">
        <v>139784418</v>
      </c>
      <c r="P957">
        <v>28151</v>
      </c>
      <c r="Q957" t="s">
        <v>2166</v>
      </c>
    </row>
    <row r="958" spans="1:17" x14ac:dyDescent="0.3">
      <c r="A958" t="s">
        <v>17</v>
      </c>
      <c r="B958" t="str">
        <f>"601518"</f>
        <v>601518</v>
      </c>
      <c r="C958" t="s">
        <v>2167</v>
      </c>
      <c r="D958" t="s">
        <v>44</v>
      </c>
      <c r="F958">
        <v>2507506</v>
      </c>
      <c r="G958">
        <v>0</v>
      </c>
      <c r="P958">
        <v>113</v>
      </c>
      <c r="Q958" t="s">
        <v>2168</v>
      </c>
    </row>
    <row r="959" spans="1:17" x14ac:dyDescent="0.3">
      <c r="A959" t="s">
        <v>17</v>
      </c>
      <c r="B959" t="str">
        <f>"601519"</f>
        <v>601519</v>
      </c>
      <c r="C959" t="s">
        <v>2169</v>
      </c>
      <c r="D959" t="s">
        <v>945</v>
      </c>
      <c r="F959">
        <v>194005896</v>
      </c>
      <c r="G959">
        <v>124624997</v>
      </c>
      <c r="H959">
        <v>118729844</v>
      </c>
      <c r="I959">
        <v>108429786</v>
      </c>
      <c r="P959">
        <v>209</v>
      </c>
      <c r="Q959" t="s">
        <v>2170</v>
      </c>
    </row>
    <row r="960" spans="1:17" x14ac:dyDescent="0.3">
      <c r="A960" t="s">
        <v>17</v>
      </c>
      <c r="B960" t="str">
        <f>"601528"</f>
        <v>601528</v>
      </c>
      <c r="C960" t="s">
        <v>2171</v>
      </c>
      <c r="D960" t="s">
        <v>1831</v>
      </c>
      <c r="P960">
        <v>49</v>
      </c>
      <c r="Q960" t="s">
        <v>2172</v>
      </c>
    </row>
    <row r="961" spans="1:17" x14ac:dyDescent="0.3">
      <c r="A961" t="s">
        <v>17</v>
      </c>
      <c r="B961" t="str">
        <f>"601555"</f>
        <v>601555</v>
      </c>
      <c r="C961" t="s">
        <v>2173</v>
      </c>
      <c r="D961" t="s">
        <v>80</v>
      </c>
      <c r="P961">
        <v>937</v>
      </c>
      <c r="Q961" t="s">
        <v>2174</v>
      </c>
    </row>
    <row r="962" spans="1:17" x14ac:dyDescent="0.3">
      <c r="A962" t="s">
        <v>17</v>
      </c>
      <c r="B962" t="str">
        <f>"601558"</f>
        <v>601558</v>
      </c>
      <c r="C962" t="s">
        <v>2175</v>
      </c>
      <c r="H962">
        <v>37236338</v>
      </c>
      <c r="I962">
        <v>37228103</v>
      </c>
      <c r="P962">
        <v>47</v>
      </c>
      <c r="Q962" t="s">
        <v>2176</v>
      </c>
    </row>
    <row r="963" spans="1:17" x14ac:dyDescent="0.3">
      <c r="A963" t="s">
        <v>17</v>
      </c>
      <c r="B963" t="str">
        <f>"601566"</f>
        <v>601566</v>
      </c>
      <c r="C963" t="s">
        <v>2177</v>
      </c>
      <c r="D963" t="s">
        <v>255</v>
      </c>
      <c r="F963">
        <v>48287762</v>
      </c>
      <c r="G963">
        <v>41778283</v>
      </c>
      <c r="H963">
        <v>43174849</v>
      </c>
      <c r="I963">
        <v>34879546</v>
      </c>
      <c r="P963">
        <v>426</v>
      </c>
      <c r="Q963" t="s">
        <v>2178</v>
      </c>
    </row>
    <row r="964" spans="1:17" x14ac:dyDescent="0.3">
      <c r="A964" t="s">
        <v>17</v>
      </c>
      <c r="B964" t="str">
        <f>"601567"</f>
        <v>601567</v>
      </c>
      <c r="C964" t="s">
        <v>2179</v>
      </c>
      <c r="D964" t="s">
        <v>2180</v>
      </c>
      <c r="F964">
        <v>294029248</v>
      </c>
      <c r="G964">
        <v>312779544</v>
      </c>
      <c r="H964">
        <v>306733177</v>
      </c>
      <c r="I964">
        <v>267998551</v>
      </c>
      <c r="P964">
        <v>325</v>
      </c>
      <c r="Q964" t="s">
        <v>2181</v>
      </c>
    </row>
    <row r="965" spans="1:17" x14ac:dyDescent="0.3">
      <c r="A965" t="s">
        <v>17</v>
      </c>
      <c r="B965" t="str">
        <f>"601568"</f>
        <v>601568</v>
      </c>
      <c r="C965" t="s">
        <v>2182</v>
      </c>
      <c r="D965" t="s">
        <v>175</v>
      </c>
      <c r="F965">
        <v>79104460</v>
      </c>
      <c r="G965">
        <v>65493787</v>
      </c>
      <c r="H965">
        <v>61194354</v>
      </c>
      <c r="I965">
        <v>61392214</v>
      </c>
      <c r="J965">
        <v>48704955</v>
      </c>
      <c r="K965">
        <v>25805019</v>
      </c>
      <c r="P965">
        <v>121</v>
      </c>
      <c r="Q965" t="s">
        <v>2183</v>
      </c>
    </row>
    <row r="966" spans="1:17" x14ac:dyDescent="0.3">
      <c r="A966" t="s">
        <v>17</v>
      </c>
      <c r="B966" t="str">
        <f>"601577"</f>
        <v>601577</v>
      </c>
      <c r="C966" t="s">
        <v>2184</v>
      </c>
      <c r="D966" t="s">
        <v>1842</v>
      </c>
      <c r="P966">
        <v>929</v>
      </c>
      <c r="Q966" t="s">
        <v>2185</v>
      </c>
    </row>
    <row r="967" spans="1:17" x14ac:dyDescent="0.3">
      <c r="A967" t="s">
        <v>17</v>
      </c>
      <c r="B967" t="str">
        <f>"601579"</f>
        <v>601579</v>
      </c>
      <c r="C967" t="s">
        <v>2186</v>
      </c>
      <c r="D967" t="s">
        <v>134</v>
      </c>
      <c r="F967">
        <v>12181061</v>
      </c>
      <c r="G967">
        <v>13367973</v>
      </c>
      <c r="H967">
        <v>15852508</v>
      </c>
      <c r="I967">
        <v>11602187</v>
      </c>
      <c r="P967">
        <v>186</v>
      </c>
      <c r="Q967" t="s">
        <v>2187</v>
      </c>
    </row>
    <row r="968" spans="1:17" x14ac:dyDescent="0.3">
      <c r="A968" t="s">
        <v>17</v>
      </c>
      <c r="B968" t="str">
        <f>"601588"</f>
        <v>601588</v>
      </c>
      <c r="C968" t="s">
        <v>2188</v>
      </c>
      <c r="D968" t="s">
        <v>104</v>
      </c>
      <c r="F968">
        <v>0</v>
      </c>
      <c r="G968">
        <v>0</v>
      </c>
      <c r="P968">
        <v>536</v>
      </c>
      <c r="Q968" t="s">
        <v>2189</v>
      </c>
    </row>
    <row r="969" spans="1:17" x14ac:dyDescent="0.3">
      <c r="A969" t="s">
        <v>17</v>
      </c>
      <c r="B969" t="str">
        <f>"601595"</f>
        <v>601595</v>
      </c>
      <c r="C969" t="s">
        <v>2190</v>
      </c>
      <c r="D969" t="s">
        <v>113</v>
      </c>
      <c r="F969">
        <v>0</v>
      </c>
      <c r="G969">
        <v>0</v>
      </c>
      <c r="P969">
        <v>158</v>
      </c>
      <c r="Q969" t="s">
        <v>2191</v>
      </c>
    </row>
    <row r="970" spans="1:17" x14ac:dyDescent="0.3">
      <c r="A970" t="s">
        <v>17</v>
      </c>
      <c r="B970" t="str">
        <f>"601598"</f>
        <v>601598</v>
      </c>
      <c r="C970" t="s">
        <v>2192</v>
      </c>
      <c r="D970" t="s">
        <v>287</v>
      </c>
      <c r="F970">
        <v>171595537</v>
      </c>
      <c r="G970">
        <v>149205750</v>
      </c>
      <c r="H970">
        <v>73437938</v>
      </c>
      <c r="I970">
        <v>23925038</v>
      </c>
      <c r="P970">
        <v>316</v>
      </c>
      <c r="Q970" t="s">
        <v>2193</v>
      </c>
    </row>
    <row r="971" spans="1:17" x14ac:dyDescent="0.3">
      <c r="A971" t="s">
        <v>17</v>
      </c>
      <c r="B971" t="str">
        <f>"601599"</f>
        <v>601599</v>
      </c>
      <c r="C971" t="s">
        <v>2194</v>
      </c>
      <c r="D971" t="s">
        <v>366</v>
      </c>
      <c r="F971">
        <v>26804691</v>
      </c>
      <c r="G971">
        <v>27531638</v>
      </c>
      <c r="H971">
        <v>25528816</v>
      </c>
      <c r="I971">
        <v>22656746</v>
      </c>
      <c r="P971">
        <v>60</v>
      </c>
      <c r="Q971" t="s">
        <v>2195</v>
      </c>
    </row>
    <row r="972" spans="1:17" x14ac:dyDescent="0.3">
      <c r="A972" t="s">
        <v>17</v>
      </c>
      <c r="B972" t="str">
        <f>"601600"</f>
        <v>601600</v>
      </c>
      <c r="C972" t="s">
        <v>2196</v>
      </c>
      <c r="D972" t="s">
        <v>504</v>
      </c>
      <c r="F972">
        <v>2362204000</v>
      </c>
      <c r="G972">
        <v>1434056000</v>
      </c>
      <c r="H972">
        <v>940828000</v>
      </c>
      <c r="I972">
        <v>626873000</v>
      </c>
      <c r="J972">
        <v>498234000</v>
      </c>
      <c r="P972">
        <v>743</v>
      </c>
      <c r="Q972" t="s">
        <v>2197</v>
      </c>
    </row>
    <row r="973" spans="1:17" x14ac:dyDescent="0.3">
      <c r="A973" t="s">
        <v>17</v>
      </c>
      <c r="B973" t="str">
        <f>"601601"</f>
        <v>601601</v>
      </c>
      <c r="C973" t="s">
        <v>2198</v>
      </c>
      <c r="D973" t="s">
        <v>660</v>
      </c>
      <c r="P973">
        <v>2648</v>
      </c>
      <c r="Q973" t="s">
        <v>2199</v>
      </c>
    </row>
    <row r="974" spans="1:17" x14ac:dyDescent="0.3">
      <c r="A974" t="s">
        <v>17</v>
      </c>
      <c r="B974" t="str">
        <f>"601606"</f>
        <v>601606</v>
      </c>
      <c r="C974" t="s">
        <v>2200</v>
      </c>
      <c r="D974" t="s">
        <v>428</v>
      </c>
      <c r="F974">
        <v>100228210</v>
      </c>
      <c r="G974">
        <v>86085423</v>
      </c>
      <c r="H974">
        <v>90804541</v>
      </c>
      <c r="I974">
        <v>79536261</v>
      </c>
      <c r="P974">
        <v>180</v>
      </c>
      <c r="Q974" t="s">
        <v>2201</v>
      </c>
    </row>
    <row r="975" spans="1:17" x14ac:dyDescent="0.3">
      <c r="A975" t="s">
        <v>17</v>
      </c>
      <c r="B975" t="str">
        <f>"601607"</f>
        <v>601607</v>
      </c>
      <c r="C975" t="s">
        <v>1716</v>
      </c>
      <c r="D975" t="s">
        <v>125</v>
      </c>
      <c r="F975">
        <v>1987277619</v>
      </c>
      <c r="G975">
        <v>1656670834</v>
      </c>
      <c r="H975">
        <v>1349504051</v>
      </c>
      <c r="I975">
        <v>1060770940</v>
      </c>
      <c r="P975">
        <v>1369</v>
      </c>
      <c r="Q975" t="s">
        <v>2202</v>
      </c>
    </row>
    <row r="976" spans="1:17" x14ac:dyDescent="0.3">
      <c r="A976" t="s">
        <v>17</v>
      </c>
      <c r="B976" t="str">
        <f>"601608"</f>
        <v>601608</v>
      </c>
      <c r="C976" t="s">
        <v>2203</v>
      </c>
      <c r="D976" t="s">
        <v>395</v>
      </c>
      <c r="F976">
        <v>516931469</v>
      </c>
      <c r="G976">
        <v>426119308</v>
      </c>
      <c r="H976">
        <v>388229222</v>
      </c>
      <c r="I976">
        <v>347575187</v>
      </c>
      <c r="P976">
        <v>178</v>
      </c>
      <c r="Q976" t="s">
        <v>2204</v>
      </c>
    </row>
    <row r="977" spans="1:17" x14ac:dyDescent="0.3">
      <c r="A977" t="s">
        <v>17</v>
      </c>
      <c r="B977" t="str">
        <f>"601609"</f>
        <v>601609</v>
      </c>
      <c r="C977" t="s">
        <v>2205</v>
      </c>
      <c r="D977" t="s">
        <v>263</v>
      </c>
      <c r="F977">
        <v>309431011</v>
      </c>
      <c r="G977">
        <v>205541212</v>
      </c>
      <c r="H977">
        <v>176611129</v>
      </c>
      <c r="I977">
        <v>152628492</v>
      </c>
      <c r="J977">
        <v>92697061</v>
      </c>
      <c r="P977">
        <v>106</v>
      </c>
      <c r="Q977" t="s">
        <v>2206</v>
      </c>
    </row>
    <row r="978" spans="1:17" x14ac:dyDescent="0.3">
      <c r="A978" t="s">
        <v>17</v>
      </c>
      <c r="B978" t="str">
        <f>"601611"</f>
        <v>601611</v>
      </c>
      <c r="C978" t="s">
        <v>2207</v>
      </c>
      <c r="D978" t="s">
        <v>101</v>
      </c>
      <c r="F978">
        <v>1376576044</v>
      </c>
      <c r="G978">
        <v>956764401</v>
      </c>
      <c r="H978">
        <v>807979001</v>
      </c>
      <c r="I978">
        <v>768126193</v>
      </c>
      <c r="P978">
        <v>345</v>
      </c>
      <c r="Q978" t="s">
        <v>2208</v>
      </c>
    </row>
    <row r="979" spans="1:17" x14ac:dyDescent="0.3">
      <c r="A979" t="s">
        <v>17</v>
      </c>
      <c r="B979" t="str">
        <f>"601615"</f>
        <v>601615</v>
      </c>
      <c r="C979" t="s">
        <v>2209</v>
      </c>
      <c r="D979" t="s">
        <v>895</v>
      </c>
      <c r="F979">
        <v>872379037</v>
      </c>
      <c r="G979">
        <v>600707282</v>
      </c>
      <c r="H979">
        <v>298007036</v>
      </c>
      <c r="I979">
        <v>196557095</v>
      </c>
      <c r="J979">
        <v>262323995</v>
      </c>
      <c r="K979">
        <v>234551722</v>
      </c>
      <c r="L979">
        <v>207832574</v>
      </c>
      <c r="P979">
        <v>1067</v>
      </c>
      <c r="Q979" t="s">
        <v>2210</v>
      </c>
    </row>
    <row r="980" spans="1:17" x14ac:dyDescent="0.3">
      <c r="A980" t="s">
        <v>17</v>
      </c>
      <c r="B980" t="str">
        <f>"601616"</f>
        <v>601616</v>
      </c>
      <c r="C980" t="s">
        <v>2211</v>
      </c>
      <c r="D980" t="s">
        <v>657</v>
      </c>
      <c r="F980">
        <v>42527160</v>
      </c>
      <c r="G980">
        <v>41577479</v>
      </c>
      <c r="H980">
        <v>28623180</v>
      </c>
      <c r="I980">
        <v>21932414</v>
      </c>
      <c r="P980">
        <v>72</v>
      </c>
      <c r="Q980" t="s">
        <v>2212</v>
      </c>
    </row>
    <row r="981" spans="1:17" x14ac:dyDescent="0.3">
      <c r="A981" t="s">
        <v>17</v>
      </c>
      <c r="B981" t="str">
        <f>"601618"</f>
        <v>601618</v>
      </c>
      <c r="C981" t="s">
        <v>2213</v>
      </c>
      <c r="D981" t="s">
        <v>1992</v>
      </c>
      <c r="F981">
        <v>15901198000</v>
      </c>
      <c r="G981">
        <v>12326903000</v>
      </c>
      <c r="H981">
        <v>9934444000</v>
      </c>
      <c r="I981">
        <v>7182666000</v>
      </c>
      <c r="P981">
        <v>584</v>
      </c>
      <c r="Q981" t="s">
        <v>2214</v>
      </c>
    </row>
    <row r="982" spans="1:17" x14ac:dyDescent="0.3">
      <c r="A982" t="s">
        <v>17</v>
      </c>
      <c r="B982" t="str">
        <f>"601619"</f>
        <v>601619</v>
      </c>
      <c r="C982" t="s">
        <v>2215</v>
      </c>
      <c r="D982" t="s">
        <v>383</v>
      </c>
      <c r="F982">
        <v>0</v>
      </c>
      <c r="G982">
        <v>0</v>
      </c>
      <c r="P982">
        <v>184</v>
      </c>
      <c r="Q982" t="s">
        <v>2216</v>
      </c>
    </row>
    <row r="983" spans="1:17" x14ac:dyDescent="0.3">
      <c r="A983" t="s">
        <v>17</v>
      </c>
      <c r="B983" t="str">
        <f>"601628"</f>
        <v>601628</v>
      </c>
      <c r="C983" t="s">
        <v>2217</v>
      </c>
      <c r="D983" t="s">
        <v>660</v>
      </c>
      <c r="P983">
        <v>1729</v>
      </c>
      <c r="Q983" t="s">
        <v>2218</v>
      </c>
    </row>
    <row r="984" spans="1:17" x14ac:dyDescent="0.3">
      <c r="A984" t="s">
        <v>17</v>
      </c>
      <c r="B984" t="str">
        <f>"601633"</f>
        <v>601633</v>
      </c>
      <c r="C984" t="s">
        <v>2219</v>
      </c>
      <c r="D984" t="s">
        <v>247</v>
      </c>
      <c r="F984">
        <v>4489565229</v>
      </c>
      <c r="G984">
        <v>3067479582</v>
      </c>
      <c r="H984">
        <v>2716220368</v>
      </c>
      <c r="I984">
        <v>1743379055</v>
      </c>
      <c r="P984">
        <v>2066</v>
      </c>
      <c r="Q984" t="s">
        <v>2220</v>
      </c>
    </row>
    <row r="985" spans="1:17" x14ac:dyDescent="0.3">
      <c r="A985" t="s">
        <v>17</v>
      </c>
      <c r="B985" t="str">
        <f>"601636"</f>
        <v>601636</v>
      </c>
      <c r="C985" t="s">
        <v>2221</v>
      </c>
      <c r="D985" t="s">
        <v>666</v>
      </c>
      <c r="F985">
        <v>647073411</v>
      </c>
      <c r="G985">
        <v>412300627</v>
      </c>
      <c r="H985">
        <v>370537856</v>
      </c>
      <c r="I985">
        <v>310495551</v>
      </c>
      <c r="P985">
        <v>1517</v>
      </c>
      <c r="Q985" t="s">
        <v>2222</v>
      </c>
    </row>
    <row r="986" spans="1:17" x14ac:dyDescent="0.3">
      <c r="A986" t="s">
        <v>17</v>
      </c>
      <c r="B986" t="str">
        <f>"601658"</f>
        <v>601658</v>
      </c>
      <c r="C986" t="s">
        <v>2223</v>
      </c>
      <c r="D986" t="s">
        <v>2112</v>
      </c>
      <c r="P986">
        <v>1193</v>
      </c>
      <c r="Q986" t="s">
        <v>2224</v>
      </c>
    </row>
    <row r="987" spans="1:17" x14ac:dyDescent="0.3">
      <c r="A987" t="s">
        <v>17</v>
      </c>
      <c r="B987" t="str">
        <f>"601665"</f>
        <v>601665</v>
      </c>
      <c r="C987" t="s">
        <v>2225</v>
      </c>
      <c r="D987" t="s">
        <v>1842</v>
      </c>
      <c r="P987">
        <v>52</v>
      </c>
      <c r="Q987" t="s">
        <v>2226</v>
      </c>
    </row>
    <row r="988" spans="1:17" x14ac:dyDescent="0.3">
      <c r="A988" t="s">
        <v>17</v>
      </c>
      <c r="B988" t="str">
        <f>"601666"</f>
        <v>601666</v>
      </c>
      <c r="C988" t="s">
        <v>2227</v>
      </c>
      <c r="D988" t="s">
        <v>298</v>
      </c>
      <c r="F988">
        <v>559852646</v>
      </c>
      <c r="G988">
        <v>485964019</v>
      </c>
      <c r="H988">
        <v>404201731</v>
      </c>
      <c r="I988">
        <v>317117512</v>
      </c>
      <c r="P988">
        <v>401</v>
      </c>
      <c r="Q988" t="s">
        <v>2228</v>
      </c>
    </row>
    <row r="989" spans="1:17" x14ac:dyDescent="0.3">
      <c r="A989" t="s">
        <v>17</v>
      </c>
      <c r="B989" t="str">
        <f>"601668"</f>
        <v>601668</v>
      </c>
      <c r="C989" t="s">
        <v>2229</v>
      </c>
      <c r="D989" t="s">
        <v>398</v>
      </c>
      <c r="F989">
        <v>39927384000</v>
      </c>
      <c r="G989">
        <v>25522546000</v>
      </c>
      <c r="H989">
        <v>17289939000</v>
      </c>
      <c r="I989">
        <v>7620946000</v>
      </c>
      <c r="P989">
        <v>10290</v>
      </c>
      <c r="Q989" t="s">
        <v>2230</v>
      </c>
    </row>
    <row r="990" spans="1:17" x14ac:dyDescent="0.3">
      <c r="A990" t="s">
        <v>17</v>
      </c>
      <c r="B990" t="str">
        <f>"601669"</f>
        <v>601669</v>
      </c>
      <c r="C990" t="s">
        <v>2231</v>
      </c>
      <c r="D990" t="s">
        <v>101</v>
      </c>
      <c r="F990">
        <v>16088296280</v>
      </c>
      <c r="G990">
        <v>15268922394</v>
      </c>
      <c r="H990">
        <v>11288495597</v>
      </c>
      <c r="I990">
        <v>9248696994</v>
      </c>
      <c r="P990">
        <v>752</v>
      </c>
      <c r="Q990" t="s">
        <v>2232</v>
      </c>
    </row>
    <row r="991" spans="1:17" x14ac:dyDescent="0.3">
      <c r="A991" t="s">
        <v>17</v>
      </c>
      <c r="B991" t="str">
        <f>"601677"</f>
        <v>601677</v>
      </c>
      <c r="C991" t="s">
        <v>2233</v>
      </c>
      <c r="D991" t="s">
        <v>504</v>
      </c>
      <c r="F991">
        <v>953482679</v>
      </c>
      <c r="G991">
        <v>517610262</v>
      </c>
      <c r="H991">
        <v>347093755</v>
      </c>
      <c r="I991">
        <v>140704118</v>
      </c>
      <c r="P991">
        <v>370</v>
      </c>
      <c r="Q991" t="s">
        <v>2234</v>
      </c>
    </row>
    <row r="992" spans="1:17" x14ac:dyDescent="0.3">
      <c r="A992" t="s">
        <v>17</v>
      </c>
      <c r="B992" t="str">
        <f>"601678"</f>
        <v>601678</v>
      </c>
      <c r="C992" t="s">
        <v>2235</v>
      </c>
      <c r="D992" t="s">
        <v>175</v>
      </c>
      <c r="F992">
        <v>28274580</v>
      </c>
      <c r="G992">
        <v>10875545</v>
      </c>
      <c r="H992">
        <v>21099907</v>
      </c>
      <c r="I992">
        <v>25693475</v>
      </c>
      <c r="P992">
        <v>353</v>
      </c>
      <c r="Q992" t="s">
        <v>2236</v>
      </c>
    </row>
    <row r="993" spans="1:17" x14ac:dyDescent="0.3">
      <c r="A993" t="s">
        <v>17</v>
      </c>
      <c r="B993" t="str">
        <f>"601686"</f>
        <v>601686</v>
      </c>
      <c r="C993" t="s">
        <v>2237</v>
      </c>
      <c r="D993" t="s">
        <v>2238</v>
      </c>
      <c r="F993">
        <v>24146421</v>
      </c>
      <c r="G993">
        <v>5914437</v>
      </c>
      <c r="H993">
        <v>9117915</v>
      </c>
      <c r="I993">
        <v>7864154</v>
      </c>
      <c r="J993">
        <v>12361523</v>
      </c>
      <c r="K993">
        <v>8783757</v>
      </c>
      <c r="P993">
        <v>57</v>
      </c>
      <c r="Q993" t="s">
        <v>2239</v>
      </c>
    </row>
    <row r="994" spans="1:17" x14ac:dyDescent="0.3">
      <c r="A994" t="s">
        <v>17</v>
      </c>
      <c r="B994" t="str">
        <f>"601688"</f>
        <v>601688</v>
      </c>
      <c r="C994" t="s">
        <v>2240</v>
      </c>
      <c r="D994" t="s">
        <v>80</v>
      </c>
      <c r="P994">
        <v>6874</v>
      </c>
      <c r="Q994" t="s">
        <v>2241</v>
      </c>
    </row>
    <row r="995" spans="1:17" x14ac:dyDescent="0.3">
      <c r="A995" t="s">
        <v>17</v>
      </c>
      <c r="B995" t="str">
        <f>"601689"</f>
        <v>601689</v>
      </c>
      <c r="C995" t="s">
        <v>2242</v>
      </c>
      <c r="D995" t="s">
        <v>348</v>
      </c>
      <c r="F995">
        <v>502493456</v>
      </c>
      <c r="G995">
        <v>354851748</v>
      </c>
      <c r="H995">
        <v>314307191</v>
      </c>
      <c r="I995">
        <v>287506882</v>
      </c>
      <c r="P995">
        <v>664</v>
      </c>
      <c r="Q995" t="s">
        <v>2243</v>
      </c>
    </row>
    <row r="996" spans="1:17" x14ac:dyDescent="0.3">
      <c r="A996" t="s">
        <v>17</v>
      </c>
      <c r="B996" t="str">
        <f>"601696"</f>
        <v>601696</v>
      </c>
      <c r="C996" t="s">
        <v>2244</v>
      </c>
      <c r="D996" t="s">
        <v>80</v>
      </c>
      <c r="P996">
        <v>516</v>
      </c>
      <c r="Q996" t="s">
        <v>2245</v>
      </c>
    </row>
    <row r="997" spans="1:17" x14ac:dyDescent="0.3">
      <c r="A997" t="s">
        <v>17</v>
      </c>
      <c r="B997" t="str">
        <f>"601698"</f>
        <v>601698</v>
      </c>
      <c r="C997" t="s">
        <v>2246</v>
      </c>
      <c r="D997" t="s">
        <v>284</v>
      </c>
      <c r="F997">
        <v>72196443</v>
      </c>
      <c r="G997">
        <v>87200106</v>
      </c>
      <c r="H997">
        <v>74532760</v>
      </c>
      <c r="I997">
        <v>53294447</v>
      </c>
      <c r="J997">
        <v>49361406</v>
      </c>
      <c r="K997">
        <v>35792982</v>
      </c>
      <c r="P997">
        <v>316</v>
      </c>
      <c r="Q997" t="s">
        <v>2247</v>
      </c>
    </row>
    <row r="998" spans="1:17" x14ac:dyDescent="0.3">
      <c r="A998" t="s">
        <v>17</v>
      </c>
      <c r="B998" t="str">
        <f>"601699"</f>
        <v>601699</v>
      </c>
      <c r="C998" t="s">
        <v>2248</v>
      </c>
      <c r="D998" t="s">
        <v>298</v>
      </c>
      <c r="F998">
        <v>1412323889</v>
      </c>
      <c r="G998">
        <v>619603047</v>
      </c>
      <c r="H998">
        <v>725875084</v>
      </c>
      <c r="I998">
        <v>771374360</v>
      </c>
      <c r="P998">
        <v>789</v>
      </c>
      <c r="Q998" t="s">
        <v>2249</v>
      </c>
    </row>
    <row r="999" spans="1:17" x14ac:dyDescent="0.3">
      <c r="A999" t="s">
        <v>17</v>
      </c>
      <c r="B999" t="str">
        <f>"601700"</f>
        <v>601700</v>
      </c>
      <c r="C999" t="s">
        <v>2250</v>
      </c>
      <c r="D999" t="s">
        <v>1164</v>
      </c>
      <c r="F999">
        <v>24430253</v>
      </c>
      <c r="G999">
        <v>15492240</v>
      </c>
      <c r="H999">
        <v>15157195</v>
      </c>
      <c r="I999">
        <v>23431662</v>
      </c>
      <c r="P999">
        <v>126</v>
      </c>
      <c r="Q999" t="s">
        <v>2251</v>
      </c>
    </row>
    <row r="1000" spans="1:17" x14ac:dyDescent="0.3">
      <c r="A1000" t="s">
        <v>17</v>
      </c>
      <c r="B1000" t="str">
        <f>"601702"</f>
        <v>601702</v>
      </c>
      <c r="C1000" t="s">
        <v>2252</v>
      </c>
      <c r="D1000" t="s">
        <v>504</v>
      </c>
      <c r="F1000">
        <v>286728212</v>
      </c>
      <c r="G1000">
        <v>200206386</v>
      </c>
      <c r="H1000">
        <v>153344392</v>
      </c>
      <c r="I1000">
        <v>113765329</v>
      </c>
      <c r="J1000">
        <v>132901518</v>
      </c>
      <c r="P1000">
        <v>116</v>
      </c>
      <c r="Q1000" t="s">
        <v>2253</v>
      </c>
    </row>
    <row r="1001" spans="1:17" x14ac:dyDescent="0.3">
      <c r="A1001" t="s">
        <v>17</v>
      </c>
      <c r="B1001" t="str">
        <f>"601717"</f>
        <v>601717</v>
      </c>
      <c r="C1001" t="s">
        <v>2254</v>
      </c>
      <c r="D1001" t="s">
        <v>395</v>
      </c>
      <c r="F1001">
        <v>1433432976</v>
      </c>
      <c r="G1001">
        <v>1203552223</v>
      </c>
      <c r="H1001">
        <v>993918818</v>
      </c>
      <c r="I1001">
        <v>1033444358</v>
      </c>
      <c r="P1001">
        <v>318</v>
      </c>
      <c r="Q1001" t="s">
        <v>2255</v>
      </c>
    </row>
    <row r="1002" spans="1:17" x14ac:dyDescent="0.3">
      <c r="A1002" t="s">
        <v>17</v>
      </c>
      <c r="B1002" t="str">
        <f>"601718"</f>
        <v>601718</v>
      </c>
      <c r="C1002" t="s">
        <v>2256</v>
      </c>
      <c r="D1002" t="s">
        <v>255</v>
      </c>
      <c r="F1002">
        <v>383810590</v>
      </c>
      <c r="G1002">
        <v>310049058</v>
      </c>
      <c r="H1002">
        <v>303579352</v>
      </c>
      <c r="I1002">
        <v>249534950</v>
      </c>
      <c r="P1002">
        <v>180</v>
      </c>
      <c r="Q1002" t="s">
        <v>2257</v>
      </c>
    </row>
    <row r="1003" spans="1:17" x14ac:dyDescent="0.3">
      <c r="A1003" t="s">
        <v>17</v>
      </c>
      <c r="B1003" t="str">
        <f>"601727"</f>
        <v>601727</v>
      </c>
      <c r="C1003" t="s">
        <v>2258</v>
      </c>
      <c r="D1003" t="s">
        <v>973</v>
      </c>
      <c r="F1003">
        <v>5405769000</v>
      </c>
      <c r="G1003">
        <v>4854084000</v>
      </c>
      <c r="H1003">
        <v>4088473000</v>
      </c>
      <c r="I1003">
        <v>3720428000</v>
      </c>
      <c r="P1003">
        <v>551</v>
      </c>
      <c r="Q1003" t="s">
        <v>2259</v>
      </c>
    </row>
    <row r="1004" spans="1:17" x14ac:dyDescent="0.3">
      <c r="A1004" t="s">
        <v>17</v>
      </c>
      <c r="B1004" t="str">
        <f>"601728"</f>
        <v>601728</v>
      </c>
      <c r="C1004" t="s">
        <v>2260</v>
      </c>
      <c r="D1004" t="s">
        <v>107</v>
      </c>
      <c r="F1004">
        <v>6933360246</v>
      </c>
      <c r="G1004">
        <v>4736000000</v>
      </c>
      <c r="H1004">
        <v>4196000000</v>
      </c>
      <c r="I1004">
        <v>2778000000</v>
      </c>
      <c r="P1004">
        <v>144</v>
      </c>
      <c r="Q1004" t="s">
        <v>2261</v>
      </c>
    </row>
    <row r="1005" spans="1:17" x14ac:dyDescent="0.3">
      <c r="A1005" t="s">
        <v>17</v>
      </c>
      <c r="B1005" t="str">
        <f>"601766"</f>
        <v>601766</v>
      </c>
      <c r="C1005" t="s">
        <v>2262</v>
      </c>
      <c r="D1005" t="s">
        <v>1012</v>
      </c>
      <c r="F1005">
        <v>13085219000</v>
      </c>
      <c r="G1005">
        <v>13349896000</v>
      </c>
      <c r="H1005">
        <v>12017162000</v>
      </c>
      <c r="I1005">
        <v>10896916000</v>
      </c>
      <c r="J1005">
        <v>0</v>
      </c>
      <c r="K1005">
        <v>0</v>
      </c>
      <c r="P1005">
        <v>1205</v>
      </c>
      <c r="Q1005" t="s">
        <v>2263</v>
      </c>
    </row>
    <row r="1006" spans="1:17" x14ac:dyDescent="0.3">
      <c r="A1006" t="s">
        <v>17</v>
      </c>
      <c r="B1006" t="str">
        <f>"601777"</f>
        <v>601777</v>
      </c>
      <c r="C1006" t="s">
        <v>2264</v>
      </c>
      <c r="D1006" t="s">
        <v>1656</v>
      </c>
      <c r="F1006">
        <v>120169880</v>
      </c>
      <c r="G1006">
        <v>253032073</v>
      </c>
      <c r="H1006">
        <v>398372639</v>
      </c>
      <c r="I1006">
        <v>188448510</v>
      </c>
      <c r="P1006">
        <v>154</v>
      </c>
      <c r="Q1006" t="s">
        <v>2265</v>
      </c>
    </row>
    <row r="1007" spans="1:17" x14ac:dyDescent="0.3">
      <c r="A1007" t="s">
        <v>17</v>
      </c>
      <c r="B1007" t="str">
        <f>"601778"</f>
        <v>601778</v>
      </c>
      <c r="C1007" t="s">
        <v>2266</v>
      </c>
      <c r="D1007" t="s">
        <v>86</v>
      </c>
      <c r="F1007">
        <v>6857748</v>
      </c>
      <c r="G1007">
        <v>5087221</v>
      </c>
      <c r="H1007">
        <v>7075083</v>
      </c>
      <c r="I1007">
        <v>4578003</v>
      </c>
      <c r="J1007">
        <v>4854477</v>
      </c>
      <c r="K1007">
        <v>4809949</v>
      </c>
      <c r="P1007">
        <v>221</v>
      </c>
      <c r="Q1007" t="s">
        <v>2267</v>
      </c>
    </row>
    <row r="1008" spans="1:17" x14ac:dyDescent="0.3">
      <c r="A1008" t="s">
        <v>17</v>
      </c>
      <c r="B1008" t="str">
        <f>"601788"</f>
        <v>601788</v>
      </c>
      <c r="C1008" t="s">
        <v>2268</v>
      </c>
      <c r="D1008" t="s">
        <v>80</v>
      </c>
      <c r="P1008">
        <v>1151</v>
      </c>
      <c r="Q1008" t="s">
        <v>2269</v>
      </c>
    </row>
    <row r="1009" spans="1:17" x14ac:dyDescent="0.3">
      <c r="A1009" t="s">
        <v>17</v>
      </c>
      <c r="B1009" t="str">
        <f>"601789"</f>
        <v>601789</v>
      </c>
      <c r="C1009" t="s">
        <v>2270</v>
      </c>
      <c r="D1009" t="s">
        <v>398</v>
      </c>
      <c r="F1009">
        <v>510025014</v>
      </c>
      <c r="G1009">
        <v>354433584</v>
      </c>
      <c r="H1009">
        <v>234918247</v>
      </c>
      <c r="I1009">
        <v>165833243</v>
      </c>
      <c r="P1009">
        <v>147</v>
      </c>
      <c r="Q1009" t="s">
        <v>2271</v>
      </c>
    </row>
    <row r="1010" spans="1:17" x14ac:dyDescent="0.3">
      <c r="A1010" t="s">
        <v>17</v>
      </c>
      <c r="B1010" t="str">
        <f>"601798"</f>
        <v>601798</v>
      </c>
      <c r="C1010" t="s">
        <v>2272</v>
      </c>
      <c r="D1010" t="s">
        <v>395</v>
      </c>
      <c r="F1010">
        <v>50042518</v>
      </c>
      <c r="G1010">
        <v>58309642</v>
      </c>
      <c r="H1010">
        <v>77027464</v>
      </c>
      <c r="I1010">
        <v>26815265</v>
      </c>
      <c r="P1010">
        <v>77</v>
      </c>
      <c r="Q1010" t="s">
        <v>2273</v>
      </c>
    </row>
    <row r="1011" spans="1:17" x14ac:dyDescent="0.3">
      <c r="A1011" t="s">
        <v>17</v>
      </c>
      <c r="B1011" t="str">
        <f>"601799"</f>
        <v>601799</v>
      </c>
      <c r="C1011" t="s">
        <v>2274</v>
      </c>
      <c r="D1011" t="s">
        <v>1415</v>
      </c>
      <c r="F1011">
        <v>387746431</v>
      </c>
      <c r="G1011">
        <v>308582969</v>
      </c>
      <c r="H1011">
        <v>230009872</v>
      </c>
      <c r="I1011">
        <v>180581771</v>
      </c>
      <c r="P1011">
        <v>1012</v>
      </c>
      <c r="Q1011" t="s">
        <v>2275</v>
      </c>
    </row>
    <row r="1012" spans="1:17" x14ac:dyDescent="0.3">
      <c r="A1012" t="s">
        <v>17</v>
      </c>
      <c r="B1012" t="str">
        <f>"601800"</f>
        <v>601800</v>
      </c>
      <c r="C1012" t="s">
        <v>2276</v>
      </c>
      <c r="D1012" t="s">
        <v>101</v>
      </c>
      <c r="F1012">
        <v>22587004201</v>
      </c>
      <c r="G1012">
        <v>20093620466</v>
      </c>
      <c r="H1012">
        <v>12591720355</v>
      </c>
      <c r="I1012">
        <v>10014307682</v>
      </c>
      <c r="P1012">
        <v>899</v>
      </c>
      <c r="Q1012" t="s">
        <v>2277</v>
      </c>
    </row>
    <row r="1013" spans="1:17" x14ac:dyDescent="0.3">
      <c r="A1013" t="s">
        <v>17</v>
      </c>
      <c r="B1013" t="str">
        <f>"601801"</f>
        <v>601801</v>
      </c>
      <c r="C1013" t="s">
        <v>2278</v>
      </c>
      <c r="D1013" t="s">
        <v>525</v>
      </c>
      <c r="F1013">
        <v>24090971</v>
      </c>
      <c r="G1013">
        <v>20216763</v>
      </c>
      <c r="H1013">
        <v>7845503</v>
      </c>
      <c r="I1013">
        <v>4575370</v>
      </c>
      <c r="P1013">
        <v>267</v>
      </c>
      <c r="Q1013" t="s">
        <v>2279</v>
      </c>
    </row>
    <row r="1014" spans="1:17" x14ac:dyDescent="0.3">
      <c r="A1014" t="s">
        <v>17</v>
      </c>
      <c r="B1014" t="str">
        <f>"601808"</f>
        <v>601808</v>
      </c>
      <c r="C1014" t="s">
        <v>2280</v>
      </c>
      <c r="D1014" t="s">
        <v>1762</v>
      </c>
      <c r="F1014">
        <v>960368086</v>
      </c>
      <c r="G1014">
        <v>769253295</v>
      </c>
      <c r="H1014">
        <v>932656023</v>
      </c>
      <c r="I1014">
        <v>742102607</v>
      </c>
      <c r="P1014">
        <v>411</v>
      </c>
      <c r="Q1014" t="s">
        <v>2281</v>
      </c>
    </row>
    <row r="1015" spans="1:17" x14ac:dyDescent="0.3">
      <c r="A1015" t="s">
        <v>17</v>
      </c>
      <c r="B1015" t="str">
        <f>"601811"</f>
        <v>601811</v>
      </c>
      <c r="C1015" t="s">
        <v>2282</v>
      </c>
      <c r="D1015" t="s">
        <v>1536</v>
      </c>
      <c r="F1015">
        <v>3793741</v>
      </c>
      <c r="G1015">
        <v>3038699</v>
      </c>
      <c r="H1015">
        <v>3255571</v>
      </c>
      <c r="I1015">
        <v>13592602</v>
      </c>
      <c r="P1015">
        <v>276</v>
      </c>
      <c r="Q1015" t="s">
        <v>2283</v>
      </c>
    </row>
    <row r="1016" spans="1:17" x14ac:dyDescent="0.3">
      <c r="A1016" t="s">
        <v>17</v>
      </c>
      <c r="B1016" t="str">
        <f>"601816"</f>
        <v>601816</v>
      </c>
      <c r="C1016" t="s">
        <v>2284</v>
      </c>
      <c r="D1016" t="s">
        <v>301</v>
      </c>
      <c r="F1016">
        <v>12353452</v>
      </c>
      <c r="G1016">
        <v>11872900</v>
      </c>
      <c r="H1016">
        <v>17672644</v>
      </c>
      <c r="I1016">
        <v>8381749</v>
      </c>
      <c r="J1016">
        <v>7151868</v>
      </c>
      <c r="K1016">
        <v>6774623</v>
      </c>
      <c r="P1016">
        <v>977</v>
      </c>
      <c r="Q1016" t="s">
        <v>2285</v>
      </c>
    </row>
    <row r="1017" spans="1:17" x14ac:dyDescent="0.3">
      <c r="A1017" t="s">
        <v>17</v>
      </c>
      <c r="B1017" t="str">
        <f>"601818"</f>
        <v>601818</v>
      </c>
      <c r="C1017" t="s">
        <v>2286</v>
      </c>
      <c r="D1017" t="s">
        <v>19</v>
      </c>
      <c r="P1017">
        <v>15856</v>
      </c>
      <c r="Q1017" t="s">
        <v>2287</v>
      </c>
    </row>
    <row r="1018" spans="1:17" x14ac:dyDescent="0.3">
      <c r="A1018" t="s">
        <v>17</v>
      </c>
      <c r="B1018" t="str">
        <f>"601825"</f>
        <v>601825</v>
      </c>
      <c r="C1018" t="s">
        <v>2288</v>
      </c>
      <c r="D1018" t="s">
        <v>1831</v>
      </c>
      <c r="P1018">
        <v>57</v>
      </c>
      <c r="Q1018" t="s">
        <v>2289</v>
      </c>
    </row>
    <row r="1019" spans="1:17" x14ac:dyDescent="0.3">
      <c r="A1019" t="s">
        <v>17</v>
      </c>
      <c r="B1019" t="str">
        <f>"601827"</f>
        <v>601827</v>
      </c>
      <c r="C1019" t="s">
        <v>2290</v>
      </c>
      <c r="D1019" t="s">
        <v>499</v>
      </c>
      <c r="F1019">
        <v>76178611</v>
      </c>
      <c r="G1019">
        <v>49399402</v>
      </c>
      <c r="H1019">
        <v>42348346</v>
      </c>
      <c r="I1019">
        <v>29438964</v>
      </c>
      <c r="J1019">
        <v>22410701</v>
      </c>
      <c r="P1019">
        <v>143</v>
      </c>
      <c r="Q1019" t="s">
        <v>2291</v>
      </c>
    </row>
    <row r="1020" spans="1:17" x14ac:dyDescent="0.3">
      <c r="A1020" t="s">
        <v>17</v>
      </c>
      <c r="B1020" t="str">
        <f>"601828"</f>
        <v>601828</v>
      </c>
      <c r="C1020" t="s">
        <v>2292</v>
      </c>
      <c r="D1020" t="s">
        <v>271</v>
      </c>
      <c r="F1020">
        <v>60662404</v>
      </c>
      <c r="G1020">
        <v>36035644</v>
      </c>
      <c r="H1020">
        <v>38206413</v>
      </c>
      <c r="I1020">
        <v>43165870</v>
      </c>
      <c r="P1020">
        <v>351</v>
      </c>
      <c r="Q1020" t="s">
        <v>2293</v>
      </c>
    </row>
    <row r="1021" spans="1:17" x14ac:dyDescent="0.3">
      <c r="A1021" t="s">
        <v>17</v>
      </c>
      <c r="B1021" t="str">
        <f>"601838"</f>
        <v>601838</v>
      </c>
      <c r="C1021" t="s">
        <v>2294</v>
      </c>
      <c r="D1021" t="s">
        <v>1842</v>
      </c>
      <c r="P1021">
        <v>1326</v>
      </c>
      <c r="Q1021" t="s">
        <v>2295</v>
      </c>
    </row>
    <row r="1022" spans="1:17" x14ac:dyDescent="0.3">
      <c r="A1022" t="s">
        <v>17</v>
      </c>
      <c r="B1022" t="str">
        <f>"601857"</f>
        <v>601857</v>
      </c>
      <c r="C1022" t="s">
        <v>2296</v>
      </c>
      <c r="D1022" t="s">
        <v>74</v>
      </c>
      <c r="F1022">
        <v>16729000000</v>
      </c>
      <c r="G1022">
        <v>15746000000</v>
      </c>
      <c r="H1022">
        <v>15666000000</v>
      </c>
      <c r="I1022">
        <v>12826000000</v>
      </c>
      <c r="P1022">
        <v>1280</v>
      </c>
      <c r="Q1022" t="s">
        <v>2297</v>
      </c>
    </row>
    <row r="1023" spans="1:17" x14ac:dyDescent="0.3">
      <c r="A1023" t="s">
        <v>17</v>
      </c>
      <c r="B1023" t="str">
        <f>"601858"</f>
        <v>601858</v>
      </c>
      <c r="C1023" t="s">
        <v>2298</v>
      </c>
      <c r="D1023" t="s">
        <v>525</v>
      </c>
      <c r="F1023">
        <v>5568663</v>
      </c>
      <c r="G1023">
        <v>4459175</v>
      </c>
      <c r="H1023">
        <v>4672599</v>
      </c>
      <c r="I1023">
        <v>371059</v>
      </c>
      <c r="P1023">
        <v>178</v>
      </c>
      <c r="Q1023" t="s">
        <v>2299</v>
      </c>
    </row>
    <row r="1024" spans="1:17" x14ac:dyDescent="0.3">
      <c r="A1024" t="s">
        <v>17</v>
      </c>
      <c r="B1024" t="str">
        <f>"601860"</f>
        <v>601860</v>
      </c>
      <c r="C1024" t="s">
        <v>2300</v>
      </c>
      <c r="D1024" t="s">
        <v>1831</v>
      </c>
      <c r="P1024">
        <v>332</v>
      </c>
      <c r="Q1024" t="s">
        <v>2301</v>
      </c>
    </row>
    <row r="1025" spans="1:17" x14ac:dyDescent="0.3">
      <c r="A1025" t="s">
        <v>17</v>
      </c>
      <c r="B1025" t="str">
        <f>"601865"</f>
        <v>601865</v>
      </c>
      <c r="C1025" t="s">
        <v>2302</v>
      </c>
      <c r="D1025" t="s">
        <v>478</v>
      </c>
      <c r="F1025">
        <v>408417461</v>
      </c>
      <c r="G1025">
        <v>284717813</v>
      </c>
      <c r="H1025">
        <v>204151559</v>
      </c>
      <c r="I1025">
        <v>113246197</v>
      </c>
      <c r="J1025">
        <v>96131544</v>
      </c>
      <c r="K1025">
        <v>103201559</v>
      </c>
      <c r="L1025">
        <v>102519947</v>
      </c>
      <c r="P1025">
        <v>925</v>
      </c>
      <c r="Q1025" t="s">
        <v>2303</v>
      </c>
    </row>
    <row r="1026" spans="1:17" x14ac:dyDescent="0.3">
      <c r="A1026" t="s">
        <v>17</v>
      </c>
      <c r="B1026" t="str">
        <f>"601866"</f>
        <v>601866</v>
      </c>
      <c r="C1026" t="s">
        <v>2304</v>
      </c>
      <c r="D1026" t="s">
        <v>69</v>
      </c>
      <c r="F1026">
        <v>74340799</v>
      </c>
      <c r="G1026">
        <v>7281224</v>
      </c>
      <c r="H1026">
        <v>9490211</v>
      </c>
      <c r="I1026">
        <v>3989936</v>
      </c>
      <c r="P1026">
        <v>336</v>
      </c>
      <c r="Q1026" t="s">
        <v>2305</v>
      </c>
    </row>
    <row r="1027" spans="1:17" x14ac:dyDescent="0.3">
      <c r="A1027" t="s">
        <v>17</v>
      </c>
      <c r="B1027" t="str">
        <f>"601868"</f>
        <v>601868</v>
      </c>
      <c r="C1027" t="s">
        <v>2306</v>
      </c>
      <c r="D1027" t="s">
        <v>101</v>
      </c>
      <c r="F1027">
        <v>8789472000</v>
      </c>
      <c r="P1027">
        <v>152</v>
      </c>
      <c r="Q1027" t="s">
        <v>2307</v>
      </c>
    </row>
    <row r="1028" spans="1:17" x14ac:dyDescent="0.3">
      <c r="A1028" t="s">
        <v>17</v>
      </c>
      <c r="B1028" t="str">
        <f>"601869"</f>
        <v>601869</v>
      </c>
      <c r="C1028" t="s">
        <v>2308</v>
      </c>
      <c r="D1028" t="s">
        <v>250</v>
      </c>
      <c r="F1028">
        <v>473161843</v>
      </c>
      <c r="G1028">
        <v>414571192</v>
      </c>
      <c r="H1028">
        <v>413538214</v>
      </c>
      <c r="I1028">
        <v>516757100</v>
      </c>
      <c r="J1028">
        <v>402799706</v>
      </c>
      <c r="P1028">
        <v>403</v>
      </c>
      <c r="Q1028" t="s">
        <v>2309</v>
      </c>
    </row>
    <row r="1029" spans="1:17" x14ac:dyDescent="0.3">
      <c r="A1029" t="s">
        <v>17</v>
      </c>
      <c r="B1029" t="str">
        <f>"601872"</f>
        <v>601872</v>
      </c>
      <c r="C1029" t="s">
        <v>2310</v>
      </c>
      <c r="D1029" t="s">
        <v>69</v>
      </c>
      <c r="F1029">
        <v>177257</v>
      </c>
      <c r="G1029">
        <v>1712109</v>
      </c>
      <c r="H1029">
        <v>23557939</v>
      </c>
      <c r="I1029">
        <v>1395258</v>
      </c>
      <c r="P1029">
        <v>572</v>
      </c>
      <c r="Q1029" t="s">
        <v>2311</v>
      </c>
    </row>
    <row r="1030" spans="1:17" x14ac:dyDescent="0.3">
      <c r="A1030" t="s">
        <v>17</v>
      </c>
      <c r="B1030" t="str">
        <f>"601877"</f>
        <v>601877</v>
      </c>
      <c r="C1030" t="s">
        <v>2312</v>
      </c>
      <c r="D1030" t="s">
        <v>657</v>
      </c>
      <c r="F1030">
        <v>1125087470</v>
      </c>
      <c r="G1030">
        <v>1029205905</v>
      </c>
      <c r="H1030">
        <v>979576672</v>
      </c>
      <c r="I1030">
        <v>946370876</v>
      </c>
      <c r="P1030">
        <v>34820</v>
      </c>
      <c r="Q1030" t="s">
        <v>2313</v>
      </c>
    </row>
    <row r="1031" spans="1:17" x14ac:dyDescent="0.3">
      <c r="A1031" t="s">
        <v>17</v>
      </c>
      <c r="B1031" t="str">
        <f>"601878"</f>
        <v>601878</v>
      </c>
      <c r="C1031" t="s">
        <v>2314</v>
      </c>
      <c r="D1031" t="s">
        <v>80</v>
      </c>
      <c r="P1031">
        <v>842</v>
      </c>
      <c r="Q1031" t="s">
        <v>2315</v>
      </c>
    </row>
    <row r="1032" spans="1:17" x14ac:dyDescent="0.3">
      <c r="A1032" t="s">
        <v>17</v>
      </c>
      <c r="B1032" t="str">
        <f>"601880"</f>
        <v>601880</v>
      </c>
      <c r="C1032" t="s">
        <v>2316</v>
      </c>
      <c r="D1032" t="s">
        <v>51</v>
      </c>
      <c r="F1032">
        <v>9306647</v>
      </c>
      <c r="G1032">
        <v>18437450</v>
      </c>
      <c r="H1032">
        <v>14842826</v>
      </c>
      <c r="I1032">
        <v>11724227</v>
      </c>
      <c r="P1032">
        <v>189</v>
      </c>
      <c r="Q1032" t="s">
        <v>2317</v>
      </c>
    </row>
    <row r="1033" spans="1:17" x14ac:dyDescent="0.3">
      <c r="A1033" t="s">
        <v>17</v>
      </c>
      <c r="B1033" t="str">
        <f>"601881"</f>
        <v>601881</v>
      </c>
      <c r="C1033" t="s">
        <v>2318</v>
      </c>
      <c r="D1033" t="s">
        <v>80</v>
      </c>
      <c r="P1033">
        <v>1598</v>
      </c>
      <c r="Q1033" t="s">
        <v>2319</v>
      </c>
    </row>
    <row r="1034" spans="1:17" x14ac:dyDescent="0.3">
      <c r="A1034" t="s">
        <v>17</v>
      </c>
      <c r="B1034" t="str">
        <f>"601882"</f>
        <v>601882</v>
      </c>
      <c r="C1034" t="s">
        <v>2320</v>
      </c>
      <c r="D1034" t="s">
        <v>2321</v>
      </c>
      <c r="F1034">
        <v>113385697</v>
      </c>
      <c r="G1034">
        <v>70165431</v>
      </c>
      <c r="H1034">
        <v>61342622</v>
      </c>
      <c r="I1034">
        <v>55829076</v>
      </c>
      <c r="P1034">
        <v>188</v>
      </c>
      <c r="Q1034" t="s">
        <v>2322</v>
      </c>
    </row>
    <row r="1035" spans="1:17" x14ac:dyDescent="0.3">
      <c r="A1035" t="s">
        <v>17</v>
      </c>
      <c r="B1035" t="str">
        <f>"601886"</f>
        <v>601886</v>
      </c>
      <c r="C1035" t="s">
        <v>2323</v>
      </c>
      <c r="D1035" t="s">
        <v>450</v>
      </c>
      <c r="F1035">
        <v>606621727</v>
      </c>
      <c r="G1035">
        <v>505342393</v>
      </c>
      <c r="H1035">
        <v>471307115</v>
      </c>
      <c r="I1035">
        <v>438074678</v>
      </c>
      <c r="P1035">
        <v>177</v>
      </c>
      <c r="Q1035" t="s">
        <v>2324</v>
      </c>
    </row>
    <row r="1036" spans="1:17" x14ac:dyDescent="0.3">
      <c r="A1036" t="s">
        <v>17</v>
      </c>
      <c r="B1036" t="str">
        <f>"601888"</f>
        <v>601888</v>
      </c>
      <c r="C1036" t="s">
        <v>2325</v>
      </c>
      <c r="D1036" t="s">
        <v>2326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P1036">
        <v>6131</v>
      </c>
      <c r="Q1036" t="s">
        <v>2327</v>
      </c>
    </row>
    <row r="1037" spans="1:17" x14ac:dyDescent="0.3">
      <c r="A1037" t="s">
        <v>17</v>
      </c>
      <c r="B1037" t="str">
        <f>"601890"</f>
        <v>601890</v>
      </c>
      <c r="C1037" t="s">
        <v>2328</v>
      </c>
      <c r="D1037" t="s">
        <v>167</v>
      </c>
      <c r="F1037">
        <v>65767391</v>
      </c>
      <c r="G1037">
        <v>52459369</v>
      </c>
      <c r="H1037">
        <v>58312713</v>
      </c>
      <c r="I1037">
        <v>47024663</v>
      </c>
      <c r="P1037">
        <v>144</v>
      </c>
      <c r="Q1037" t="s">
        <v>2329</v>
      </c>
    </row>
    <row r="1038" spans="1:17" x14ac:dyDescent="0.3">
      <c r="A1038" t="s">
        <v>17</v>
      </c>
      <c r="B1038" t="str">
        <f>"601898"</f>
        <v>601898</v>
      </c>
      <c r="C1038" t="s">
        <v>2330</v>
      </c>
      <c r="D1038" t="s">
        <v>292</v>
      </c>
      <c r="F1038">
        <v>665662000</v>
      </c>
      <c r="G1038">
        <v>523328000</v>
      </c>
      <c r="H1038">
        <v>289471000</v>
      </c>
      <c r="I1038">
        <v>216615000</v>
      </c>
      <c r="P1038">
        <v>446</v>
      </c>
      <c r="Q1038" t="s">
        <v>2331</v>
      </c>
    </row>
    <row r="1039" spans="1:17" x14ac:dyDescent="0.3">
      <c r="A1039" t="s">
        <v>17</v>
      </c>
      <c r="B1039" t="str">
        <f>"601899"</f>
        <v>601899</v>
      </c>
      <c r="C1039" t="s">
        <v>2332</v>
      </c>
      <c r="D1039" t="s">
        <v>263</v>
      </c>
      <c r="F1039">
        <v>770661326</v>
      </c>
      <c r="G1039">
        <v>582514953</v>
      </c>
      <c r="H1039">
        <v>476341941</v>
      </c>
      <c r="I1039">
        <v>274380222</v>
      </c>
      <c r="P1039">
        <v>2402</v>
      </c>
      <c r="Q1039" t="s">
        <v>2333</v>
      </c>
    </row>
    <row r="1040" spans="1:17" x14ac:dyDescent="0.3">
      <c r="A1040" t="s">
        <v>17</v>
      </c>
      <c r="B1040" t="str">
        <f>"601900"</f>
        <v>601900</v>
      </c>
      <c r="C1040" t="s">
        <v>2334</v>
      </c>
      <c r="D1040" t="s">
        <v>1536</v>
      </c>
      <c r="F1040">
        <v>7870905</v>
      </c>
      <c r="G1040">
        <v>0</v>
      </c>
      <c r="H1040">
        <v>300000</v>
      </c>
      <c r="P1040">
        <v>244</v>
      </c>
      <c r="Q1040" t="s">
        <v>2335</v>
      </c>
    </row>
    <row r="1041" spans="1:17" x14ac:dyDescent="0.3">
      <c r="A1041" t="s">
        <v>17</v>
      </c>
      <c r="B1041" t="str">
        <f>"601901"</f>
        <v>601901</v>
      </c>
      <c r="C1041" t="s">
        <v>2336</v>
      </c>
      <c r="D1041" t="s">
        <v>80</v>
      </c>
      <c r="P1041">
        <v>933</v>
      </c>
      <c r="Q1041" t="s">
        <v>2337</v>
      </c>
    </row>
    <row r="1042" spans="1:17" x14ac:dyDescent="0.3">
      <c r="A1042" t="s">
        <v>17</v>
      </c>
      <c r="B1042" t="str">
        <f>"601908"</f>
        <v>601908</v>
      </c>
      <c r="C1042" t="s">
        <v>2338</v>
      </c>
      <c r="D1042" t="s">
        <v>86</v>
      </c>
      <c r="F1042">
        <v>222036402</v>
      </c>
      <c r="G1042">
        <v>154949088</v>
      </c>
      <c r="H1042">
        <v>71046035</v>
      </c>
      <c r="I1042">
        <v>41321987</v>
      </c>
      <c r="P1042">
        <v>318</v>
      </c>
      <c r="Q1042" t="s">
        <v>2339</v>
      </c>
    </row>
    <row r="1043" spans="1:17" x14ac:dyDescent="0.3">
      <c r="A1043" t="s">
        <v>17</v>
      </c>
      <c r="B1043" t="str">
        <f>"601916"</f>
        <v>601916</v>
      </c>
      <c r="C1043" t="s">
        <v>2340</v>
      </c>
      <c r="D1043" t="s">
        <v>19</v>
      </c>
      <c r="P1043">
        <v>537</v>
      </c>
      <c r="Q1043" t="s">
        <v>2341</v>
      </c>
    </row>
    <row r="1044" spans="1:17" x14ac:dyDescent="0.3">
      <c r="A1044" t="s">
        <v>17</v>
      </c>
      <c r="B1044" t="str">
        <f>"601918"</f>
        <v>601918</v>
      </c>
      <c r="C1044" t="s">
        <v>2342</v>
      </c>
      <c r="D1044" t="s">
        <v>292</v>
      </c>
      <c r="F1044">
        <v>0</v>
      </c>
      <c r="G1044">
        <v>0</v>
      </c>
      <c r="P1044">
        <v>237</v>
      </c>
      <c r="Q1044" t="s">
        <v>2343</v>
      </c>
    </row>
    <row r="1045" spans="1:17" x14ac:dyDescent="0.3">
      <c r="A1045" t="s">
        <v>17</v>
      </c>
      <c r="B1045" t="str">
        <f>"601919"</f>
        <v>601919</v>
      </c>
      <c r="C1045" t="s">
        <v>2344</v>
      </c>
      <c r="D1045" t="s">
        <v>69</v>
      </c>
      <c r="F1045">
        <v>881225769</v>
      </c>
      <c r="G1045">
        <v>260382020</v>
      </c>
      <c r="H1045">
        <v>277414776</v>
      </c>
      <c r="I1045">
        <v>19694323</v>
      </c>
      <c r="P1045">
        <v>1358</v>
      </c>
      <c r="Q1045" t="s">
        <v>2345</v>
      </c>
    </row>
    <row r="1046" spans="1:17" x14ac:dyDescent="0.3">
      <c r="A1046" t="s">
        <v>17</v>
      </c>
      <c r="B1046" t="str">
        <f>"601921"</f>
        <v>601921</v>
      </c>
      <c r="C1046" t="s">
        <v>2346</v>
      </c>
      <c r="D1046" t="s">
        <v>1536</v>
      </c>
      <c r="F1046">
        <v>10414088</v>
      </c>
      <c r="G1046">
        <v>14216696</v>
      </c>
      <c r="H1046">
        <v>11882118</v>
      </c>
      <c r="I1046">
        <v>27967551</v>
      </c>
      <c r="J1046">
        <v>25293900</v>
      </c>
      <c r="P1046">
        <v>28</v>
      </c>
      <c r="Q1046" t="s">
        <v>2347</v>
      </c>
    </row>
    <row r="1047" spans="1:17" x14ac:dyDescent="0.3">
      <c r="A1047" t="s">
        <v>17</v>
      </c>
      <c r="B1047" t="str">
        <f>"601928"</f>
        <v>601928</v>
      </c>
      <c r="C1047" t="s">
        <v>2348</v>
      </c>
      <c r="D1047" t="s">
        <v>1536</v>
      </c>
      <c r="F1047">
        <v>34019612</v>
      </c>
      <c r="G1047">
        <v>47051429</v>
      </c>
      <c r="H1047">
        <v>32317748</v>
      </c>
      <c r="I1047">
        <v>36506375</v>
      </c>
      <c r="P1047">
        <v>553</v>
      </c>
      <c r="Q1047" t="s">
        <v>2349</v>
      </c>
    </row>
    <row r="1048" spans="1:17" x14ac:dyDescent="0.3">
      <c r="A1048" t="s">
        <v>17</v>
      </c>
      <c r="B1048" t="str">
        <f>"601929"</f>
        <v>601929</v>
      </c>
      <c r="C1048" t="s">
        <v>2350</v>
      </c>
      <c r="D1048" t="s">
        <v>95</v>
      </c>
      <c r="F1048">
        <v>62075605</v>
      </c>
      <c r="G1048">
        <v>64998668</v>
      </c>
      <c r="H1048">
        <v>58771456</v>
      </c>
      <c r="I1048">
        <v>101149149</v>
      </c>
      <c r="P1048">
        <v>159</v>
      </c>
      <c r="Q1048" t="s">
        <v>2351</v>
      </c>
    </row>
    <row r="1049" spans="1:17" x14ac:dyDescent="0.3">
      <c r="A1049" t="s">
        <v>17</v>
      </c>
      <c r="B1049" t="str">
        <f>"601933"</f>
        <v>601933</v>
      </c>
      <c r="C1049" t="s">
        <v>2352</v>
      </c>
      <c r="D1049" t="s">
        <v>798</v>
      </c>
      <c r="F1049">
        <v>428107468</v>
      </c>
      <c r="G1049">
        <v>0</v>
      </c>
      <c r="P1049">
        <v>2444</v>
      </c>
      <c r="Q1049" t="s">
        <v>2353</v>
      </c>
    </row>
    <row r="1050" spans="1:17" x14ac:dyDescent="0.3">
      <c r="A1050" t="s">
        <v>17</v>
      </c>
      <c r="B1050" t="str">
        <f>"601939"</f>
        <v>601939</v>
      </c>
      <c r="C1050" t="s">
        <v>2354</v>
      </c>
      <c r="D1050" t="s">
        <v>2112</v>
      </c>
      <c r="P1050">
        <v>19332</v>
      </c>
      <c r="Q1050" t="s">
        <v>2355</v>
      </c>
    </row>
    <row r="1051" spans="1:17" x14ac:dyDescent="0.3">
      <c r="A1051" t="s">
        <v>17</v>
      </c>
      <c r="B1051" t="str">
        <f>"601949"</f>
        <v>601949</v>
      </c>
      <c r="C1051" t="s">
        <v>2356</v>
      </c>
      <c r="D1051" t="s">
        <v>525</v>
      </c>
      <c r="F1051">
        <v>54442532</v>
      </c>
      <c r="G1051">
        <v>49237403</v>
      </c>
      <c r="H1051">
        <v>46006663</v>
      </c>
      <c r="I1051">
        <v>33890742</v>
      </c>
      <c r="P1051">
        <v>160</v>
      </c>
      <c r="Q1051" t="s">
        <v>2357</v>
      </c>
    </row>
    <row r="1052" spans="1:17" x14ac:dyDescent="0.3">
      <c r="A1052" t="s">
        <v>17</v>
      </c>
      <c r="B1052" t="str">
        <f>"601952"</f>
        <v>601952</v>
      </c>
      <c r="C1052" t="s">
        <v>2358</v>
      </c>
      <c r="D1052" t="s">
        <v>1210</v>
      </c>
      <c r="F1052">
        <v>65286617</v>
      </c>
      <c r="G1052">
        <v>48027882</v>
      </c>
      <c r="H1052">
        <v>36193849</v>
      </c>
      <c r="I1052">
        <v>34016209</v>
      </c>
      <c r="P1052">
        <v>313</v>
      </c>
      <c r="Q1052" t="s">
        <v>2359</v>
      </c>
    </row>
    <row r="1053" spans="1:17" x14ac:dyDescent="0.3">
      <c r="A1053" t="s">
        <v>17</v>
      </c>
      <c r="B1053" t="str">
        <f>"601956"</f>
        <v>601956</v>
      </c>
      <c r="C1053" t="s">
        <v>2360</v>
      </c>
      <c r="D1053" t="s">
        <v>1253</v>
      </c>
      <c r="F1053">
        <v>276387234</v>
      </c>
      <c r="G1053">
        <v>289239837</v>
      </c>
      <c r="H1053">
        <v>265252901</v>
      </c>
      <c r="P1053">
        <v>23</v>
      </c>
      <c r="Q1053" t="s">
        <v>2361</v>
      </c>
    </row>
    <row r="1054" spans="1:17" x14ac:dyDescent="0.3">
      <c r="A1054" t="s">
        <v>17</v>
      </c>
      <c r="B1054" t="str">
        <f>"601958"</f>
        <v>601958</v>
      </c>
      <c r="C1054" t="s">
        <v>2362</v>
      </c>
      <c r="D1054" t="s">
        <v>2363</v>
      </c>
      <c r="F1054">
        <v>193182805</v>
      </c>
      <c r="G1054">
        <v>176405588</v>
      </c>
      <c r="H1054">
        <v>204843142</v>
      </c>
      <c r="I1054">
        <v>166056317</v>
      </c>
      <c r="P1054">
        <v>244</v>
      </c>
      <c r="Q1054" t="s">
        <v>2364</v>
      </c>
    </row>
    <row r="1055" spans="1:17" x14ac:dyDescent="0.3">
      <c r="A1055" t="s">
        <v>17</v>
      </c>
      <c r="B1055" t="str">
        <f>"601963"</f>
        <v>601963</v>
      </c>
      <c r="C1055" t="s">
        <v>2365</v>
      </c>
      <c r="D1055" t="s">
        <v>1842</v>
      </c>
      <c r="P1055">
        <v>149</v>
      </c>
      <c r="Q1055" t="s">
        <v>2366</v>
      </c>
    </row>
    <row r="1056" spans="1:17" x14ac:dyDescent="0.3">
      <c r="A1056" t="s">
        <v>17</v>
      </c>
      <c r="B1056" t="str">
        <f>"601965"</f>
        <v>601965</v>
      </c>
      <c r="C1056" t="s">
        <v>2367</v>
      </c>
      <c r="D1056" t="s">
        <v>2368</v>
      </c>
      <c r="F1056">
        <v>186229202</v>
      </c>
      <c r="G1056">
        <v>165445273</v>
      </c>
      <c r="H1056">
        <v>99404794</v>
      </c>
      <c r="I1056">
        <v>78677273</v>
      </c>
      <c r="P1056">
        <v>307</v>
      </c>
      <c r="Q1056" t="s">
        <v>2369</v>
      </c>
    </row>
    <row r="1057" spans="1:17" x14ac:dyDescent="0.3">
      <c r="A1057" t="s">
        <v>17</v>
      </c>
      <c r="B1057" t="str">
        <f>"601966"</f>
        <v>601966</v>
      </c>
      <c r="C1057" t="s">
        <v>2370</v>
      </c>
      <c r="D1057" t="s">
        <v>422</v>
      </c>
      <c r="F1057">
        <v>934094671</v>
      </c>
      <c r="G1057">
        <v>763398433</v>
      </c>
      <c r="H1057">
        <v>729921426</v>
      </c>
      <c r="I1057">
        <v>550014495</v>
      </c>
      <c r="P1057">
        <v>927</v>
      </c>
      <c r="Q1057" t="s">
        <v>2371</v>
      </c>
    </row>
    <row r="1058" spans="1:17" x14ac:dyDescent="0.3">
      <c r="A1058" t="s">
        <v>17</v>
      </c>
      <c r="B1058" t="str">
        <f>"601968"</f>
        <v>601968</v>
      </c>
      <c r="C1058" t="s">
        <v>2372</v>
      </c>
      <c r="D1058" t="s">
        <v>2373</v>
      </c>
      <c r="F1058">
        <v>50756588</v>
      </c>
      <c r="G1058">
        <v>72075662</v>
      </c>
      <c r="H1058">
        <v>104766159</v>
      </c>
      <c r="I1058">
        <v>36066815</v>
      </c>
      <c r="P1058">
        <v>108</v>
      </c>
      <c r="Q1058" t="s">
        <v>2374</v>
      </c>
    </row>
    <row r="1059" spans="1:17" x14ac:dyDescent="0.3">
      <c r="A1059" t="s">
        <v>17</v>
      </c>
      <c r="B1059" t="str">
        <f>"601969"</f>
        <v>601969</v>
      </c>
      <c r="C1059" t="s">
        <v>2375</v>
      </c>
      <c r="D1059" t="s">
        <v>2376</v>
      </c>
      <c r="F1059">
        <v>67768700</v>
      </c>
      <c r="G1059">
        <v>42327460</v>
      </c>
      <c r="H1059">
        <v>2717370</v>
      </c>
      <c r="I1059">
        <v>4935139</v>
      </c>
      <c r="P1059">
        <v>154</v>
      </c>
      <c r="Q1059" t="s">
        <v>2377</v>
      </c>
    </row>
    <row r="1060" spans="1:17" x14ac:dyDescent="0.3">
      <c r="A1060" t="s">
        <v>17</v>
      </c>
      <c r="B1060" t="str">
        <f>"601975"</f>
        <v>601975</v>
      </c>
      <c r="C1060" t="s">
        <v>2378</v>
      </c>
      <c r="D1060" t="s">
        <v>69</v>
      </c>
      <c r="F1060">
        <v>0</v>
      </c>
      <c r="G1060">
        <v>0</v>
      </c>
      <c r="I1060">
        <v>441734</v>
      </c>
      <c r="J1060">
        <v>1203875</v>
      </c>
      <c r="P1060">
        <v>270</v>
      </c>
      <c r="Q1060" t="s">
        <v>2379</v>
      </c>
    </row>
    <row r="1061" spans="1:17" x14ac:dyDescent="0.3">
      <c r="A1061" t="s">
        <v>17</v>
      </c>
      <c r="B1061" t="str">
        <f>"601985"</f>
        <v>601985</v>
      </c>
      <c r="C1061" t="s">
        <v>2380</v>
      </c>
      <c r="D1061" t="s">
        <v>2381</v>
      </c>
      <c r="F1061">
        <v>1337035486</v>
      </c>
      <c r="G1061">
        <v>1026122975</v>
      </c>
      <c r="H1061">
        <v>569657537</v>
      </c>
      <c r="I1061">
        <v>461202755</v>
      </c>
      <c r="P1061">
        <v>998</v>
      </c>
      <c r="Q1061" t="s">
        <v>2382</v>
      </c>
    </row>
    <row r="1062" spans="1:17" x14ac:dyDescent="0.3">
      <c r="A1062" t="s">
        <v>17</v>
      </c>
      <c r="B1062" t="str">
        <f>"601988"</f>
        <v>601988</v>
      </c>
      <c r="C1062" t="s">
        <v>2383</v>
      </c>
      <c r="D1062" t="s">
        <v>2112</v>
      </c>
      <c r="P1062">
        <v>4259</v>
      </c>
      <c r="Q1062" t="s">
        <v>2384</v>
      </c>
    </row>
    <row r="1063" spans="1:17" x14ac:dyDescent="0.3">
      <c r="A1063" t="s">
        <v>17</v>
      </c>
      <c r="B1063" t="str">
        <f>"601989"</f>
        <v>601989</v>
      </c>
      <c r="C1063" t="s">
        <v>2385</v>
      </c>
      <c r="D1063" t="s">
        <v>167</v>
      </c>
      <c r="F1063">
        <v>1139507791</v>
      </c>
      <c r="G1063">
        <v>948102206</v>
      </c>
      <c r="H1063">
        <v>853267125</v>
      </c>
      <c r="I1063">
        <v>794819809</v>
      </c>
      <c r="P1063">
        <v>669</v>
      </c>
      <c r="Q1063" t="s">
        <v>2386</v>
      </c>
    </row>
    <row r="1064" spans="1:17" x14ac:dyDescent="0.3">
      <c r="A1064" t="s">
        <v>17</v>
      </c>
      <c r="B1064" t="str">
        <f>"601990"</f>
        <v>601990</v>
      </c>
      <c r="C1064" t="s">
        <v>2387</v>
      </c>
      <c r="D1064" t="s">
        <v>80</v>
      </c>
      <c r="P1064">
        <v>722</v>
      </c>
      <c r="Q1064" t="s">
        <v>2388</v>
      </c>
    </row>
    <row r="1065" spans="1:17" x14ac:dyDescent="0.3">
      <c r="A1065" t="s">
        <v>17</v>
      </c>
      <c r="B1065" t="str">
        <f>"601991"</f>
        <v>601991</v>
      </c>
      <c r="C1065" t="s">
        <v>2389</v>
      </c>
      <c r="D1065" t="s">
        <v>41</v>
      </c>
      <c r="F1065">
        <v>32220000</v>
      </c>
      <c r="G1065">
        <v>10263000</v>
      </c>
      <c r="H1065">
        <v>29646000</v>
      </c>
      <c r="I1065">
        <v>13221000</v>
      </c>
      <c r="P1065">
        <v>283</v>
      </c>
      <c r="Q1065" t="s">
        <v>2390</v>
      </c>
    </row>
    <row r="1066" spans="1:17" x14ac:dyDescent="0.3">
      <c r="A1066" t="s">
        <v>17</v>
      </c>
      <c r="B1066" t="str">
        <f>"601992"</f>
        <v>601992</v>
      </c>
      <c r="C1066" t="s">
        <v>2391</v>
      </c>
      <c r="D1066" t="s">
        <v>731</v>
      </c>
      <c r="F1066">
        <v>346732716</v>
      </c>
      <c r="G1066">
        <v>269152810</v>
      </c>
      <c r="H1066">
        <v>232888823</v>
      </c>
      <c r="I1066">
        <v>154340576</v>
      </c>
      <c r="P1066">
        <v>368</v>
      </c>
      <c r="Q1066" t="s">
        <v>2392</v>
      </c>
    </row>
    <row r="1067" spans="1:17" x14ac:dyDescent="0.3">
      <c r="A1067" t="s">
        <v>17</v>
      </c>
      <c r="B1067" t="str">
        <f>"601995"</f>
        <v>601995</v>
      </c>
      <c r="C1067" t="s">
        <v>2393</v>
      </c>
      <c r="D1067" t="s">
        <v>80</v>
      </c>
      <c r="P1067">
        <v>986</v>
      </c>
      <c r="Q1067" t="s">
        <v>2394</v>
      </c>
    </row>
    <row r="1068" spans="1:17" x14ac:dyDescent="0.3">
      <c r="A1068" t="s">
        <v>17</v>
      </c>
      <c r="B1068" t="str">
        <f>"601996"</f>
        <v>601996</v>
      </c>
      <c r="C1068" t="s">
        <v>2395</v>
      </c>
      <c r="D1068" t="s">
        <v>178</v>
      </c>
      <c r="F1068">
        <v>26760582</v>
      </c>
      <c r="G1068">
        <v>24358823</v>
      </c>
      <c r="H1068">
        <v>19597970</v>
      </c>
      <c r="I1068">
        <v>6157819</v>
      </c>
      <c r="P1068">
        <v>143</v>
      </c>
      <c r="Q1068" t="s">
        <v>2396</v>
      </c>
    </row>
    <row r="1069" spans="1:17" x14ac:dyDescent="0.3">
      <c r="A1069" t="s">
        <v>17</v>
      </c>
      <c r="B1069" t="str">
        <f>"601997"</f>
        <v>601997</v>
      </c>
      <c r="C1069" t="s">
        <v>2397</v>
      </c>
      <c r="D1069" t="s">
        <v>1842</v>
      </c>
      <c r="P1069">
        <v>2050</v>
      </c>
      <c r="Q1069" t="s">
        <v>2398</v>
      </c>
    </row>
    <row r="1070" spans="1:17" x14ac:dyDescent="0.3">
      <c r="A1070" t="s">
        <v>17</v>
      </c>
      <c r="B1070" t="str">
        <f>"601998"</f>
        <v>601998</v>
      </c>
      <c r="C1070" t="s">
        <v>2399</v>
      </c>
      <c r="D1070" t="s">
        <v>19</v>
      </c>
      <c r="P1070">
        <v>1903</v>
      </c>
      <c r="Q1070" t="s">
        <v>2400</v>
      </c>
    </row>
    <row r="1071" spans="1:17" x14ac:dyDescent="0.3">
      <c r="A1071" t="s">
        <v>17</v>
      </c>
      <c r="B1071" t="str">
        <f>"601999"</f>
        <v>601999</v>
      </c>
      <c r="C1071" t="s">
        <v>2401</v>
      </c>
      <c r="D1071" t="s">
        <v>525</v>
      </c>
      <c r="F1071">
        <v>16378818</v>
      </c>
      <c r="G1071">
        <v>7742661</v>
      </c>
      <c r="H1071">
        <v>8176541</v>
      </c>
      <c r="I1071">
        <v>3993584</v>
      </c>
      <c r="P1071">
        <v>82</v>
      </c>
      <c r="Q1071" t="s">
        <v>2402</v>
      </c>
    </row>
    <row r="1072" spans="1:17" x14ac:dyDescent="0.3">
      <c r="A1072" t="s">
        <v>17</v>
      </c>
      <c r="B1072" t="str">
        <f>"603000"</f>
        <v>603000</v>
      </c>
      <c r="C1072" t="s">
        <v>2403</v>
      </c>
      <c r="D1072" t="s">
        <v>522</v>
      </c>
      <c r="F1072">
        <v>86552551</v>
      </c>
      <c r="G1072">
        <v>43205287</v>
      </c>
      <c r="H1072">
        <v>49013088</v>
      </c>
      <c r="I1072">
        <v>29688084</v>
      </c>
      <c r="P1072">
        <v>323</v>
      </c>
      <c r="Q1072" t="s">
        <v>2404</v>
      </c>
    </row>
    <row r="1073" spans="1:17" x14ac:dyDescent="0.3">
      <c r="A1073" t="s">
        <v>17</v>
      </c>
      <c r="B1073" t="str">
        <f>"603001"</f>
        <v>603001</v>
      </c>
      <c r="C1073" t="s">
        <v>2405</v>
      </c>
      <c r="D1073" t="s">
        <v>330</v>
      </c>
      <c r="F1073">
        <v>43766870</v>
      </c>
      <c r="G1073">
        <v>34308458</v>
      </c>
      <c r="H1073">
        <v>47216820</v>
      </c>
      <c r="I1073">
        <v>40406926</v>
      </c>
      <c r="P1073">
        <v>148</v>
      </c>
      <c r="Q1073" t="s">
        <v>2406</v>
      </c>
    </row>
    <row r="1074" spans="1:17" x14ac:dyDescent="0.3">
      <c r="A1074" t="s">
        <v>17</v>
      </c>
      <c r="B1074" t="str">
        <f>"603002"</f>
        <v>603002</v>
      </c>
      <c r="C1074" t="s">
        <v>2407</v>
      </c>
      <c r="D1074" t="s">
        <v>2408</v>
      </c>
      <c r="F1074">
        <v>76954696</v>
      </c>
      <c r="G1074">
        <v>48778440</v>
      </c>
      <c r="H1074">
        <v>22252164</v>
      </c>
      <c r="I1074">
        <v>24169834</v>
      </c>
      <c r="P1074">
        <v>117</v>
      </c>
      <c r="Q1074" t="s">
        <v>2409</v>
      </c>
    </row>
    <row r="1075" spans="1:17" x14ac:dyDescent="0.3">
      <c r="A1075" t="s">
        <v>17</v>
      </c>
      <c r="B1075" t="str">
        <f>"603003"</f>
        <v>603003</v>
      </c>
      <c r="C1075" t="s">
        <v>2410</v>
      </c>
      <c r="D1075" t="s">
        <v>316</v>
      </c>
      <c r="F1075">
        <v>15159440</v>
      </c>
      <c r="G1075">
        <v>7431726</v>
      </c>
      <c r="P1075">
        <v>88</v>
      </c>
      <c r="Q1075" t="s">
        <v>2411</v>
      </c>
    </row>
    <row r="1076" spans="1:17" x14ac:dyDescent="0.3">
      <c r="A1076" t="s">
        <v>17</v>
      </c>
      <c r="B1076" t="str">
        <f>"603005"</f>
        <v>603005</v>
      </c>
      <c r="C1076" t="s">
        <v>2412</v>
      </c>
      <c r="D1076" t="s">
        <v>1180</v>
      </c>
      <c r="F1076">
        <v>179966041</v>
      </c>
      <c r="G1076">
        <v>137260099</v>
      </c>
      <c r="H1076">
        <v>123202938</v>
      </c>
      <c r="I1076">
        <v>121829121</v>
      </c>
      <c r="P1076">
        <v>3663</v>
      </c>
      <c r="Q1076" t="s">
        <v>2413</v>
      </c>
    </row>
    <row r="1077" spans="1:17" x14ac:dyDescent="0.3">
      <c r="A1077" t="s">
        <v>17</v>
      </c>
      <c r="B1077" t="str">
        <f>"603006"</f>
        <v>603006</v>
      </c>
      <c r="C1077" t="s">
        <v>2414</v>
      </c>
      <c r="D1077" t="s">
        <v>985</v>
      </c>
      <c r="F1077">
        <v>29376277</v>
      </c>
      <c r="G1077">
        <v>19459149</v>
      </c>
      <c r="H1077">
        <v>19670818</v>
      </c>
      <c r="I1077">
        <v>14942109</v>
      </c>
      <c r="P1077">
        <v>106</v>
      </c>
      <c r="Q1077" t="s">
        <v>2415</v>
      </c>
    </row>
    <row r="1078" spans="1:17" x14ac:dyDescent="0.3">
      <c r="A1078" t="s">
        <v>17</v>
      </c>
      <c r="B1078" t="str">
        <f>"603007"</f>
        <v>603007</v>
      </c>
      <c r="C1078" t="s">
        <v>2416</v>
      </c>
      <c r="D1078" t="s">
        <v>2417</v>
      </c>
      <c r="F1078">
        <v>26015998</v>
      </c>
      <c r="G1078">
        <v>27816737</v>
      </c>
      <c r="H1078">
        <v>41263525</v>
      </c>
      <c r="I1078">
        <v>49428201</v>
      </c>
      <c r="P1078">
        <v>81</v>
      </c>
      <c r="Q1078" t="s">
        <v>2418</v>
      </c>
    </row>
    <row r="1079" spans="1:17" x14ac:dyDescent="0.3">
      <c r="A1079" t="s">
        <v>17</v>
      </c>
      <c r="B1079" t="str">
        <f>"603008"</f>
        <v>603008</v>
      </c>
      <c r="C1079" t="s">
        <v>2419</v>
      </c>
      <c r="D1079" t="s">
        <v>757</v>
      </c>
      <c r="F1079">
        <v>183217729</v>
      </c>
      <c r="G1079">
        <v>124599117</v>
      </c>
      <c r="H1079">
        <v>122328650</v>
      </c>
      <c r="I1079">
        <v>82192621</v>
      </c>
      <c r="P1079">
        <v>302</v>
      </c>
      <c r="Q1079" t="s">
        <v>2420</v>
      </c>
    </row>
    <row r="1080" spans="1:17" x14ac:dyDescent="0.3">
      <c r="A1080" t="s">
        <v>17</v>
      </c>
      <c r="B1080" t="str">
        <f>"603009"</f>
        <v>603009</v>
      </c>
      <c r="C1080" t="s">
        <v>2421</v>
      </c>
      <c r="D1080" t="s">
        <v>348</v>
      </c>
      <c r="F1080">
        <v>69270526</v>
      </c>
      <c r="G1080">
        <v>61615303</v>
      </c>
      <c r="H1080">
        <v>54125598</v>
      </c>
      <c r="I1080">
        <v>59686426</v>
      </c>
      <c r="P1080">
        <v>84</v>
      </c>
      <c r="Q1080" t="s">
        <v>2422</v>
      </c>
    </row>
    <row r="1081" spans="1:17" x14ac:dyDescent="0.3">
      <c r="A1081" t="s">
        <v>17</v>
      </c>
      <c r="B1081" t="str">
        <f>"603010"</f>
        <v>603010</v>
      </c>
      <c r="C1081" t="s">
        <v>2423</v>
      </c>
      <c r="D1081" t="s">
        <v>1192</v>
      </c>
      <c r="F1081">
        <v>131946693</v>
      </c>
      <c r="G1081">
        <v>95601062</v>
      </c>
      <c r="H1081">
        <v>84641308</v>
      </c>
      <c r="I1081">
        <v>47165987</v>
      </c>
      <c r="P1081">
        <v>279</v>
      </c>
      <c r="Q1081" t="s">
        <v>2424</v>
      </c>
    </row>
    <row r="1082" spans="1:17" x14ac:dyDescent="0.3">
      <c r="A1082" t="s">
        <v>17</v>
      </c>
      <c r="B1082" t="str">
        <f>"603011"</f>
        <v>603011</v>
      </c>
      <c r="C1082" t="s">
        <v>2425</v>
      </c>
      <c r="D1082" t="s">
        <v>741</v>
      </c>
      <c r="F1082">
        <v>70395650</v>
      </c>
      <c r="G1082">
        <v>51402046</v>
      </c>
      <c r="H1082">
        <v>49654018</v>
      </c>
      <c r="I1082">
        <v>48306120</v>
      </c>
      <c r="P1082">
        <v>82</v>
      </c>
      <c r="Q1082" t="s">
        <v>2426</v>
      </c>
    </row>
    <row r="1083" spans="1:17" x14ac:dyDescent="0.3">
      <c r="A1083" t="s">
        <v>17</v>
      </c>
      <c r="B1083" t="str">
        <f>"603012"</f>
        <v>603012</v>
      </c>
      <c r="C1083" t="s">
        <v>2427</v>
      </c>
      <c r="D1083" t="s">
        <v>395</v>
      </c>
      <c r="F1083">
        <v>111835112</v>
      </c>
      <c r="G1083">
        <v>88717437</v>
      </c>
      <c r="H1083">
        <v>77776688</v>
      </c>
      <c r="I1083">
        <v>41131993</v>
      </c>
      <c r="P1083">
        <v>135</v>
      </c>
      <c r="Q1083" t="s">
        <v>2428</v>
      </c>
    </row>
    <row r="1084" spans="1:17" x14ac:dyDescent="0.3">
      <c r="A1084" t="s">
        <v>17</v>
      </c>
      <c r="B1084" t="str">
        <f>"603013"</f>
        <v>603013</v>
      </c>
      <c r="C1084" t="s">
        <v>2429</v>
      </c>
      <c r="D1084" t="s">
        <v>348</v>
      </c>
      <c r="F1084">
        <v>306683219</v>
      </c>
      <c r="G1084">
        <v>266099744</v>
      </c>
      <c r="H1084">
        <v>286234830</v>
      </c>
      <c r="I1084">
        <v>244365717</v>
      </c>
      <c r="J1084">
        <v>212790096</v>
      </c>
      <c r="P1084">
        <v>236</v>
      </c>
      <c r="Q1084" t="s">
        <v>2430</v>
      </c>
    </row>
    <row r="1085" spans="1:17" x14ac:dyDescent="0.3">
      <c r="A1085" t="s">
        <v>17</v>
      </c>
      <c r="B1085" t="str">
        <f>"603015"</f>
        <v>603015</v>
      </c>
      <c r="C1085" t="s">
        <v>2431</v>
      </c>
      <c r="D1085" t="s">
        <v>2432</v>
      </c>
      <c r="F1085">
        <v>68618146</v>
      </c>
      <c r="G1085">
        <v>62046981</v>
      </c>
      <c r="H1085">
        <v>56918764</v>
      </c>
      <c r="I1085">
        <v>72800087</v>
      </c>
      <c r="P1085">
        <v>91</v>
      </c>
      <c r="Q1085" t="s">
        <v>2433</v>
      </c>
    </row>
    <row r="1086" spans="1:17" x14ac:dyDescent="0.3">
      <c r="A1086" t="s">
        <v>17</v>
      </c>
      <c r="B1086" t="str">
        <f>"603016"</f>
        <v>603016</v>
      </c>
      <c r="C1086" t="s">
        <v>2434</v>
      </c>
      <c r="D1086" t="s">
        <v>657</v>
      </c>
      <c r="F1086">
        <v>34409048</v>
      </c>
      <c r="G1086">
        <v>30415967</v>
      </c>
      <c r="H1086">
        <v>29530314</v>
      </c>
      <c r="I1086">
        <v>28938697</v>
      </c>
      <c r="P1086">
        <v>93</v>
      </c>
      <c r="Q1086" t="s">
        <v>2435</v>
      </c>
    </row>
    <row r="1087" spans="1:17" x14ac:dyDescent="0.3">
      <c r="A1087" t="s">
        <v>17</v>
      </c>
      <c r="B1087" t="str">
        <f>"603017"</f>
        <v>603017</v>
      </c>
      <c r="C1087" t="s">
        <v>2436</v>
      </c>
      <c r="D1087" t="s">
        <v>1272</v>
      </c>
      <c r="F1087">
        <v>90385286</v>
      </c>
      <c r="G1087">
        <v>87832211</v>
      </c>
      <c r="H1087">
        <v>88139782</v>
      </c>
      <c r="I1087">
        <v>83587305</v>
      </c>
      <c r="P1087">
        <v>121</v>
      </c>
      <c r="Q1087" t="s">
        <v>2437</v>
      </c>
    </row>
    <row r="1088" spans="1:17" x14ac:dyDescent="0.3">
      <c r="A1088" t="s">
        <v>17</v>
      </c>
      <c r="B1088" t="str">
        <f>"603018"</f>
        <v>603018</v>
      </c>
      <c r="C1088" t="s">
        <v>2438</v>
      </c>
      <c r="D1088" t="s">
        <v>1272</v>
      </c>
      <c r="F1088">
        <v>253854568</v>
      </c>
      <c r="G1088">
        <v>224954654</v>
      </c>
      <c r="H1088">
        <v>191415983</v>
      </c>
      <c r="I1088">
        <v>46571969</v>
      </c>
      <c r="P1088">
        <v>400</v>
      </c>
      <c r="Q1088" t="s">
        <v>2439</v>
      </c>
    </row>
    <row r="1089" spans="1:17" x14ac:dyDescent="0.3">
      <c r="A1089" t="s">
        <v>17</v>
      </c>
      <c r="B1089" t="str">
        <f>"603019"</f>
        <v>603019</v>
      </c>
      <c r="C1089" t="s">
        <v>2440</v>
      </c>
      <c r="D1089" t="s">
        <v>236</v>
      </c>
      <c r="F1089">
        <v>962072219</v>
      </c>
      <c r="G1089">
        <v>734980839</v>
      </c>
      <c r="H1089">
        <v>737734407</v>
      </c>
      <c r="I1089">
        <v>506808086</v>
      </c>
      <c r="P1089">
        <v>1206</v>
      </c>
      <c r="Q1089" t="s">
        <v>2441</v>
      </c>
    </row>
    <row r="1090" spans="1:17" x14ac:dyDescent="0.3">
      <c r="A1090" t="s">
        <v>17</v>
      </c>
      <c r="B1090" t="str">
        <f>"603020"</f>
        <v>603020</v>
      </c>
      <c r="C1090" t="s">
        <v>2442</v>
      </c>
      <c r="D1090" t="s">
        <v>677</v>
      </c>
      <c r="F1090">
        <v>39910113</v>
      </c>
      <c r="G1090">
        <v>34034181</v>
      </c>
      <c r="H1090">
        <v>33018395</v>
      </c>
      <c r="I1090">
        <v>29629314</v>
      </c>
      <c r="P1090">
        <v>195</v>
      </c>
      <c r="Q1090" t="s">
        <v>2443</v>
      </c>
    </row>
    <row r="1091" spans="1:17" x14ac:dyDescent="0.3">
      <c r="A1091" t="s">
        <v>17</v>
      </c>
      <c r="B1091" t="str">
        <f>"603021"</f>
        <v>603021</v>
      </c>
      <c r="C1091" t="s">
        <v>2444</v>
      </c>
      <c r="D1091" t="s">
        <v>2445</v>
      </c>
      <c r="F1091">
        <v>29872785</v>
      </c>
      <c r="G1091">
        <v>21846772</v>
      </c>
      <c r="H1091">
        <v>13031147</v>
      </c>
      <c r="I1091">
        <v>19543459</v>
      </c>
      <c r="P1091">
        <v>59</v>
      </c>
      <c r="Q1091" t="s">
        <v>2446</v>
      </c>
    </row>
    <row r="1092" spans="1:17" x14ac:dyDescent="0.3">
      <c r="A1092" t="s">
        <v>17</v>
      </c>
      <c r="B1092" t="str">
        <f>"603022"</f>
        <v>603022</v>
      </c>
      <c r="C1092" t="s">
        <v>2447</v>
      </c>
      <c r="D1092" t="s">
        <v>2448</v>
      </c>
      <c r="F1092">
        <v>14068140</v>
      </c>
      <c r="G1092">
        <v>14249399</v>
      </c>
      <c r="H1092">
        <v>14936232</v>
      </c>
      <c r="I1092">
        <v>9957490</v>
      </c>
      <c r="P1092">
        <v>51</v>
      </c>
      <c r="Q1092" t="s">
        <v>2449</v>
      </c>
    </row>
    <row r="1093" spans="1:17" x14ac:dyDescent="0.3">
      <c r="A1093" t="s">
        <v>17</v>
      </c>
      <c r="B1093" t="str">
        <f>"603023"</f>
        <v>603023</v>
      </c>
      <c r="C1093" t="s">
        <v>2450</v>
      </c>
      <c r="D1093" t="s">
        <v>1415</v>
      </c>
      <c r="F1093">
        <v>12826369</v>
      </c>
      <c r="G1093">
        <v>12630002</v>
      </c>
      <c r="H1093">
        <v>15289454</v>
      </c>
      <c r="I1093">
        <v>13691547</v>
      </c>
      <c r="P1093">
        <v>150</v>
      </c>
      <c r="Q1093" t="s">
        <v>2451</v>
      </c>
    </row>
    <row r="1094" spans="1:17" x14ac:dyDescent="0.3">
      <c r="A1094" t="s">
        <v>17</v>
      </c>
      <c r="B1094" t="str">
        <f>"603025"</f>
        <v>603025</v>
      </c>
      <c r="C1094" t="s">
        <v>2452</v>
      </c>
      <c r="D1094" t="s">
        <v>2432</v>
      </c>
      <c r="F1094">
        <v>146500525</v>
      </c>
      <c r="G1094">
        <v>99517570</v>
      </c>
      <c r="H1094">
        <v>111185223</v>
      </c>
      <c r="I1094">
        <v>102429959</v>
      </c>
      <c r="P1094">
        <v>434</v>
      </c>
      <c r="Q1094" t="s">
        <v>2453</v>
      </c>
    </row>
    <row r="1095" spans="1:17" x14ac:dyDescent="0.3">
      <c r="A1095" t="s">
        <v>17</v>
      </c>
      <c r="B1095" t="str">
        <f>"603026"</f>
        <v>603026</v>
      </c>
      <c r="C1095" t="s">
        <v>2454</v>
      </c>
      <c r="D1095" t="s">
        <v>1790</v>
      </c>
      <c r="F1095">
        <v>318669141</v>
      </c>
      <c r="G1095">
        <v>164341879</v>
      </c>
      <c r="H1095">
        <v>158998499</v>
      </c>
      <c r="I1095">
        <v>37482511</v>
      </c>
      <c r="P1095">
        <v>420</v>
      </c>
      <c r="Q1095" t="s">
        <v>2455</v>
      </c>
    </row>
    <row r="1096" spans="1:17" x14ac:dyDescent="0.3">
      <c r="A1096" t="s">
        <v>17</v>
      </c>
      <c r="B1096" t="str">
        <f>"603027"</f>
        <v>603027</v>
      </c>
      <c r="C1096" t="s">
        <v>2456</v>
      </c>
      <c r="D1096" t="s">
        <v>433</v>
      </c>
      <c r="F1096">
        <v>55389753</v>
      </c>
      <c r="G1096">
        <v>45221539</v>
      </c>
      <c r="H1096">
        <v>39482609</v>
      </c>
      <c r="I1096">
        <v>20360288</v>
      </c>
      <c r="P1096">
        <v>1883</v>
      </c>
      <c r="Q1096" t="s">
        <v>2457</v>
      </c>
    </row>
    <row r="1097" spans="1:17" x14ac:dyDescent="0.3">
      <c r="A1097" t="s">
        <v>17</v>
      </c>
      <c r="B1097" t="str">
        <f>"603028"</f>
        <v>603028</v>
      </c>
      <c r="C1097" t="s">
        <v>2458</v>
      </c>
      <c r="D1097" t="s">
        <v>274</v>
      </c>
      <c r="F1097">
        <v>29034367</v>
      </c>
      <c r="G1097">
        <v>26337567</v>
      </c>
      <c r="H1097">
        <v>21558077</v>
      </c>
      <c r="I1097">
        <v>20025592</v>
      </c>
      <c r="P1097">
        <v>52</v>
      </c>
      <c r="Q1097" t="s">
        <v>2459</v>
      </c>
    </row>
    <row r="1098" spans="1:17" x14ac:dyDescent="0.3">
      <c r="A1098" t="s">
        <v>17</v>
      </c>
      <c r="B1098" t="str">
        <f>"603029"</f>
        <v>603029</v>
      </c>
      <c r="C1098" t="s">
        <v>2460</v>
      </c>
      <c r="D1098" t="s">
        <v>741</v>
      </c>
      <c r="F1098">
        <v>33604587</v>
      </c>
      <c r="G1098">
        <v>38958111</v>
      </c>
      <c r="H1098">
        <v>35914782</v>
      </c>
      <c r="I1098">
        <v>19538815</v>
      </c>
      <c r="P1098">
        <v>62</v>
      </c>
      <c r="Q1098" t="s">
        <v>2461</v>
      </c>
    </row>
    <row r="1099" spans="1:17" x14ac:dyDescent="0.3">
      <c r="A1099" t="s">
        <v>17</v>
      </c>
      <c r="B1099" t="str">
        <f>"603030"</f>
        <v>603030</v>
      </c>
      <c r="C1099" t="s">
        <v>2462</v>
      </c>
      <c r="D1099" t="s">
        <v>450</v>
      </c>
      <c r="F1099">
        <v>133248857</v>
      </c>
      <c r="G1099">
        <v>98466647</v>
      </c>
      <c r="H1099">
        <v>145015237</v>
      </c>
      <c r="I1099">
        <v>178408255</v>
      </c>
      <c r="P1099">
        <v>126</v>
      </c>
      <c r="Q1099" t="s">
        <v>2463</v>
      </c>
    </row>
    <row r="1100" spans="1:17" x14ac:dyDescent="0.3">
      <c r="A1100" t="s">
        <v>17</v>
      </c>
      <c r="B1100" t="str">
        <f>"603031"</f>
        <v>603031</v>
      </c>
      <c r="C1100" t="s">
        <v>2464</v>
      </c>
      <c r="D1100" t="s">
        <v>798</v>
      </c>
      <c r="F1100">
        <v>0</v>
      </c>
      <c r="G1100">
        <v>0</v>
      </c>
      <c r="P1100">
        <v>70</v>
      </c>
      <c r="Q1100" t="s">
        <v>2465</v>
      </c>
    </row>
    <row r="1101" spans="1:17" x14ac:dyDescent="0.3">
      <c r="A1101" t="s">
        <v>17</v>
      </c>
      <c r="B1101" t="str">
        <f>"603032"</f>
        <v>603032</v>
      </c>
      <c r="C1101" t="s">
        <v>2466</v>
      </c>
      <c r="D1101" t="s">
        <v>1133</v>
      </c>
      <c r="F1101">
        <v>15350851</v>
      </c>
      <c r="G1101">
        <v>0</v>
      </c>
      <c r="P1101">
        <v>73</v>
      </c>
      <c r="Q1101" t="s">
        <v>2467</v>
      </c>
    </row>
    <row r="1102" spans="1:17" x14ac:dyDescent="0.3">
      <c r="A1102" t="s">
        <v>17</v>
      </c>
      <c r="B1102" t="str">
        <f>"603033"</f>
        <v>603033</v>
      </c>
      <c r="C1102" t="s">
        <v>2468</v>
      </c>
      <c r="D1102" t="s">
        <v>2469</v>
      </c>
      <c r="F1102">
        <v>39747455</v>
      </c>
      <c r="G1102">
        <v>23178006</v>
      </c>
      <c r="H1102">
        <v>19824019</v>
      </c>
      <c r="I1102">
        <v>14814241</v>
      </c>
      <c r="P1102">
        <v>99</v>
      </c>
      <c r="Q1102" t="s">
        <v>2470</v>
      </c>
    </row>
    <row r="1103" spans="1:17" x14ac:dyDescent="0.3">
      <c r="A1103" t="s">
        <v>17</v>
      </c>
      <c r="B1103" t="str">
        <f>"603035"</f>
        <v>603035</v>
      </c>
      <c r="C1103" t="s">
        <v>2471</v>
      </c>
      <c r="D1103" t="s">
        <v>191</v>
      </c>
      <c r="F1103">
        <v>97122910</v>
      </c>
      <c r="G1103">
        <v>67626961</v>
      </c>
      <c r="H1103">
        <v>90658797</v>
      </c>
      <c r="I1103">
        <v>47685187</v>
      </c>
      <c r="P1103">
        <v>244</v>
      </c>
      <c r="Q1103" t="s">
        <v>2472</v>
      </c>
    </row>
    <row r="1104" spans="1:17" x14ac:dyDescent="0.3">
      <c r="A1104" t="s">
        <v>17</v>
      </c>
      <c r="B1104" t="str">
        <f>"603036"</f>
        <v>603036</v>
      </c>
      <c r="C1104" t="s">
        <v>2473</v>
      </c>
      <c r="D1104" t="s">
        <v>395</v>
      </c>
      <c r="F1104">
        <v>13813731</v>
      </c>
      <c r="G1104">
        <v>15731982</v>
      </c>
      <c r="H1104">
        <v>15207160</v>
      </c>
      <c r="I1104">
        <v>11113657</v>
      </c>
      <c r="P1104">
        <v>61</v>
      </c>
      <c r="Q1104" t="s">
        <v>2474</v>
      </c>
    </row>
    <row r="1105" spans="1:17" x14ac:dyDescent="0.3">
      <c r="A1105" t="s">
        <v>17</v>
      </c>
      <c r="B1105" t="str">
        <f>"603037"</f>
        <v>603037</v>
      </c>
      <c r="C1105" t="s">
        <v>2475</v>
      </c>
      <c r="D1105" t="s">
        <v>348</v>
      </c>
      <c r="F1105">
        <v>47513998</v>
      </c>
      <c r="G1105">
        <v>34842862</v>
      </c>
      <c r="H1105">
        <v>32929755</v>
      </c>
      <c r="I1105">
        <v>25015941</v>
      </c>
      <c r="P1105">
        <v>230</v>
      </c>
      <c r="Q1105" t="s">
        <v>2476</v>
      </c>
    </row>
    <row r="1106" spans="1:17" x14ac:dyDescent="0.3">
      <c r="A1106" t="s">
        <v>17</v>
      </c>
      <c r="B1106" t="str">
        <f>"603038"</f>
        <v>603038</v>
      </c>
      <c r="C1106" t="s">
        <v>2477</v>
      </c>
      <c r="D1106" t="s">
        <v>722</v>
      </c>
      <c r="F1106">
        <v>27354410</v>
      </c>
      <c r="G1106">
        <v>30001840</v>
      </c>
      <c r="H1106">
        <v>34123120</v>
      </c>
      <c r="I1106">
        <v>30772253</v>
      </c>
      <c r="P1106">
        <v>70</v>
      </c>
      <c r="Q1106" t="s">
        <v>2478</v>
      </c>
    </row>
    <row r="1107" spans="1:17" x14ac:dyDescent="0.3">
      <c r="A1107" t="s">
        <v>17</v>
      </c>
      <c r="B1107" t="str">
        <f>"603039"</f>
        <v>603039</v>
      </c>
      <c r="C1107" t="s">
        <v>2479</v>
      </c>
      <c r="D1107" t="s">
        <v>1189</v>
      </c>
      <c r="F1107">
        <v>243598686</v>
      </c>
      <c r="G1107">
        <v>199211636</v>
      </c>
      <c r="H1107">
        <v>166388819</v>
      </c>
      <c r="I1107">
        <v>125466133</v>
      </c>
      <c r="P1107">
        <v>609</v>
      </c>
      <c r="Q1107" t="s">
        <v>2480</v>
      </c>
    </row>
    <row r="1108" spans="1:17" x14ac:dyDescent="0.3">
      <c r="A1108" t="s">
        <v>17</v>
      </c>
      <c r="B1108" t="str">
        <f>"603040"</f>
        <v>603040</v>
      </c>
      <c r="C1108" t="s">
        <v>2481</v>
      </c>
      <c r="D1108" t="s">
        <v>348</v>
      </c>
      <c r="F1108">
        <v>32081650</v>
      </c>
      <c r="G1108">
        <v>24428660</v>
      </c>
      <c r="H1108">
        <v>23243508</v>
      </c>
      <c r="I1108">
        <v>21440481</v>
      </c>
      <c r="P1108">
        <v>619</v>
      </c>
      <c r="Q1108" t="s">
        <v>2482</v>
      </c>
    </row>
    <row r="1109" spans="1:17" x14ac:dyDescent="0.3">
      <c r="A1109" t="s">
        <v>17</v>
      </c>
      <c r="B1109" t="str">
        <f>"603041"</f>
        <v>603041</v>
      </c>
      <c r="C1109" t="s">
        <v>2483</v>
      </c>
      <c r="D1109" t="s">
        <v>528</v>
      </c>
      <c r="F1109">
        <v>22174402</v>
      </c>
      <c r="G1109">
        <v>20940043</v>
      </c>
      <c r="H1109">
        <v>21243703</v>
      </c>
      <c r="I1109">
        <v>21780869</v>
      </c>
      <c r="P1109">
        <v>98</v>
      </c>
      <c r="Q1109" t="s">
        <v>2484</v>
      </c>
    </row>
    <row r="1110" spans="1:17" x14ac:dyDescent="0.3">
      <c r="A1110" t="s">
        <v>17</v>
      </c>
      <c r="B1110" t="str">
        <f>"603042"</f>
        <v>603042</v>
      </c>
      <c r="C1110" t="s">
        <v>2485</v>
      </c>
      <c r="D1110" t="s">
        <v>250</v>
      </c>
      <c r="F1110">
        <v>56892010</v>
      </c>
      <c r="G1110">
        <v>61255075</v>
      </c>
      <c r="H1110">
        <v>52182558</v>
      </c>
      <c r="I1110">
        <v>56142739</v>
      </c>
      <c r="P1110">
        <v>122</v>
      </c>
      <c r="Q1110" t="s">
        <v>2486</v>
      </c>
    </row>
    <row r="1111" spans="1:17" x14ac:dyDescent="0.3">
      <c r="A1111" t="s">
        <v>17</v>
      </c>
      <c r="B1111" t="str">
        <f>"603043"</f>
        <v>603043</v>
      </c>
      <c r="C1111" t="s">
        <v>2487</v>
      </c>
      <c r="D1111" t="s">
        <v>2488</v>
      </c>
      <c r="F1111">
        <v>77446242</v>
      </c>
      <c r="G1111">
        <v>77382774</v>
      </c>
      <c r="H1111">
        <v>61337012</v>
      </c>
      <c r="I1111">
        <v>48472395</v>
      </c>
      <c r="P1111">
        <v>1511</v>
      </c>
      <c r="Q1111" t="s">
        <v>2489</v>
      </c>
    </row>
    <row r="1112" spans="1:17" x14ac:dyDescent="0.3">
      <c r="A1112" t="s">
        <v>17</v>
      </c>
      <c r="B1112" t="str">
        <f>"603045"</f>
        <v>603045</v>
      </c>
      <c r="C1112" t="s">
        <v>2490</v>
      </c>
      <c r="D1112" t="s">
        <v>581</v>
      </c>
      <c r="F1112">
        <v>91518111</v>
      </c>
      <c r="G1112">
        <v>74509299</v>
      </c>
      <c r="H1112">
        <v>50288889</v>
      </c>
      <c r="I1112">
        <v>43835418</v>
      </c>
      <c r="J1112">
        <v>41423771</v>
      </c>
      <c r="P1112">
        <v>54</v>
      </c>
      <c r="Q1112" t="s">
        <v>2491</v>
      </c>
    </row>
    <row r="1113" spans="1:17" x14ac:dyDescent="0.3">
      <c r="A1113" t="s">
        <v>17</v>
      </c>
      <c r="B1113" t="str">
        <f>"603048"</f>
        <v>603048</v>
      </c>
      <c r="C1113" t="s">
        <v>2492</v>
      </c>
      <c r="D1113" t="s">
        <v>985</v>
      </c>
      <c r="F1113">
        <v>34775220</v>
      </c>
      <c r="G1113">
        <v>25907374</v>
      </c>
      <c r="H1113">
        <v>25652472</v>
      </c>
      <c r="I1113">
        <v>24333903</v>
      </c>
      <c r="J1113">
        <v>19351077</v>
      </c>
      <c r="P1113">
        <v>16</v>
      </c>
      <c r="Q1113" t="s">
        <v>2493</v>
      </c>
    </row>
    <row r="1114" spans="1:17" x14ac:dyDescent="0.3">
      <c r="A1114" t="s">
        <v>17</v>
      </c>
      <c r="B1114" t="str">
        <f>"603050"</f>
        <v>603050</v>
      </c>
      <c r="C1114" t="s">
        <v>2494</v>
      </c>
      <c r="D1114" t="s">
        <v>610</v>
      </c>
      <c r="F1114">
        <v>116916117</v>
      </c>
      <c r="G1114">
        <v>92533880</v>
      </c>
      <c r="H1114">
        <v>87590467</v>
      </c>
      <c r="I1114">
        <v>72871886</v>
      </c>
      <c r="P1114">
        <v>124</v>
      </c>
      <c r="Q1114" t="s">
        <v>2495</v>
      </c>
    </row>
    <row r="1115" spans="1:17" x14ac:dyDescent="0.3">
      <c r="A1115" t="s">
        <v>17</v>
      </c>
      <c r="B1115" t="str">
        <f>"603051"</f>
        <v>603051</v>
      </c>
      <c r="C1115" t="s">
        <v>2496</v>
      </c>
      <c r="F1115">
        <v>53035184</v>
      </c>
      <c r="G1115">
        <v>37226164</v>
      </c>
      <c r="H1115">
        <v>27128300</v>
      </c>
      <c r="I1115">
        <v>22112230</v>
      </c>
      <c r="P1115">
        <v>3</v>
      </c>
      <c r="Q1115" t="s">
        <v>2497</v>
      </c>
    </row>
    <row r="1116" spans="1:17" x14ac:dyDescent="0.3">
      <c r="A1116" t="s">
        <v>17</v>
      </c>
      <c r="B1116" t="str">
        <f>"603053"</f>
        <v>603053</v>
      </c>
      <c r="C1116" t="s">
        <v>2498</v>
      </c>
      <c r="D1116" t="s">
        <v>749</v>
      </c>
      <c r="F1116">
        <v>21359092</v>
      </c>
      <c r="G1116">
        <v>13609360</v>
      </c>
      <c r="H1116">
        <v>31889184</v>
      </c>
      <c r="I1116">
        <v>24635654</v>
      </c>
      <c r="J1116">
        <v>24266649</v>
      </c>
      <c r="K1116">
        <v>17192715</v>
      </c>
      <c r="P1116">
        <v>118</v>
      </c>
      <c r="Q1116" t="s">
        <v>2499</v>
      </c>
    </row>
    <row r="1117" spans="1:17" x14ac:dyDescent="0.3">
      <c r="A1117" t="s">
        <v>17</v>
      </c>
      <c r="B1117" t="str">
        <f>"603055"</f>
        <v>603055</v>
      </c>
      <c r="C1117" t="s">
        <v>2500</v>
      </c>
      <c r="D1117" t="s">
        <v>366</v>
      </c>
      <c r="F1117">
        <v>215934139</v>
      </c>
      <c r="G1117">
        <v>139391208</v>
      </c>
      <c r="H1117">
        <v>146711395</v>
      </c>
      <c r="I1117">
        <v>107148468</v>
      </c>
      <c r="P1117">
        <v>147</v>
      </c>
      <c r="Q1117" t="s">
        <v>2501</v>
      </c>
    </row>
    <row r="1118" spans="1:17" x14ac:dyDescent="0.3">
      <c r="A1118" t="s">
        <v>17</v>
      </c>
      <c r="B1118" t="str">
        <f>"603056"</f>
        <v>603056</v>
      </c>
      <c r="C1118" t="s">
        <v>2502</v>
      </c>
      <c r="D1118" t="s">
        <v>2503</v>
      </c>
      <c r="F1118">
        <v>59995977</v>
      </c>
      <c r="G1118">
        <v>51197022</v>
      </c>
      <c r="H1118">
        <v>101059972</v>
      </c>
      <c r="I1118">
        <v>130291691</v>
      </c>
      <c r="P1118">
        <v>412</v>
      </c>
      <c r="Q1118" t="s">
        <v>2504</v>
      </c>
    </row>
    <row r="1119" spans="1:17" x14ac:dyDescent="0.3">
      <c r="A1119" t="s">
        <v>17</v>
      </c>
      <c r="B1119" t="str">
        <f>"603058"</f>
        <v>603058</v>
      </c>
      <c r="C1119" t="s">
        <v>2505</v>
      </c>
      <c r="D1119" t="s">
        <v>2165</v>
      </c>
      <c r="F1119">
        <v>31039192</v>
      </c>
      <c r="G1119">
        <v>21142721</v>
      </c>
      <c r="H1119">
        <v>20349515</v>
      </c>
      <c r="I1119">
        <v>15425970</v>
      </c>
      <c r="P1119">
        <v>121</v>
      </c>
      <c r="Q1119" t="s">
        <v>2506</v>
      </c>
    </row>
    <row r="1120" spans="1:17" x14ac:dyDescent="0.3">
      <c r="A1120" t="s">
        <v>17</v>
      </c>
      <c r="B1120" t="str">
        <f>"603059"</f>
        <v>603059</v>
      </c>
      <c r="C1120" t="s">
        <v>2507</v>
      </c>
      <c r="D1120" t="s">
        <v>569</v>
      </c>
      <c r="F1120">
        <v>31683243</v>
      </c>
      <c r="G1120">
        <v>19306976</v>
      </c>
      <c r="H1120">
        <v>13154989</v>
      </c>
      <c r="I1120">
        <v>6965484</v>
      </c>
      <c r="J1120">
        <v>6771739</v>
      </c>
      <c r="P1120">
        <v>99</v>
      </c>
      <c r="Q1120" t="s">
        <v>2508</v>
      </c>
    </row>
    <row r="1121" spans="1:17" x14ac:dyDescent="0.3">
      <c r="A1121" t="s">
        <v>17</v>
      </c>
      <c r="B1121" t="str">
        <f>"603060"</f>
        <v>603060</v>
      </c>
      <c r="C1121" t="s">
        <v>2509</v>
      </c>
      <c r="D1121" t="s">
        <v>2510</v>
      </c>
      <c r="F1121">
        <v>183068576</v>
      </c>
      <c r="G1121">
        <v>112968786</v>
      </c>
      <c r="H1121">
        <v>82892834</v>
      </c>
      <c r="I1121">
        <v>74170474</v>
      </c>
      <c r="P1121">
        <v>507</v>
      </c>
      <c r="Q1121" t="s">
        <v>2511</v>
      </c>
    </row>
    <row r="1122" spans="1:17" x14ac:dyDescent="0.3">
      <c r="A1122" t="s">
        <v>17</v>
      </c>
      <c r="B1122" t="str">
        <f>"603063"</f>
        <v>603063</v>
      </c>
      <c r="C1122" t="s">
        <v>2512</v>
      </c>
      <c r="D1122" t="s">
        <v>950</v>
      </c>
      <c r="F1122">
        <v>177458241</v>
      </c>
      <c r="G1122">
        <v>144592486</v>
      </c>
      <c r="H1122">
        <v>151891237</v>
      </c>
      <c r="I1122">
        <v>120448770</v>
      </c>
      <c r="P1122">
        <v>212</v>
      </c>
      <c r="Q1122" t="s">
        <v>2513</v>
      </c>
    </row>
    <row r="1123" spans="1:17" x14ac:dyDescent="0.3">
      <c r="A1123" t="s">
        <v>17</v>
      </c>
      <c r="B1123" t="str">
        <f>"603066"</f>
        <v>603066</v>
      </c>
      <c r="C1123" t="s">
        <v>2514</v>
      </c>
      <c r="D1123" t="s">
        <v>537</v>
      </c>
      <c r="F1123">
        <v>36983988</v>
      </c>
      <c r="G1123">
        <v>26559443</v>
      </c>
      <c r="H1123">
        <v>29286218</v>
      </c>
      <c r="I1123">
        <v>29117458</v>
      </c>
      <c r="P1123">
        <v>116</v>
      </c>
      <c r="Q1123" t="s">
        <v>2515</v>
      </c>
    </row>
    <row r="1124" spans="1:17" x14ac:dyDescent="0.3">
      <c r="A1124" t="s">
        <v>17</v>
      </c>
      <c r="B1124" t="str">
        <f>"603067"</f>
        <v>603067</v>
      </c>
      <c r="C1124" t="s">
        <v>2516</v>
      </c>
      <c r="D1124" t="s">
        <v>736</v>
      </c>
      <c r="F1124">
        <v>82742132</v>
      </c>
      <c r="G1124">
        <v>43001213</v>
      </c>
      <c r="H1124">
        <v>49836989</v>
      </c>
      <c r="I1124">
        <v>50878548</v>
      </c>
      <c r="P1124">
        <v>136</v>
      </c>
      <c r="Q1124" t="s">
        <v>2517</v>
      </c>
    </row>
    <row r="1125" spans="1:17" x14ac:dyDescent="0.3">
      <c r="A1125" t="s">
        <v>17</v>
      </c>
      <c r="B1125" t="str">
        <f>"603068"</f>
        <v>603068</v>
      </c>
      <c r="C1125" t="s">
        <v>2518</v>
      </c>
      <c r="D1125" t="s">
        <v>401</v>
      </c>
      <c r="F1125">
        <v>217645383</v>
      </c>
      <c r="G1125">
        <v>122259832</v>
      </c>
      <c r="H1125">
        <v>99046956</v>
      </c>
      <c r="I1125">
        <v>77681264</v>
      </c>
      <c r="J1125">
        <v>69099813</v>
      </c>
      <c r="K1125">
        <v>64886875</v>
      </c>
      <c r="P1125">
        <v>345</v>
      </c>
      <c r="Q1125" t="s">
        <v>2519</v>
      </c>
    </row>
    <row r="1126" spans="1:17" x14ac:dyDescent="0.3">
      <c r="A1126" t="s">
        <v>17</v>
      </c>
      <c r="B1126" t="str">
        <f>"603069"</f>
        <v>603069</v>
      </c>
      <c r="C1126" t="s">
        <v>2520</v>
      </c>
      <c r="D1126" t="s">
        <v>1133</v>
      </c>
      <c r="F1126">
        <v>0</v>
      </c>
      <c r="G1126">
        <v>0</v>
      </c>
      <c r="H1126">
        <v>0</v>
      </c>
      <c r="I1126">
        <v>0</v>
      </c>
      <c r="P1126">
        <v>98</v>
      </c>
      <c r="Q1126" t="s">
        <v>2521</v>
      </c>
    </row>
    <row r="1127" spans="1:17" x14ac:dyDescent="0.3">
      <c r="A1127" t="s">
        <v>17</v>
      </c>
      <c r="B1127" t="str">
        <f>"603070"</f>
        <v>603070</v>
      </c>
      <c r="C1127" t="s">
        <v>2522</v>
      </c>
      <c r="F1127">
        <v>82393271</v>
      </c>
      <c r="G1127">
        <v>71245267</v>
      </c>
      <c r="H1127">
        <v>75698170</v>
      </c>
      <c r="I1127">
        <v>58433558</v>
      </c>
      <c r="P1127">
        <v>10</v>
      </c>
      <c r="Q1127" t="s">
        <v>2523</v>
      </c>
    </row>
    <row r="1128" spans="1:17" x14ac:dyDescent="0.3">
      <c r="A1128" t="s">
        <v>17</v>
      </c>
      <c r="B1128" t="str">
        <f>"603071"</f>
        <v>603071</v>
      </c>
      <c r="C1128" t="s">
        <v>2524</v>
      </c>
      <c r="D1128" t="s">
        <v>351</v>
      </c>
      <c r="F1128">
        <v>110614902</v>
      </c>
      <c r="G1128">
        <v>92175949</v>
      </c>
      <c r="H1128">
        <v>82347654</v>
      </c>
      <c r="I1128">
        <v>63335415</v>
      </c>
      <c r="J1128">
        <v>56842523</v>
      </c>
      <c r="P1128">
        <v>19</v>
      </c>
      <c r="Q1128" t="s">
        <v>2525</v>
      </c>
    </row>
    <row r="1129" spans="1:17" x14ac:dyDescent="0.3">
      <c r="A1129" t="s">
        <v>17</v>
      </c>
      <c r="B1129" t="str">
        <f>"603076"</f>
        <v>603076</v>
      </c>
      <c r="C1129" t="s">
        <v>2526</v>
      </c>
      <c r="D1129" t="s">
        <v>741</v>
      </c>
      <c r="F1129">
        <v>38298668</v>
      </c>
      <c r="G1129">
        <v>36807444</v>
      </c>
      <c r="H1129">
        <v>34303163</v>
      </c>
      <c r="I1129">
        <v>38491730</v>
      </c>
      <c r="P1129">
        <v>87</v>
      </c>
      <c r="Q1129" t="s">
        <v>2527</v>
      </c>
    </row>
    <row r="1130" spans="1:17" x14ac:dyDescent="0.3">
      <c r="A1130" t="s">
        <v>17</v>
      </c>
      <c r="B1130" t="str">
        <f>"603077"</f>
        <v>603077</v>
      </c>
      <c r="C1130" t="s">
        <v>2528</v>
      </c>
      <c r="D1130" t="s">
        <v>2529</v>
      </c>
      <c r="F1130">
        <v>33313473</v>
      </c>
      <c r="G1130">
        <v>39676970</v>
      </c>
      <c r="H1130">
        <v>38300329</v>
      </c>
      <c r="I1130">
        <v>31143858</v>
      </c>
      <c r="P1130">
        <v>265</v>
      </c>
      <c r="Q1130" t="s">
        <v>2530</v>
      </c>
    </row>
    <row r="1131" spans="1:17" x14ac:dyDescent="0.3">
      <c r="A1131" t="s">
        <v>17</v>
      </c>
      <c r="B1131" t="str">
        <f>"603078"</f>
        <v>603078</v>
      </c>
      <c r="C1131" t="s">
        <v>2531</v>
      </c>
      <c r="D1131" t="s">
        <v>2408</v>
      </c>
      <c r="F1131">
        <v>36215561</v>
      </c>
      <c r="G1131">
        <v>30367051</v>
      </c>
      <c r="H1131">
        <v>25018664</v>
      </c>
      <c r="I1131">
        <v>19827898</v>
      </c>
      <c r="P1131">
        <v>226</v>
      </c>
      <c r="Q1131" t="s">
        <v>2532</v>
      </c>
    </row>
    <row r="1132" spans="1:17" x14ac:dyDescent="0.3">
      <c r="A1132" t="s">
        <v>17</v>
      </c>
      <c r="B1132" t="str">
        <f>"603079"</f>
        <v>603079</v>
      </c>
      <c r="C1132" t="s">
        <v>2533</v>
      </c>
      <c r="D1132" t="s">
        <v>496</v>
      </c>
      <c r="F1132">
        <v>39643033</v>
      </c>
      <c r="G1132">
        <v>35685966</v>
      </c>
      <c r="H1132">
        <v>27901281</v>
      </c>
      <c r="I1132">
        <v>21385948</v>
      </c>
      <c r="P1132">
        <v>239</v>
      </c>
      <c r="Q1132" t="s">
        <v>2534</v>
      </c>
    </row>
    <row r="1133" spans="1:17" x14ac:dyDescent="0.3">
      <c r="A1133" t="s">
        <v>17</v>
      </c>
      <c r="B1133" t="str">
        <f>"603080"</f>
        <v>603080</v>
      </c>
      <c r="C1133" t="s">
        <v>2535</v>
      </c>
      <c r="D1133" t="s">
        <v>749</v>
      </c>
      <c r="F1133">
        <v>0</v>
      </c>
      <c r="G1133">
        <v>0</v>
      </c>
      <c r="P1133">
        <v>93</v>
      </c>
      <c r="Q1133" t="s">
        <v>2536</v>
      </c>
    </row>
    <row r="1134" spans="1:17" x14ac:dyDescent="0.3">
      <c r="A1134" t="s">
        <v>17</v>
      </c>
      <c r="B1134" t="str">
        <f>"603081"</f>
        <v>603081</v>
      </c>
      <c r="C1134" t="s">
        <v>2537</v>
      </c>
      <c r="D1134" t="s">
        <v>450</v>
      </c>
      <c r="F1134">
        <v>124530630</v>
      </c>
      <c r="G1134">
        <v>112961517</v>
      </c>
      <c r="H1134">
        <v>77754918</v>
      </c>
      <c r="I1134">
        <v>69954357</v>
      </c>
      <c r="P1134">
        <v>144</v>
      </c>
      <c r="Q1134" t="s">
        <v>2538</v>
      </c>
    </row>
    <row r="1135" spans="1:17" x14ac:dyDescent="0.3">
      <c r="A1135" t="s">
        <v>17</v>
      </c>
      <c r="B1135" t="str">
        <f>"603083"</f>
        <v>603083</v>
      </c>
      <c r="C1135" t="s">
        <v>2539</v>
      </c>
      <c r="D1135" t="s">
        <v>786</v>
      </c>
      <c r="F1135">
        <v>214820086</v>
      </c>
      <c r="G1135">
        <v>269108485</v>
      </c>
      <c r="H1135">
        <v>272823631</v>
      </c>
      <c r="I1135">
        <v>131150457</v>
      </c>
      <c r="P1135">
        <v>272</v>
      </c>
      <c r="Q1135" t="s">
        <v>2540</v>
      </c>
    </row>
    <row r="1136" spans="1:17" x14ac:dyDescent="0.3">
      <c r="A1136" t="s">
        <v>17</v>
      </c>
      <c r="B1136" t="str">
        <f>"603085"</f>
        <v>603085</v>
      </c>
      <c r="C1136" t="s">
        <v>2541</v>
      </c>
      <c r="D1136" t="s">
        <v>191</v>
      </c>
      <c r="F1136">
        <v>57909045</v>
      </c>
      <c r="G1136">
        <v>51150516</v>
      </c>
      <c r="H1136">
        <v>71634628</v>
      </c>
      <c r="I1136">
        <v>45629827</v>
      </c>
      <c r="P1136">
        <v>81</v>
      </c>
      <c r="Q1136" t="s">
        <v>2542</v>
      </c>
    </row>
    <row r="1137" spans="1:17" x14ac:dyDescent="0.3">
      <c r="A1137" t="s">
        <v>17</v>
      </c>
      <c r="B1137" t="str">
        <f>"603086"</f>
        <v>603086</v>
      </c>
      <c r="C1137" t="s">
        <v>2543</v>
      </c>
      <c r="D1137" t="s">
        <v>853</v>
      </c>
      <c r="F1137">
        <v>98060124</v>
      </c>
      <c r="G1137">
        <v>95964001</v>
      </c>
      <c r="H1137">
        <v>82408984</v>
      </c>
      <c r="I1137">
        <v>87339997</v>
      </c>
      <c r="P1137">
        <v>124</v>
      </c>
      <c r="Q1137" t="s">
        <v>2544</v>
      </c>
    </row>
    <row r="1138" spans="1:17" x14ac:dyDescent="0.3">
      <c r="A1138" t="s">
        <v>17</v>
      </c>
      <c r="B1138" t="str">
        <f>"603087"</f>
        <v>603087</v>
      </c>
      <c r="C1138" t="s">
        <v>2545</v>
      </c>
      <c r="D1138" t="s">
        <v>1379</v>
      </c>
      <c r="F1138">
        <v>474588511</v>
      </c>
      <c r="G1138">
        <v>419985303</v>
      </c>
      <c r="H1138">
        <v>235555448</v>
      </c>
      <c r="I1138">
        <v>142990630</v>
      </c>
      <c r="J1138">
        <v>137047289</v>
      </c>
      <c r="P1138">
        <v>677</v>
      </c>
      <c r="Q1138" t="s">
        <v>2546</v>
      </c>
    </row>
    <row r="1139" spans="1:17" x14ac:dyDescent="0.3">
      <c r="A1139" t="s">
        <v>17</v>
      </c>
      <c r="B1139" t="str">
        <f>"603088"</f>
        <v>603088</v>
      </c>
      <c r="C1139" t="s">
        <v>2547</v>
      </c>
      <c r="D1139" t="s">
        <v>2321</v>
      </c>
      <c r="F1139">
        <v>19783979</v>
      </c>
      <c r="G1139">
        <v>20795139</v>
      </c>
      <c r="H1139">
        <v>19909640</v>
      </c>
      <c r="I1139">
        <v>15264086</v>
      </c>
      <c r="P1139">
        <v>106</v>
      </c>
      <c r="Q1139" t="s">
        <v>2548</v>
      </c>
    </row>
    <row r="1140" spans="1:17" x14ac:dyDescent="0.3">
      <c r="A1140" t="s">
        <v>17</v>
      </c>
      <c r="B1140" t="str">
        <f>"603089"</f>
        <v>603089</v>
      </c>
      <c r="C1140" t="s">
        <v>2549</v>
      </c>
      <c r="D1140" t="s">
        <v>348</v>
      </c>
      <c r="F1140">
        <v>76976000</v>
      </c>
      <c r="G1140">
        <v>53392342</v>
      </c>
      <c r="H1140">
        <v>45595774</v>
      </c>
      <c r="I1140">
        <v>45644675</v>
      </c>
      <c r="P1140">
        <v>111</v>
      </c>
      <c r="Q1140" t="s">
        <v>2550</v>
      </c>
    </row>
    <row r="1141" spans="1:17" x14ac:dyDescent="0.3">
      <c r="A1141" t="s">
        <v>17</v>
      </c>
      <c r="B1141" t="str">
        <f>"603090"</f>
        <v>603090</v>
      </c>
      <c r="C1141" t="s">
        <v>2551</v>
      </c>
      <c r="D1141" t="s">
        <v>560</v>
      </c>
      <c r="F1141">
        <v>24756015</v>
      </c>
      <c r="G1141">
        <v>22769402</v>
      </c>
      <c r="H1141">
        <v>20662675</v>
      </c>
      <c r="I1141">
        <v>20840392</v>
      </c>
      <c r="P1141">
        <v>51</v>
      </c>
      <c r="Q1141" t="s">
        <v>2552</v>
      </c>
    </row>
    <row r="1142" spans="1:17" x14ac:dyDescent="0.3">
      <c r="A1142" t="s">
        <v>17</v>
      </c>
      <c r="B1142" t="str">
        <f>"603093"</f>
        <v>603093</v>
      </c>
      <c r="C1142" t="s">
        <v>2553</v>
      </c>
      <c r="D1142" t="s">
        <v>1847</v>
      </c>
      <c r="P1142">
        <v>84</v>
      </c>
      <c r="Q1142" t="s">
        <v>2554</v>
      </c>
    </row>
    <row r="1143" spans="1:17" x14ac:dyDescent="0.3">
      <c r="A1143" t="s">
        <v>17</v>
      </c>
      <c r="B1143" t="str">
        <f>"603095"</f>
        <v>603095</v>
      </c>
      <c r="C1143" t="s">
        <v>2555</v>
      </c>
      <c r="D1143" t="s">
        <v>534</v>
      </c>
      <c r="F1143">
        <v>51664564</v>
      </c>
      <c r="G1143">
        <v>32904554</v>
      </c>
      <c r="H1143">
        <v>45500378</v>
      </c>
      <c r="I1143">
        <v>35393156</v>
      </c>
      <c r="J1143">
        <v>37224004</v>
      </c>
      <c r="P1143">
        <v>64</v>
      </c>
      <c r="Q1143" t="s">
        <v>2556</v>
      </c>
    </row>
    <row r="1144" spans="1:17" x14ac:dyDescent="0.3">
      <c r="A1144" t="s">
        <v>17</v>
      </c>
      <c r="B1144" t="str">
        <f>"603096"</f>
        <v>603096</v>
      </c>
      <c r="C1144" t="s">
        <v>2557</v>
      </c>
      <c r="D1144" t="s">
        <v>525</v>
      </c>
      <c r="F1144">
        <v>9379987</v>
      </c>
      <c r="G1144">
        <v>3406028</v>
      </c>
      <c r="H1144">
        <v>3601671</v>
      </c>
      <c r="I1144">
        <v>4283156</v>
      </c>
      <c r="P1144">
        <v>222</v>
      </c>
      <c r="Q1144" t="s">
        <v>2558</v>
      </c>
    </row>
    <row r="1145" spans="1:17" x14ac:dyDescent="0.3">
      <c r="A1145" t="s">
        <v>17</v>
      </c>
      <c r="B1145" t="str">
        <f>"603097"</f>
        <v>603097</v>
      </c>
      <c r="C1145" t="s">
        <v>2559</v>
      </c>
      <c r="F1145">
        <v>36786839</v>
      </c>
      <c r="G1145">
        <v>27249032</v>
      </c>
      <c r="H1145">
        <v>24770175</v>
      </c>
      <c r="I1145">
        <v>22064756</v>
      </c>
      <c r="Q1145" t="s">
        <v>2560</v>
      </c>
    </row>
    <row r="1146" spans="1:17" x14ac:dyDescent="0.3">
      <c r="A1146" t="s">
        <v>17</v>
      </c>
      <c r="B1146" t="str">
        <f>"603098"</f>
        <v>603098</v>
      </c>
      <c r="C1146" t="s">
        <v>2561</v>
      </c>
      <c r="D1146" t="s">
        <v>978</v>
      </c>
      <c r="F1146">
        <v>110152517</v>
      </c>
      <c r="G1146">
        <v>100064981</v>
      </c>
      <c r="H1146">
        <v>124759625</v>
      </c>
      <c r="I1146">
        <v>99366478</v>
      </c>
      <c r="P1146">
        <v>158</v>
      </c>
      <c r="Q1146" t="s">
        <v>2562</v>
      </c>
    </row>
    <row r="1147" spans="1:17" x14ac:dyDescent="0.3">
      <c r="A1147" t="s">
        <v>17</v>
      </c>
      <c r="B1147" t="str">
        <f>"603099"</f>
        <v>603099</v>
      </c>
      <c r="C1147" t="s">
        <v>2563</v>
      </c>
      <c r="D1147" t="s">
        <v>119</v>
      </c>
      <c r="F1147">
        <v>0</v>
      </c>
      <c r="G1147">
        <v>0</v>
      </c>
      <c r="P1147">
        <v>97</v>
      </c>
      <c r="Q1147" t="s">
        <v>2564</v>
      </c>
    </row>
    <row r="1148" spans="1:17" x14ac:dyDescent="0.3">
      <c r="A1148" t="s">
        <v>17</v>
      </c>
      <c r="B1148" t="str">
        <f>"603100"</f>
        <v>603100</v>
      </c>
      <c r="C1148" t="s">
        <v>2565</v>
      </c>
      <c r="D1148" t="s">
        <v>2566</v>
      </c>
      <c r="F1148">
        <v>370874358</v>
      </c>
      <c r="G1148">
        <v>282455712</v>
      </c>
      <c r="H1148">
        <v>252933059</v>
      </c>
      <c r="I1148">
        <v>208424665</v>
      </c>
      <c r="P1148">
        <v>194</v>
      </c>
      <c r="Q1148" t="s">
        <v>2567</v>
      </c>
    </row>
    <row r="1149" spans="1:17" x14ac:dyDescent="0.3">
      <c r="A1149" t="s">
        <v>17</v>
      </c>
      <c r="B1149" t="str">
        <f>"603101"</f>
        <v>603101</v>
      </c>
      <c r="C1149" t="s">
        <v>2568</v>
      </c>
      <c r="D1149" t="s">
        <v>633</v>
      </c>
      <c r="F1149">
        <v>0</v>
      </c>
      <c r="G1149">
        <v>0</v>
      </c>
      <c r="P1149">
        <v>69</v>
      </c>
      <c r="Q1149" t="s">
        <v>2569</v>
      </c>
    </row>
    <row r="1150" spans="1:17" x14ac:dyDescent="0.3">
      <c r="A1150" t="s">
        <v>17</v>
      </c>
      <c r="B1150" t="str">
        <f>"603102"</f>
        <v>603102</v>
      </c>
      <c r="C1150" t="s">
        <v>2570</v>
      </c>
      <c r="F1150">
        <v>24059233</v>
      </c>
      <c r="G1150">
        <v>20743618</v>
      </c>
      <c r="H1150">
        <v>17765802</v>
      </c>
      <c r="I1150">
        <v>17659556</v>
      </c>
      <c r="J1150">
        <v>18884317</v>
      </c>
      <c r="P1150">
        <v>13</v>
      </c>
      <c r="Q1150" t="s">
        <v>2571</v>
      </c>
    </row>
    <row r="1151" spans="1:17" x14ac:dyDescent="0.3">
      <c r="A1151" t="s">
        <v>17</v>
      </c>
      <c r="B1151" t="str">
        <f>"603103"</f>
        <v>603103</v>
      </c>
      <c r="C1151" t="s">
        <v>2572</v>
      </c>
      <c r="D1151" t="s">
        <v>2573</v>
      </c>
      <c r="F1151">
        <v>0</v>
      </c>
      <c r="G1151">
        <v>0</v>
      </c>
      <c r="P1151">
        <v>240</v>
      </c>
      <c r="Q1151" t="s">
        <v>2574</v>
      </c>
    </row>
    <row r="1152" spans="1:17" x14ac:dyDescent="0.3">
      <c r="A1152" t="s">
        <v>17</v>
      </c>
      <c r="B1152" t="str">
        <f>"603105"</f>
        <v>603105</v>
      </c>
      <c r="C1152" t="s">
        <v>2575</v>
      </c>
      <c r="D1152" t="s">
        <v>86</v>
      </c>
      <c r="F1152">
        <v>11435098</v>
      </c>
      <c r="G1152">
        <v>16248982</v>
      </c>
      <c r="H1152">
        <v>14090981</v>
      </c>
      <c r="I1152">
        <v>17227290</v>
      </c>
      <c r="P1152">
        <v>144</v>
      </c>
      <c r="Q1152" t="s">
        <v>2576</v>
      </c>
    </row>
    <row r="1153" spans="1:17" x14ac:dyDescent="0.3">
      <c r="A1153" t="s">
        <v>17</v>
      </c>
      <c r="B1153" t="str">
        <f>"603106"</f>
        <v>603106</v>
      </c>
      <c r="C1153" t="s">
        <v>2577</v>
      </c>
      <c r="D1153" t="s">
        <v>236</v>
      </c>
      <c r="F1153">
        <v>81858954</v>
      </c>
      <c r="G1153">
        <v>101310329</v>
      </c>
      <c r="H1153">
        <v>92625885</v>
      </c>
      <c r="I1153">
        <v>86015544</v>
      </c>
      <c r="P1153">
        <v>2938</v>
      </c>
      <c r="Q1153" t="s">
        <v>2578</v>
      </c>
    </row>
    <row r="1154" spans="1:17" x14ac:dyDescent="0.3">
      <c r="A1154" t="s">
        <v>17</v>
      </c>
      <c r="B1154" t="str">
        <f>"603108"</f>
        <v>603108</v>
      </c>
      <c r="C1154" t="s">
        <v>2579</v>
      </c>
      <c r="D1154" t="s">
        <v>2580</v>
      </c>
      <c r="F1154">
        <v>122710483</v>
      </c>
      <c r="G1154">
        <v>87104715</v>
      </c>
      <c r="H1154">
        <v>59465903</v>
      </c>
      <c r="I1154">
        <v>44308244</v>
      </c>
      <c r="P1154">
        <v>336</v>
      </c>
      <c r="Q1154" t="s">
        <v>2581</v>
      </c>
    </row>
    <row r="1155" spans="1:17" x14ac:dyDescent="0.3">
      <c r="A1155" t="s">
        <v>17</v>
      </c>
      <c r="B1155" t="str">
        <f>"603109"</f>
        <v>603109</v>
      </c>
      <c r="C1155" t="s">
        <v>2582</v>
      </c>
      <c r="D1155" t="s">
        <v>985</v>
      </c>
      <c r="F1155">
        <v>62917485</v>
      </c>
      <c r="G1155">
        <v>44462515</v>
      </c>
      <c r="H1155">
        <v>32173091</v>
      </c>
      <c r="I1155">
        <v>19911217</v>
      </c>
      <c r="J1155">
        <v>16208546</v>
      </c>
      <c r="K1155">
        <v>9921172</v>
      </c>
      <c r="P1155">
        <v>80</v>
      </c>
      <c r="Q1155" t="s">
        <v>2583</v>
      </c>
    </row>
    <row r="1156" spans="1:17" x14ac:dyDescent="0.3">
      <c r="A1156" t="s">
        <v>17</v>
      </c>
      <c r="B1156" t="str">
        <f>"603110"</f>
        <v>603110</v>
      </c>
      <c r="C1156" t="s">
        <v>2584</v>
      </c>
      <c r="D1156" t="s">
        <v>2585</v>
      </c>
      <c r="F1156">
        <v>18082151</v>
      </c>
      <c r="G1156">
        <v>17963978</v>
      </c>
      <c r="H1156">
        <v>17929389</v>
      </c>
      <c r="I1156">
        <v>15402244</v>
      </c>
      <c r="P1156">
        <v>71</v>
      </c>
      <c r="Q1156" t="s">
        <v>2586</v>
      </c>
    </row>
    <row r="1157" spans="1:17" x14ac:dyDescent="0.3">
      <c r="A1157" t="s">
        <v>17</v>
      </c>
      <c r="B1157" t="str">
        <f>"603111"</f>
        <v>603111</v>
      </c>
      <c r="C1157" t="s">
        <v>2587</v>
      </c>
      <c r="D1157" t="s">
        <v>1012</v>
      </c>
      <c r="F1157">
        <v>285121780</v>
      </c>
      <c r="G1157">
        <v>256198635</v>
      </c>
      <c r="H1157">
        <v>241986308</v>
      </c>
      <c r="I1157">
        <v>247134855</v>
      </c>
      <c r="P1157">
        <v>440</v>
      </c>
      <c r="Q1157" t="s">
        <v>2588</v>
      </c>
    </row>
    <row r="1158" spans="1:17" x14ac:dyDescent="0.3">
      <c r="A1158" t="s">
        <v>17</v>
      </c>
      <c r="B1158" t="str">
        <f>"603112"</f>
        <v>603112</v>
      </c>
      <c r="C1158" t="s">
        <v>2589</v>
      </c>
      <c r="D1158" t="s">
        <v>1253</v>
      </c>
      <c r="F1158">
        <v>98326081</v>
      </c>
      <c r="G1158">
        <v>88527635</v>
      </c>
      <c r="H1158">
        <v>86396843</v>
      </c>
      <c r="I1158">
        <v>82303680</v>
      </c>
      <c r="J1158">
        <v>80672496</v>
      </c>
      <c r="K1158">
        <v>74444674</v>
      </c>
      <c r="P1158">
        <v>48</v>
      </c>
      <c r="Q1158" t="s">
        <v>2590</v>
      </c>
    </row>
    <row r="1159" spans="1:17" x14ac:dyDescent="0.3">
      <c r="A1159" t="s">
        <v>17</v>
      </c>
      <c r="B1159" t="str">
        <f>"603113"</f>
        <v>603113</v>
      </c>
      <c r="C1159" t="s">
        <v>2591</v>
      </c>
      <c r="D1159" t="s">
        <v>885</v>
      </c>
      <c r="F1159">
        <v>162021605</v>
      </c>
      <c r="G1159">
        <v>58562494</v>
      </c>
      <c r="H1159">
        <v>26166369</v>
      </c>
      <c r="I1159">
        <v>18714474</v>
      </c>
      <c r="P1159">
        <v>302</v>
      </c>
      <c r="Q1159" t="s">
        <v>2592</v>
      </c>
    </row>
    <row r="1160" spans="1:17" x14ac:dyDescent="0.3">
      <c r="A1160" t="s">
        <v>17</v>
      </c>
      <c r="B1160" t="str">
        <f>"603115"</f>
        <v>603115</v>
      </c>
      <c r="C1160" t="s">
        <v>2593</v>
      </c>
      <c r="D1160" t="s">
        <v>504</v>
      </c>
      <c r="F1160">
        <v>105364887</v>
      </c>
      <c r="G1160">
        <v>78860331</v>
      </c>
      <c r="H1160">
        <v>72497954</v>
      </c>
      <c r="I1160">
        <v>50748394</v>
      </c>
      <c r="J1160">
        <v>42755298</v>
      </c>
      <c r="K1160">
        <v>36444528</v>
      </c>
      <c r="P1160">
        <v>88</v>
      </c>
      <c r="Q1160" t="s">
        <v>2594</v>
      </c>
    </row>
    <row r="1161" spans="1:17" x14ac:dyDescent="0.3">
      <c r="A1161" t="s">
        <v>17</v>
      </c>
      <c r="B1161" t="str">
        <f>"603116"</f>
        <v>603116</v>
      </c>
      <c r="C1161" t="s">
        <v>2595</v>
      </c>
      <c r="D1161" t="s">
        <v>330</v>
      </c>
      <c r="F1161">
        <v>39244357</v>
      </c>
      <c r="G1161">
        <v>38153621</v>
      </c>
      <c r="H1161">
        <v>44565763</v>
      </c>
      <c r="I1161">
        <v>48376789</v>
      </c>
      <c r="P1161">
        <v>102</v>
      </c>
      <c r="Q1161" t="s">
        <v>2596</v>
      </c>
    </row>
    <row r="1162" spans="1:17" x14ac:dyDescent="0.3">
      <c r="A1162" t="s">
        <v>17</v>
      </c>
      <c r="B1162" t="str">
        <f>"603117"</f>
        <v>603117</v>
      </c>
      <c r="C1162" t="s">
        <v>2597</v>
      </c>
      <c r="D1162" t="s">
        <v>287</v>
      </c>
      <c r="F1162">
        <v>0</v>
      </c>
      <c r="G1162">
        <v>0</v>
      </c>
      <c r="P1162">
        <v>64</v>
      </c>
      <c r="Q1162" t="s">
        <v>2598</v>
      </c>
    </row>
    <row r="1163" spans="1:17" x14ac:dyDescent="0.3">
      <c r="A1163" t="s">
        <v>17</v>
      </c>
      <c r="B1163" t="str">
        <f>"603118"</f>
        <v>603118</v>
      </c>
      <c r="C1163" t="s">
        <v>2599</v>
      </c>
      <c r="D1163" t="s">
        <v>786</v>
      </c>
      <c r="F1163">
        <v>478879650</v>
      </c>
      <c r="G1163">
        <v>397665057</v>
      </c>
      <c r="H1163">
        <v>423278399</v>
      </c>
      <c r="I1163">
        <v>380565332</v>
      </c>
      <c r="P1163">
        <v>243</v>
      </c>
      <c r="Q1163" t="s">
        <v>2600</v>
      </c>
    </row>
    <row r="1164" spans="1:17" x14ac:dyDescent="0.3">
      <c r="A1164" t="s">
        <v>17</v>
      </c>
      <c r="B1164" t="str">
        <f>"603121"</f>
        <v>603121</v>
      </c>
      <c r="C1164" t="s">
        <v>2601</v>
      </c>
      <c r="D1164" t="s">
        <v>348</v>
      </c>
      <c r="F1164">
        <v>50524112</v>
      </c>
      <c r="G1164">
        <v>30115813</v>
      </c>
      <c r="H1164">
        <v>33655873</v>
      </c>
      <c r="I1164">
        <v>36919701</v>
      </c>
      <c r="J1164">
        <v>26490834</v>
      </c>
      <c r="K1164">
        <v>23509972</v>
      </c>
      <c r="L1164">
        <v>14119169</v>
      </c>
      <c r="P1164">
        <v>77</v>
      </c>
      <c r="Q1164" t="s">
        <v>2602</v>
      </c>
    </row>
    <row r="1165" spans="1:17" x14ac:dyDescent="0.3">
      <c r="A1165" t="s">
        <v>17</v>
      </c>
      <c r="B1165" t="str">
        <f>"603122"</f>
        <v>603122</v>
      </c>
      <c r="C1165" t="s">
        <v>2603</v>
      </c>
      <c r="F1165">
        <v>0</v>
      </c>
      <c r="G1165">
        <v>0</v>
      </c>
      <c r="H1165">
        <v>0</v>
      </c>
      <c r="I1165">
        <v>0</v>
      </c>
      <c r="J1165">
        <v>0</v>
      </c>
      <c r="P1165">
        <v>12</v>
      </c>
      <c r="Q1165" t="s">
        <v>2604</v>
      </c>
    </row>
    <row r="1166" spans="1:17" x14ac:dyDescent="0.3">
      <c r="A1166" t="s">
        <v>17</v>
      </c>
      <c r="B1166" t="str">
        <f>"603123"</f>
        <v>603123</v>
      </c>
      <c r="C1166" t="s">
        <v>2605</v>
      </c>
      <c r="D1166" t="s">
        <v>633</v>
      </c>
      <c r="F1166">
        <v>85737576</v>
      </c>
      <c r="G1166">
        <v>88627660</v>
      </c>
      <c r="P1166">
        <v>100</v>
      </c>
      <c r="Q1166" t="s">
        <v>2606</v>
      </c>
    </row>
    <row r="1167" spans="1:17" x14ac:dyDescent="0.3">
      <c r="A1167" t="s">
        <v>17</v>
      </c>
      <c r="B1167" t="str">
        <f>"603126"</f>
        <v>603126</v>
      </c>
      <c r="C1167" t="s">
        <v>2607</v>
      </c>
      <c r="D1167" t="s">
        <v>499</v>
      </c>
      <c r="F1167">
        <v>145275496</v>
      </c>
      <c r="G1167">
        <v>97331456</v>
      </c>
      <c r="H1167">
        <v>93829595</v>
      </c>
      <c r="I1167">
        <v>68848719</v>
      </c>
      <c r="P1167">
        <v>195</v>
      </c>
      <c r="Q1167" t="s">
        <v>2608</v>
      </c>
    </row>
    <row r="1168" spans="1:17" x14ac:dyDescent="0.3">
      <c r="A1168" t="s">
        <v>17</v>
      </c>
      <c r="B1168" t="str">
        <f>"603127"</f>
        <v>603127</v>
      </c>
      <c r="C1168" t="s">
        <v>2609</v>
      </c>
      <c r="D1168" t="s">
        <v>1461</v>
      </c>
      <c r="F1168">
        <v>47755578</v>
      </c>
      <c r="G1168">
        <v>50658967</v>
      </c>
      <c r="H1168">
        <v>39627370</v>
      </c>
      <c r="I1168">
        <v>23689538</v>
      </c>
      <c r="P1168">
        <v>1812</v>
      </c>
      <c r="Q1168" t="s">
        <v>2610</v>
      </c>
    </row>
    <row r="1169" spans="1:17" x14ac:dyDescent="0.3">
      <c r="A1169" t="s">
        <v>17</v>
      </c>
      <c r="B1169" t="str">
        <f>"603128"</f>
        <v>603128</v>
      </c>
      <c r="C1169" t="s">
        <v>2611</v>
      </c>
      <c r="D1169" t="s">
        <v>287</v>
      </c>
      <c r="F1169">
        <v>37814999</v>
      </c>
      <c r="G1169">
        <v>18276115</v>
      </c>
      <c r="H1169">
        <v>17765745</v>
      </c>
      <c r="I1169">
        <v>17752534</v>
      </c>
      <c r="P1169">
        <v>273</v>
      </c>
      <c r="Q1169" t="s">
        <v>2612</v>
      </c>
    </row>
    <row r="1170" spans="1:17" x14ac:dyDescent="0.3">
      <c r="A1170" t="s">
        <v>17</v>
      </c>
      <c r="B1170" t="str">
        <f>"603129"</f>
        <v>603129</v>
      </c>
      <c r="C1170" t="s">
        <v>2613</v>
      </c>
      <c r="D1170" t="s">
        <v>1656</v>
      </c>
      <c r="F1170">
        <v>379000323</v>
      </c>
      <c r="G1170">
        <v>236363250</v>
      </c>
      <c r="H1170">
        <v>182706807</v>
      </c>
      <c r="I1170">
        <v>162626421</v>
      </c>
      <c r="P1170">
        <v>625</v>
      </c>
      <c r="Q1170" t="s">
        <v>2614</v>
      </c>
    </row>
    <row r="1171" spans="1:17" x14ac:dyDescent="0.3">
      <c r="A1171" t="s">
        <v>17</v>
      </c>
      <c r="B1171" t="str">
        <f>"603131"</f>
        <v>603131</v>
      </c>
      <c r="C1171" t="s">
        <v>2615</v>
      </c>
      <c r="D1171" t="s">
        <v>560</v>
      </c>
      <c r="F1171">
        <v>56765342</v>
      </c>
      <c r="G1171">
        <v>53284893</v>
      </c>
      <c r="H1171">
        <v>53341195</v>
      </c>
      <c r="I1171">
        <v>40673501</v>
      </c>
      <c r="P1171">
        <v>143</v>
      </c>
      <c r="Q1171" t="s">
        <v>2616</v>
      </c>
    </row>
    <row r="1172" spans="1:17" x14ac:dyDescent="0.3">
      <c r="A1172" t="s">
        <v>17</v>
      </c>
      <c r="B1172" t="str">
        <f>"603132"</f>
        <v>603132</v>
      </c>
      <c r="C1172" t="s">
        <v>2617</v>
      </c>
      <c r="F1172">
        <v>43003700</v>
      </c>
      <c r="G1172">
        <v>37261263</v>
      </c>
      <c r="H1172">
        <v>24418295</v>
      </c>
      <c r="I1172">
        <v>18967658</v>
      </c>
      <c r="P1172">
        <v>10</v>
      </c>
      <c r="Q1172" t="s">
        <v>2618</v>
      </c>
    </row>
    <row r="1173" spans="1:17" x14ac:dyDescent="0.3">
      <c r="A1173" t="s">
        <v>17</v>
      </c>
      <c r="B1173" t="str">
        <f>"603133"</f>
        <v>603133</v>
      </c>
      <c r="C1173" t="s">
        <v>2619</v>
      </c>
      <c r="D1173" t="s">
        <v>313</v>
      </c>
      <c r="F1173">
        <v>24925860</v>
      </c>
      <c r="G1173">
        <v>54522157</v>
      </c>
      <c r="H1173">
        <v>52330354</v>
      </c>
      <c r="I1173">
        <v>26755193</v>
      </c>
      <c r="P1173">
        <v>138</v>
      </c>
      <c r="Q1173" t="s">
        <v>2620</v>
      </c>
    </row>
    <row r="1174" spans="1:17" x14ac:dyDescent="0.3">
      <c r="A1174" t="s">
        <v>17</v>
      </c>
      <c r="B1174" t="str">
        <f>"603136"</f>
        <v>603136</v>
      </c>
      <c r="C1174" t="s">
        <v>2621</v>
      </c>
      <c r="D1174" t="s">
        <v>333</v>
      </c>
      <c r="F1174">
        <v>0</v>
      </c>
      <c r="G1174">
        <v>0</v>
      </c>
      <c r="P1174">
        <v>194</v>
      </c>
      <c r="Q1174" t="s">
        <v>2622</v>
      </c>
    </row>
    <row r="1175" spans="1:17" x14ac:dyDescent="0.3">
      <c r="A1175" t="s">
        <v>17</v>
      </c>
      <c r="B1175" t="str">
        <f>"603138"</f>
        <v>603138</v>
      </c>
      <c r="C1175" t="s">
        <v>2623</v>
      </c>
      <c r="D1175" t="s">
        <v>316</v>
      </c>
      <c r="F1175">
        <v>73610953</v>
      </c>
      <c r="G1175">
        <v>47679432</v>
      </c>
      <c r="H1175">
        <v>47446529</v>
      </c>
      <c r="I1175">
        <v>39895903</v>
      </c>
      <c r="P1175">
        <v>147</v>
      </c>
      <c r="Q1175" t="s">
        <v>2624</v>
      </c>
    </row>
    <row r="1176" spans="1:17" x14ac:dyDescent="0.3">
      <c r="A1176" t="s">
        <v>17</v>
      </c>
      <c r="B1176" t="str">
        <f>"603139"</f>
        <v>603139</v>
      </c>
      <c r="C1176" t="s">
        <v>2625</v>
      </c>
      <c r="D1176" t="s">
        <v>188</v>
      </c>
      <c r="F1176">
        <v>10148015</v>
      </c>
      <c r="G1176">
        <v>10361429</v>
      </c>
      <c r="H1176">
        <v>8216775</v>
      </c>
      <c r="I1176">
        <v>6511437</v>
      </c>
      <c r="P1176">
        <v>97</v>
      </c>
      <c r="Q1176" t="s">
        <v>2626</v>
      </c>
    </row>
    <row r="1177" spans="1:17" x14ac:dyDescent="0.3">
      <c r="A1177" t="s">
        <v>17</v>
      </c>
      <c r="B1177" t="str">
        <f>"603150"</f>
        <v>603150</v>
      </c>
      <c r="C1177" t="s">
        <v>2627</v>
      </c>
      <c r="F1177">
        <v>54036464</v>
      </c>
      <c r="G1177">
        <v>46771055</v>
      </c>
      <c r="H1177">
        <v>33345163</v>
      </c>
      <c r="I1177">
        <v>33764832</v>
      </c>
      <c r="P1177">
        <v>5</v>
      </c>
      <c r="Q1177" t="s">
        <v>2628</v>
      </c>
    </row>
    <row r="1178" spans="1:17" x14ac:dyDescent="0.3">
      <c r="A1178" t="s">
        <v>17</v>
      </c>
      <c r="B1178" t="str">
        <f>"603155"</f>
        <v>603155</v>
      </c>
      <c r="C1178" t="s">
        <v>2629</v>
      </c>
      <c r="D1178" t="s">
        <v>1205</v>
      </c>
      <c r="F1178">
        <v>28158870</v>
      </c>
      <c r="G1178">
        <v>18031997</v>
      </c>
      <c r="H1178">
        <v>25117832</v>
      </c>
      <c r="I1178">
        <v>20041434</v>
      </c>
      <c r="J1178">
        <v>9184263</v>
      </c>
      <c r="P1178">
        <v>76</v>
      </c>
      <c r="Q1178" t="s">
        <v>2630</v>
      </c>
    </row>
    <row r="1179" spans="1:17" x14ac:dyDescent="0.3">
      <c r="A1179" t="s">
        <v>17</v>
      </c>
      <c r="B1179" t="str">
        <f>"603156"</f>
        <v>603156</v>
      </c>
      <c r="C1179" t="s">
        <v>2631</v>
      </c>
      <c r="D1179" t="s">
        <v>440</v>
      </c>
      <c r="F1179">
        <v>62200338</v>
      </c>
      <c r="G1179">
        <v>59199942</v>
      </c>
      <c r="H1179">
        <v>56600897</v>
      </c>
      <c r="I1179">
        <v>21463150</v>
      </c>
      <c r="P1179">
        <v>1237</v>
      </c>
      <c r="Q1179" t="s">
        <v>2632</v>
      </c>
    </row>
    <row r="1180" spans="1:17" x14ac:dyDescent="0.3">
      <c r="A1180" t="s">
        <v>17</v>
      </c>
      <c r="B1180" t="str">
        <f>"603157"</f>
        <v>603157</v>
      </c>
      <c r="C1180" t="s">
        <v>2633</v>
      </c>
      <c r="D1180" t="s">
        <v>255</v>
      </c>
      <c r="F1180">
        <v>0</v>
      </c>
      <c r="G1180">
        <v>0</v>
      </c>
      <c r="P1180">
        <v>88</v>
      </c>
      <c r="Q1180" t="s">
        <v>2634</v>
      </c>
    </row>
    <row r="1181" spans="1:17" x14ac:dyDescent="0.3">
      <c r="A1181" t="s">
        <v>17</v>
      </c>
      <c r="B1181" t="str">
        <f>"603158"</f>
        <v>603158</v>
      </c>
      <c r="C1181" t="s">
        <v>2635</v>
      </c>
      <c r="D1181" t="s">
        <v>348</v>
      </c>
      <c r="F1181">
        <v>102402265</v>
      </c>
      <c r="G1181">
        <v>91400706</v>
      </c>
      <c r="H1181">
        <v>64326780</v>
      </c>
      <c r="I1181">
        <v>60098808</v>
      </c>
      <c r="P1181">
        <v>145</v>
      </c>
      <c r="Q1181" t="s">
        <v>2636</v>
      </c>
    </row>
    <row r="1182" spans="1:17" x14ac:dyDescent="0.3">
      <c r="A1182" t="s">
        <v>17</v>
      </c>
      <c r="B1182" t="str">
        <f>"603159"</f>
        <v>603159</v>
      </c>
      <c r="C1182" t="s">
        <v>2637</v>
      </c>
      <c r="D1182" t="s">
        <v>741</v>
      </c>
      <c r="F1182">
        <v>22966772</v>
      </c>
      <c r="G1182">
        <v>21087456</v>
      </c>
      <c r="H1182">
        <v>21267816</v>
      </c>
      <c r="I1182">
        <v>26877089</v>
      </c>
      <c r="P1182">
        <v>62</v>
      </c>
      <c r="Q1182" t="s">
        <v>2638</v>
      </c>
    </row>
    <row r="1183" spans="1:17" x14ac:dyDescent="0.3">
      <c r="A1183" t="s">
        <v>17</v>
      </c>
      <c r="B1183" t="str">
        <f>"603160"</f>
        <v>603160</v>
      </c>
      <c r="C1183" t="s">
        <v>2639</v>
      </c>
      <c r="D1183" t="s">
        <v>401</v>
      </c>
      <c r="F1183">
        <v>1691994165</v>
      </c>
      <c r="G1183">
        <v>1754021490</v>
      </c>
      <c r="H1183">
        <v>1079061260</v>
      </c>
      <c r="I1183">
        <v>838327765</v>
      </c>
      <c r="P1183">
        <v>2243</v>
      </c>
      <c r="Q1183" t="s">
        <v>2640</v>
      </c>
    </row>
    <row r="1184" spans="1:17" x14ac:dyDescent="0.3">
      <c r="A1184" t="s">
        <v>17</v>
      </c>
      <c r="B1184" t="str">
        <f>"603161"</f>
        <v>603161</v>
      </c>
      <c r="C1184" t="s">
        <v>2641</v>
      </c>
      <c r="D1184" t="s">
        <v>348</v>
      </c>
      <c r="F1184">
        <v>66563176</v>
      </c>
      <c r="G1184">
        <v>59960397</v>
      </c>
      <c r="H1184">
        <v>62451566</v>
      </c>
      <c r="I1184">
        <v>58611869</v>
      </c>
      <c r="P1184">
        <v>81</v>
      </c>
      <c r="Q1184" t="s">
        <v>2642</v>
      </c>
    </row>
    <row r="1185" spans="1:17" x14ac:dyDescent="0.3">
      <c r="A1185" t="s">
        <v>17</v>
      </c>
      <c r="B1185" t="str">
        <f>"603165"</f>
        <v>603165</v>
      </c>
      <c r="C1185" t="s">
        <v>2643</v>
      </c>
      <c r="D1185" t="s">
        <v>694</v>
      </c>
      <c r="F1185">
        <v>108822506</v>
      </c>
      <c r="G1185">
        <v>86863868</v>
      </c>
      <c r="H1185">
        <v>73037075</v>
      </c>
      <c r="I1185">
        <v>75773222</v>
      </c>
      <c r="P1185">
        <v>585</v>
      </c>
      <c r="Q1185" t="s">
        <v>2644</v>
      </c>
    </row>
    <row r="1186" spans="1:17" x14ac:dyDescent="0.3">
      <c r="A1186" t="s">
        <v>17</v>
      </c>
      <c r="B1186" t="str">
        <f>"603166"</f>
        <v>603166</v>
      </c>
      <c r="C1186" t="s">
        <v>2645</v>
      </c>
      <c r="D1186" t="s">
        <v>348</v>
      </c>
      <c r="F1186">
        <v>101726073</v>
      </c>
      <c r="G1186">
        <v>89356776</v>
      </c>
      <c r="H1186">
        <v>77564705</v>
      </c>
      <c r="I1186">
        <v>68431136</v>
      </c>
      <c r="P1186">
        <v>141</v>
      </c>
      <c r="Q1186" t="s">
        <v>2646</v>
      </c>
    </row>
    <row r="1187" spans="1:17" x14ac:dyDescent="0.3">
      <c r="A1187" t="s">
        <v>17</v>
      </c>
      <c r="B1187" t="str">
        <f>"603167"</f>
        <v>603167</v>
      </c>
      <c r="C1187" t="s">
        <v>2647</v>
      </c>
      <c r="D1187" t="s">
        <v>69</v>
      </c>
      <c r="F1187">
        <v>0</v>
      </c>
      <c r="G1187">
        <v>0</v>
      </c>
      <c r="P1187">
        <v>239</v>
      </c>
      <c r="Q1187" t="s">
        <v>2648</v>
      </c>
    </row>
    <row r="1188" spans="1:17" x14ac:dyDescent="0.3">
      <c r="A1188" t="s">
        <v>17</v>
      </c>
      <c r="B1188" t="str">
        <f>"603168"</f>
        <v>603168</v>
      </c>
      <c r="C1188" t="s">
        <v>2649</v>
      </c>
      <c r="D1188" t="s">
        <v>143</v>
      </c>
      <c r="F1188">
        <v>102213750</v>
      </c>
      <c r="G1188">
        <v>27800949</v>
      </c>
      <c r="H1188">
        <v>26989476</v>
      </c>
      <c r="I1188">
        <v>26562464</v>
      </c>
      <c r="P1188">
        <v>528</v>
      </c>
      <c r="Q1188" t="s">
        <v>2650</v>
      </c>
    </row>
    <row r="1189" spans="1:17" x14ac:dyDescent="0.3">
      <c r="A1189" t="s">
        <v>17</v>
      </c>
      <c r="B1189" t="str">
        <f>"603169"</f>
        <v>603169</v>
      </c>
      <c r="C1189" t="s">
        <v>2651</v>
      </c>
      <c r="D1189" t="s">
        <v>395</v>
      </c>
      <c r="F1189">
        <v>92167263</v>
      </c>
      <c r="G1189">
        <v>31667805</v>
      </c>
      <c r="H1189">
        <v>30615713</v>
      </c>
      <c r="I1189">
        <v>37737420</v>
      </c>
      <c r="P1189">
        <v>81</v>
      </c>
      <c r="Q1189" t="s">
        <v>2652</v>
      </c>
    </row>
    <row r="1190" spans="1:17" x14ac:dyDescent="0.3">
      <c r="A1190" t="s">
        <v>17</v>
      </c>
      <c r="B1190" t="str">
        <f>"603171"</f>
        <v>603171</v>
      </c>
      <c r="C1190" t="s">
        <v>2653</v>
      </c>
      <c r="D1190" t="s">
        <v>316</v>
      </c>
      <c r="F1190">
        <v>378452553</v>
      </c>
      <c r="G1190">
        <v>334037962</v>
      </c>
      <c r="H1190">
        <v>306504918</v>
      </c>
      <c r="I1190">
        <v>260166221</v>
      </c>
      <c r="J1190">
        <v>198224269</v>
      </c>
      <c r="P1190">
        <v>54</v>
      </c>
      <c r="Q1190" t="s">
        <v>2654</v>
      </c>
    </row>
    <row r="1191" spans="1:17" x14ac:dyDescent="0.3">
      <c r="A1191" t="s">
        <v>17</v>
      </c>
      <c r="B1191" t="str">
        <f>"603176"</f>
        <v>603176</v>
      </c>
      <c r="C1191" t="s">
        <v>2655</v>
      </c>
      <c r="D1191" t="s">
        <v>101</v>
      </c>
      <c r="F1191">
        <v>0</v>
      </c>
      <c r="G1191">
        <v>0</v>
      </c>
      <c r="H1191">
        <v>0</v>
      </c>
      <c r="I1191">
        <v>0</v>
      </c>
      <c r="J1191">
        <v>0</v>
      </c>
      <c r="P1191">
        <v>17</v>
      </c>
      <c r="Q1191" t="s">
        <v>2656</v>
      </c>
    </row>
    <row r="1192" spans="1:17" x14ac:dyDescent="0.3">
      <c r="A1192" t="s">
        <v>17</v>
      </c>
      <c r="B1192" t="str">
        <f>"603177"</f>
        <v>603177</v>
      </c>
      <c r="C1192" t="s">
        <v>2657</v>
      </c>
      <c r="D1192" t="s">
        <v>663</v>
      </c>
      <c r="F1192">
        <v>30919559</v>
      </c>
      <c r="G1192">
        <v>28518698</v>
      </c>
      <c r="H1192">
        <v>27533372</v>
      </c>
      <c r="I1192">
        <v>26512046</v>
      </c>
      <c r="P1192">
        <v>68</v>
      </c>
      <c r="Q1192" t="s">
        <v>2658</v>
      </c>
    </row>
    <row r="1193" spans="1:17" x14ac:dyDescent="0.3">
      <c r="A1193" t="s">
        <v>17</v>
      </c>
      <c r="B1193" t="str">
        <f>"603178"</f>
        <v>603178</v>
      </c>
      <c r="C1193" t="s">
        <v>2659</v>
      </c>
      <c r="D1193" t="s">
        <v>348</v>
      </c>
      <c r="F1193">
        <v>72406870</v>
      </c>
      <c r="G1193">
        <v>53839242</v>
      </c>
      <c r="H1193">
        <v>65205207</v>
      </c>
      <c r="I1193">
        <v>75987649</v>
      </c>
      <c r="P1193">
        <v>80</v>
      </c>
      <c r="Q1193" t="s">
        <v>2660</v>
      </c>
    </row>
    <row r="1194" spans="1:17" x14ac:dyDescent="0.3">
      <c r="A1194" t="s">
        <v>17</v>
      </c>
      <c r="B1194" t="str">
        <f>"603179"</f>
        <v>603179</v>
      </c>
      <c r="C1194" t="s">
        <v>2661</v>
      </c>
      <c r="D1194" t="s">
        <v>1415</v>
      </c>
      <c r="F1194">
        <v>224734544</v>
      </c>
      <c r="G1194">
        <v>150793347</v>
      </c>
      <c r="H1194">
        <v>136617650</v>
      </c>
      <c r="I1194">
        <v>124668720</v>
      </c>
      <c r="P1194">
        <v>302</v>
      </c>
      <c r="Q1194" t="s">
        <v>2662</v>
      </c>
    </row>
    <row r="1195" spans="1:17" x14ac:dyDescent="0.3">
      <c r="A1195" t="s">
        <v>17</v>
      </c>
      <c r="B1195" t="str">
        <f>"603180"</f>
        <v>603180</v>
      </c>
      <c r="C1195" t="s">
        <v>2663</v>
      </c>
      <c r="D1195" t="s">
        <v>2664</v>
      </c>
      <c r="F1195">
        <v>176811919</v>
      </c>
      <c r="G1195">
        <v>134059335</v>
      </c>
      <c r="H1195">
        <v>104037178</v>
      </c>
      <c r="I1195">
        <v>79555826</v>
      </c>
      <c r="P1195">
        <v>1306</v>
      </c>
      <c r="Q1195" t="s">
        <v>2665</v>
      </c>
    </row>
    <row r="1196" spans="1:17" x14ac:dyDescent="0.3">
      <c r="A1196" t="s">
        <v>17</v>
      </c>
      <c r="B1196" t="str">
        <f>"603181"</f>
        <v>603181</v>
      </c>
      <c r="C1196" t="s">
        <v>2666</v>
      </c>
      <c r="D1196" t="s">
        <v>1192</v>
      </c>
      <c r="F1196">
        <v>91861065</v>
      </c>
      <c r="G1196">
        <v>75484166</v>
      </c>
      <c r="H1196">
        <v>70634018</v>
      </c>
      <c r="I1196">
        <v>62087873</v>
      </c>
      <c r="P1196">
        <v>160</v>
      </c>
      <c r="Q1196" t="s">
        <v>2667</v>
      </c>
    </row>
    <row r="1197" spans="1:17" x14ac:dyDescent="0.3">
      <c r="A1197" t="s">
        <v>17</v>
      </c>
      <c r="B1197" t="str">
        <f>"603183"</f>
        <v>603183</v>
      </c>
      <c r="C1197" t="s">
        <v>2668</v>
      </c>
      <c r="D1197" t="s">
        <v>2510</v>
      </c>
      <c r="F1197">
        <v>60535528</v>
      </c>
      <c r="G1197">
        <v>44235297</v>
      </c>
      <c r="H1197">
        <v>28420091</v>
      </c>
      <c r="I1197">
        <v>19643362</v>
      </c>
      <c r="P1197">
        <v>92</v>
      </c>
      <c r="Q1197" t="s">
        <v>2669</v>
      </c>
    </row>
    <row r="1198" spans="1:17" x14ac:dyDescent="0.3">
      <c r="A1198" t="s">
        <v>17</v>
      </c>
      <c r="B1198" t="str">
        <f>"603185"</f>
        <v>603185</v>
      </c>
      <c r="C1198" t="s">
        <v>2670</v>
      </c>
      <c r="D1198" t="s">
        <v>2671</v>
      </c>
      <c r="F1198">
        <v>386717253</v>
      </c>
      <c r="G1198">
        <v>128484277</v>
      </c>
      <c r="H1198">
        <v>41259557</v>
      </c>
      <c r="I1198">
        <v>26555553</v>
      </c>
      <c r="J1198">
        <v>25151197</v>
      </c>
      <c r="K1198">
        <v>13438445</v>
      </c>
      <c r="L1198">
        <v>9705121</v>
      </c>
      <c r="P1198">
        <v>518</v>
      </c>
      <c r="Q1198" t="s">
        <v>2672</v>
      </c>
    </row>
    <row r="1199" spans="1:17" x14ac:dyDescent="0.3">
      <c r="A1199" t="s">
        <v>17</v>
      </c>
      <c r="B1199" t="str">
        <f>"603186"</f>
        <v>603186</v>
      </c>
      <c r="C1199" t="s">
        <v>2673</v>
      </c>
      <c r="D1199" t="s">
        <v>425</v>
      </c>
      <c r="F1199">
        <v>146381251</v>
      </c>
      <c r="G1199">
        <v>112444171</v>
      </c>
      <c r="H1199">
        <v>117118869</v>
      </c>
      <c r="I1199">
        <v>84109026</v>
      </c>
      <c r="P1199">
        <v>328</v>
      </c>
      <c r="Q1199" t="s">
        <v>2674</v>
      </c>
    </row>
    <row r="1200" spans="1:17" x14ac:dyDescent="0.3">
      <c r="A1200" t="s">
        <v>17</v>
      </c>
      <c r="B1200" t="str">
        <f>"603187"</f>
        <v>603187</v>
      </c>
      <c r="C1200" t="s">
        <v>2675</v>
      </c>
      <c r="D1200" t="s">
        <v>988</v>
      </c>
      <c r="F1200">
        <v>85654721</v>
      </c>
      <c r="G1200">
        <v>57774776</v>
      </c>
      <c r="H1200">
        <v>47259330</v>
      </c>
      <c r="I1200">
        <v>37901563</v>
      </c>
      <c r="P1200">
        <v>704</v>
      </c>
      <c r="Q1200" t="s">
        <v>2676</v>
      </c>
    </row>
    <row r="1201" spans="1:17" x14ac:dyDescent="0.3">
      <c r="A1201" t="s">
        <v>17</v>
      </c>
      <c r="B1201" t="str">
        <f>"603188"</f>
        <v>603188</v>
      </c>
      <c r="C1201" t="s">
        <v>2677</v>
      </c>
      <c r="D1201" t="s">
        <v>779</v>
      </c>
      <c r="F1201">
        <v>49011266</v>
      </c>
      <c r="G1201">
        <v>50379404</v>
      </c>
      <c r="H1201">
        <v>56908770</v>
      </c>
      <c r="I1201">
        <v>76877391</v>
      </c>
      <c r="P1201">
        <v>205</v>
      </c>
      <c r="Q1201" t="s">
        <v>2678</v>
      </c>
    </row>
    <row r="1202" spans="1:17" x14ac:dyDescent="0.3">
      <c r="A1202" t="s">
        <v>17</v>
      </c>
      <c r="B1202" t="str">
        <f>"603189"</f>
        <v>603189</v>
      </c>
      <c r="C1202" t="s">
        <v>2679</v>
      </c>
      <c r="D1202" t="s">
        <v>945</v>
      </c>
      <c r="F1202">
        <v>56594555</v>
      </c>
      <c r="G1202">
        <v>58548484</v>
      </c>
      <c r="H1202">
        <v>58946950</v>
      </c>
      <c r="I1202">
        <v>48251775</v>
      </c>
      <c r="P1202">
        <v>166</v>
      </c>
      <c r="Q1202" t="s">
        <v>2680</v>
      </c>
    </row>
    <row r="1203" spans="1:17" x14ac:dyDescent="0.3">
      <c r="A1203" t="s">
        <v>17</v>
      </c>
      <c r="B1203" t="str">
        <f>"603191"</f>
        <v>603191</v>
      </c>
      <c r="C1203" t="s">
        <v>2681</v>
      </c>
      <c r="F1203">
        <v>18558644</v>
      </c>
      <c r="G1203">
        <v>18064059</v>
      </c>
      <c r="H1203">
        <v>16265910</v>
      </c>
      <c r="I1203">
        <v>15866500</v>
      </c>
      <c r="P1203">
        <v>5</v>
      </c>
      <c r="Q1203" t="s">
        <v>2682</v>
      </c>
    </row>
    <row r="1204" spans="1:17" x14ac:dyDescent="0.3">
      <c r="A1204" t="s">
        <v>17</v>
      </c>
      <c r="B1204" t="str">
        <f>"603192"</f>
        <v>603192</v>
      </c>
      <c r="C1204" t="s">
        <v>2683</v>
      </c>
      <c r="D1204" t="s">
        <v>528</v>
      </c>
      <c r="F1204">
        <v>113126408</v>
      </c>
      <c r="G1204">
        <v>68777622</v>
      </c>
      <c r="H1204">
        <v>63240926</v>
      </c>
      <c r="I1204">
        <v>66595286</v>
      </c>
      <c r="J1204">
        <v>62209430</v>
      </c>
      <c r="P1204">
        <v>82</v>
      </c>
      <c r="Q1204" t="s">
        <v>2684</v>
      </c>
    </row>
    <row r="1205" spans="1:17" x14ac:dyDescent="0.3">
      <c r="A1205" t="s">
        <v>17</v>
      </c>
      <c r="B1205" t="str">
        <f>"603195"</f>
        <v>603195</v>
      </c>
      <c r="C1205" t="s">
        <v>2685</v>
      </c>
      <c r="D1205" t="s">
        <v>2445</v>
      </c>
      <c r="F1205">
        <v>471015017</v>
      </c>
      <c r="G1205">
        <v>401181690</v>
      </c>
      <c r="H1205">
        <v>393094963</v>
      </c>
      <c r="I1205">
        <v>350811909</v>
      </c>
      <c r="J1205">
        <v>286651700</v>
      </c>
      <c r="K1205">
        <v>179752392</v>
      </c>
      <c r="P1205">
        <v>1473</v>
      </c>
      <c r="Q1205" t="s">
        <v>2686</v>
      </c>
    </row>
    <row r="1206" spans="1:17" x14ac:dyDescent="0.3">
      <c r="A1206" t="s">
        <v>17</v>
      </c>
      <c r="B1206" t="str">
        <f>"603196"</f>
        <v>603196</v>
      </c>
      <c r="C1206" t="s">
        <v>2687</v>
      </c>
      <c r="D1206" t="s">
        <v>255</v>
      </c>
      <c r="F1206">
        <v>24466695</v>
      </c>
      <c r="G1206">
        <v>25661516</v>
      </c>
      <c r="H1206">
        <v>40905210</v>
      </c>
      <c r="I1206">
        <v>40905502</v>
      </c>
      <c r="P1206">
        <v>70</v>
      </c>
      <c r="Q1206" t="s">
        <v>2688</v>
      </c>
    </row>
    <row r="1207" spans="1:17" x14ac:dyDescent="0.3">
      <c r="A1207" t="s">
        <v>17</v>
      </c>
      <c r="B1207" t="str">
        <f>"603197"</f>
        <v>603197</v>
      </c>
      <c r="C1207" t="s">
        <v>2689</v>
      </c>
      <c r="D1207" t="s">
        <v>985</v>
      </c>
      <c r="F1207">
        <v>280504112</v>
      </c>
      <c r="G1207">
        <v>254932008</v>
      </c>
      <c r="H1207">
        <v>232349476</v>
      </c>
      <c r="I1207">
        <v>158240661</v>
      </c>
      <c r="P1207">
        <v>357</v>
      </c>
      <c r="Q1207" t="s">
        <v>2690</v>
      </c>
    </row>
    <row r="1208" spans="1:17" x14ac:dyDescent="0.3">
      <c r="A1208" t="s">
        <v>17</v>
      </c>
      <c r="B1208" t="str">
        <f>"603198"</f>
        <v>603198</v>
      </c>
      <c r="C1208" t="s">
        <v>2691</v>
      </c>
      <c r="D1208" t="s">
        <v>458</v>
      </c>
      <c r="F1208">
        <v>52691299</v>
      </c>
      <c r="G1208">
        <v>39478333</v>
      </c>
      <c r="H1208">
        <v>26288016</v>
      </c>
      <c r="I1208">
        <v>15041330</v>
      </c>
      <c r="P1208">
        <v>5966</v>
      </c>
      <c r="Q1208" t="s">
        <v>2692</v>
      </c>
    </row>
    <row r="1209" spans="1:17" x14ac:dyDescent="0.3">
      <c r="A1209" t="s">
        <v>17</v>
      </c>
      <c r="B1209" t="str">
        <f>"603199"</f>
        <v>603199</v>
      </c>
      <c r="C1209" t="s">
        <v>2693</v>
      </c>
      <c r="D1209" t="s">
        <v>119</v>
      </c>
      <c r="F1209">
        <v>0</v>
      </c>
      <c r="G1209">
        <v>0</v>
      </c>
      <c r="P1209">
        <v>144</v>
      </c>
      <c r="Q1209" t="s">
        <v>2694</v>
      </c>
    </row>
    <row r="1210" spans="1:17" x14ac:dyDescent="0.3">
      <c r="A1210" t="s">
        <v>17</v>
      </c>
      <c r="B1210" t="str">
        <f>"603200"</f>
        <v>603200</v>
      </c>
      <c r="C1210" t="s">
        <v>2695</v>
      </c>
      <c r="D1210" t="s">
        <v>33</v>
      </c>
      <c r="F1210">
        <v>35867865</v>
      </c>
      <c r="G1210">
        <v>29514523</v>
      </c>
      <c r="H1210">
        <v>31656611</v>
      </c>
      <c r="I1210">
        <v>20795721</v>
      </c>
      <c r="P1210">
        <v>101</v>
      </c>
      <c r="Q1210" t="s">
        <v>2696</v>
      </c>
    </row>
    <row r="1211" spans="1:17" x14ac:dyDescent="0.3">
      <c r="A1211" t="s">
        <v>17</v>
      </c>
      <c r="B1211" t="str">
        <f>"603203"</f>
        <v>603203</v>
      </c>
      <c r="C1211" t="s">
        <v>2697</v>
      </c>
      <c r="D1211" t="s">
        <v>2432</v>
      </c>
      <c r="F1211">
        <v>64264318</v>
      </c>
      <c r="G1211">
        <v>35523457</v>
      </c>
      <c r="H1211">
        <v>27886301</v>
      </c>
      <c r="I1211">
        <v>25966715</v>
      </c>
      <c r="P1211">
        <v>2648</v>
      </c>
      <c r="Q1211" t="s">
        <v>2698</v>
      </c>
    </row>
    <row r="1212" spans="1:17" x14ac:dyDescent="0.3">
      <c r="A1212" t="s">
        <v>17</v>
      </c>
      <c r="B1212" t="str">
        <f>"603206"</f>
        <v>603206</v>
      </c>
      <c r="C1212" t="s">
        <v>2699</v>
      </c>
      <c r="F1212">
        <v>111201177</v>
      </c>
      <c r="G1212">
        <v>95066985</v>
      </c>
      <c r="H1212">
        <v>87936427</v>
      </c>
      <c r="I1212">
        <v>91771197</v>
      </c>
      <c r="Q1212" t="s">
        <v>2700</v>
      </c>
    </row>
    <row r="1213" spans="1:17" x14ac:dyDescent="0.3">
      <c r="A1213" t="s">
        <v>17</v>
      </c>
      <c r="B1213" t="str">
        <f>"603208"</f>
        <v>603208</v>
      </c>
      <c r="C1213" t="s">
        <v>2701</v>
      </c>
      <c r="D1213" t="s">
        <v>2664</v>
      </c>
      <c r="F1213">
        <v>121270698</v>
      </c>
      <c r="G1213">
        <v>93665321</v>
      </c>
      <c r="H1213">
        <v>78090818</v>
      </c>
      <c r="I1213">
        <v>55042265</v>
      </c>
      <c r="P1213">
        <v>493</v>
      </c>
      <c r="Q1213" t="s">
        <v>2702</v>
      </c>
    </row>
    <row r="1214" spans="1:17" x14ac:dyDescent="0.3">
      <c r="A1214" t="s">
        <v>17</v>
      </c>
      <c r="B1214" t="str">
        <f>"603209"</f>
        <v>603209</v>
      </c>
      <c r="C1214" t="s">
        <v>2703</v>
      </c>
      <c r="F1214">
        <v>1573801</v>
      </c>
      <c r="G1214">
        <v>1381595</v>
      </c>
      <c r="H1214">
        <v>699693</v>
      </c>
      <c r="I1214">
        <v>945900</v>
      </c>
      <c r="P1214">
        <v>12</v>
      </c>
      <c r="Q1214" t="s">
        <v>2704</v>
      </c>
    </row>
    <row r="1215" spans="1:17" x14ac:dyDescent="0.3">
      <c r="A1215" t="s">
        <v>17</v>
      </c>
      <c r="B1215" t="str">
        <f>"603212"</f>
        <v>603212</v>
      </c>
      <c r="C1215" t="s">
        <v>2705</v>
      </c>
      <c r="D1215" t="s">
        <v>478</v>
      </c>
      <c r="F1215">
        <v>92617297</v>
      </c>
      <c r="G1215">
        <v>70904956</v>
      </c>
      <c r="H1215">
        <v>72727170</v>
      </c>
      <c r="I1215">
        <v>70975326</v>
      </c>
      <c r="J1215">
        <v>70404319</v>
      </c>
      <c r="P1215">
        <v>129</v>
      </c>
      <c r="Q1215" t="s">
        <v>2706</v>
      </c>
    </row>
    <row r="1216" spans="1:17" x14ac:dyDescent="0.3">
      <c r="A1216" t="s">
        <v>17</v>
      </c>
      <c r="B1216" t="str">
        <f>"603213"</f>
        <v>603213</v>
      </c>
      <c r="C1216" t="s">
        <v>2707</v>
      </c>
      <c r="D1216" t="s">
        <v>175</v>
      </c>
      <c r="F1216">
        <v>21134682</v>
      </c>
      <c r="G1216">
        <v>11255088</v>
      </c>
      <c r="H1216">
        <v>10601041</v>
      </c>
      <c r="I1216">
        <v>13335170</v>
      </c>
      <c r="J1216">
        <v>12724798</v>
      </c>
      <c r="P1216">
        <v>32</v>
      </c>
      <c r="Q1216" t="s">
        <v>2708</v>
      </c>
    </row>
    <row r="1217" spans="1:17" x14ac:dyDescent="0.3">
      <c r="A1217" t="s">
        <v>17</v>
      </c>
      <c r="B1217" t="str">
        <f>"603214"</f>
        <v>603214</v>
      </c>
      <c r="C1217" t="s">
        <v>2709</v>
      </c>
      <c r="D1217" t="s">
        <v>295</v>
      </c>
      <c r="F1217">
        <v>0</v>
      </c>
      <c r="G1217">
        <v>0</v>
      </c>
      <c r="P1217">
        <v>290</v>
      </c>
      <c r="Q1217" t="s">
        <v>2710</v>
      </c>
    </row>
    <row r="1218" spans="1:17" x14ac:dyDescent="0.3">
      <c r="A1218" t="s">
        <v>17</v>
      </c>
      <c r="B1218" t="str">
        <f>"603215"</f>
        <v>603215</v>
      </c>
      <c r="C1218" t="s">
        <v>2711</v>
      </c>
      <c r="F1218">
        <v>54747342</v>
      </c>
      <c r="G1218">
        <v>38986343</v>
      </c>
      <c r="H1218">
        <v>23113248</v>
      </c>
      <c r="I1218">
        <v>24797363</v>
      </c>
      <c r="P1218">
        <v>13</v>
      </c>
      <c r="Q1218" t="s">
        <v>2712</v>
      </c>
    </row>
    <row r="1219" spans="1:17" x14ac:dyDescent="0.3">
      <c r="A1219" t="s">
        <v>17</v>
      </c>
      <c r="B1219" t="str">
        <f>"603216"</f>
        <v>603216</v>
      </c>
      <c r="C1219" t="s">
        <v>2713</v>
      </c>
      <c r="D1219" t="s">
        <v>2664</v>
      </c>
      <c r="F1219">
        <v>69652886</v>
      </c>
      <c r="G1219">
        <v>63118460</v>
      </c>
      <c r="H1219">
        <v>62275827</v>
      </c>
      <c r="I1219">
        <v>67960834</v>
      </c>
      <c r="J1219">
        <v>64386641</v>
      </c>
      <c r="P1219">
        <v>22</v>
      </c>
      <c r="Q1219" t="s">
        <v>2714</v>
      </c>
    </row>
    <row r="1220" spans="1:17" x14ac:dyDescent="0.3">
      <c r="A1220" t="s">
        <v>17</v>
      </c>
      <c r="B1220" t="str">
        <f>"603217"</f>
        <v>603217</v>
      </c>
      <c r="C1220" t="s">
        <v>2715</v>
      </c>
      <c r="D1220" t="s">
        <v>386</v>
      </c>
      <c r="F1220">
        <v>87978667</v>
      </c>
      <c r="G1220">
        <v>54403061</v>
      </c>
      <c r="H1220">
        <v>38550095</v>
      </c>
      <c r="I1220">
        <v>42996351</v>
      </c>
      <c r="J1220">
        <v>39698146</v>
      </c>
      <c r="K1220">
        <v>30647160</v>
      </c>
      <c r="P1220">
        <v>71</v>
      </c>
      <c r="Q1220" t="s">
        <v>2716</v>
      </c>
    </row>
    <row r="1221" spans="1:17" x14ac:dyDescent="0.3">
      <c r="A1221" t="s">
        <v>17</v>
      </c>
      <c r="B1221" t="str">
        <f>"603218"</f>
        <v>603218</v>
      </c>
      <c r="C1221" t="s">
        <v>2717</v>
      </c>
      <c r="D1221" t="s">
        <v>950</v>
      </c>
      <c r="F1221">
        <v>184038754</v>
      </c>
      <c r="G1221">
        <v>199695394</v>
      </c>
      <c r="H1221">
        <v>135246375</v>
      </c>
      <c r="I1221">
        <v>93696351</v>
      </c>
      <c r="P1221">
        <v>566</v>
      </c>
      <c r="Q1221" t="s">
        <v>2718</v>
      </c>
    </row>
    <row r="1222" spans="1:17" x14ac:dyDescent="0.3">
      <c r="A1222" t="s">
        <v>17</v>
      </c>
      <c r="B1222" t="str">
        <f>"603219"</f>
        <v>603219</v>
      </c>
      <c r="C1222" t="s">
        <v>2719</v>
      </c>
      <c r="D1222" t="s">
        <v>2720</v>
      </c>
      <c r="F1222">
        <v>89866576</v>
      </c>
      <c r="G1222">
        <v>71447861</v>
      </c>
      <c r="H1222">
        <v>42254538</v>
      </c>
      <c r="I1222">
        <v>59609002</v>
      </c>
      <c r="J1222">
        <v>37018052</v>
      </c>
      <c r="P1222">
        <v>23</v>
      </c>
      <c r="Q1222" t="s">
        <v>2721</v>
      </c>
    </row>
    <row r="1223" spans="1:17" x14ac:dyDescent="0.3">
      <c r="A1223" t="s">
        <v>17</v>
      </c>
      <c r="B1223" t="str">
        <f>"603220"</f>
        <v>603220</v>
      </c>
      <c r="C1223" t="s">
        <v>2722</v>
      </c>
      <c r="D1223" t="s">
        <v>654</v>
      </c>
      <c r="F1223">
        <v>109197744</v>
      </c>
      <c r="G1223">
        <v>65348774</v>
      </c>
      <c r="H1223">
        <v>53177517</v>
      </c>
      <c r="I1223">
        <v>53900057</v>
      </c>
      <c r="J1223">
        <v>42108917</v>
      </c>
      <c r="K1223">
        <v>28772149</v>
      </c>
      <c r="L1223">
        <v>20703525</v>
      </c>
      <c r="P1223">
        <v>146</v>
      </c>
      <c r="Q1223" t="s">
        <v>2723</v>
      </c>
    </row>
    <row r="1224" spans="1:17" x14ac:dyDescent="0.3">
      <c r="A1224" t="s">
        <v>17</v>
      </c>
      <c r="B1224" t="str">
        <f>"603221"</f>
        <v>603221</v>
      </c>
      <c r="C1224" t="s">
        <v>2724</v>
      </c>
      <c r="D1224" t="s">
        <v>178</v>
      </c>
      <c r="F1224">
        <v>29604990</v>
      </c>
      <c r="G1224">
        <v>28272751</v>
      </c>
      <c r="H1224">
        <v>12670567</v>
      </c>
      <c r="I1224">
        <v>12692659</v>
      </c>
      <c r="J1224">
        <v>4146937</v>
      </c>
      <c r="P1224">
        <v>79</v>
      </c>
      <c r="Q1224" t="s">
        <v>2725</v>
      </c>
    </row>
    <row r="1225" spans="1:17" x14ac:dyDescent="0.3">
      <c r="A1225" t="s">
        <v>17</v>
      </c>
      <c r="B1225" t="str">
        <f>"603222"</f>
        <v>603222</v>
      </c>
      <c r="C1225" t="s">
        <v>2726</v>
      </c>
      <c r="D1225" t="s">
        <v>1077</v>
      </c>
      <c r="F1225">
        <v>30004669</v>
      </c>
      <c r="G1225">
        <v>22437802</v>
      </c>
      <c r="H1225">
        <v>21341667</v>
      </c>
      <c r="I1225">
        <v>17072397</v>
      </c>
      <c r="P1225">
        <v>171</v>
      </c>
      <c r="Q1225" t="s">
        <v>2727</v>
      </c>
    </row>
    <row r="1226" spans="1:17" x14ac:dyDescent="0.3">
      <c r="A1226" t="s">
        <v>17</v>
      </c>
      <c r="B1226" t="str">
        <f>"603223"</f>
        <v>603223</v>
      </c>
      <c r="C1226" t="s">
        <v>2728</v>
      </c>
      <c r="D1226" t="s">
        <v>2503</v>
      </c>
      <c r="F1226">
        <v>0</v>
      </c>
      <c r="G1226">
        <v>0</v>
      </c>
      <c r="P1226">
        <v>98</v>
      </c>
      <c r="Q1226" t="s">
        <v>2729</v>
      </c>
    </row>
    <row r="1227" spans="1:17" x14ac:dyDescent="0.3">
      <c r="A1227" t="s">
        <v>17</v>
      </c>
      <c r="B1227" t="str">
        <f>"603225"</f>
        <v>603225</v>
      </c>
      <c r="C1227" t="s">
        <v>2730</v>
      </c>
      <c r="D1227" t="s">
        <v>2731</v>
      </c>
      <c r="F1227">
        <v>915213493</v>
      </c>
      <c r="G1227">
        <v>602289680</v>
      </c>
      <c r="H1227">
        <v>682404238</v>
      </c>
      <c r="I1227">
        <v>644874473</v>
      </c>
      <c r="P1227">
        <v>388</v>
      </c>
      <c r="Q1227" t="s">
        <v>2732</v>
      </c>
    </row>
    <row r="1228" spans="1:17" x14ac:dyDescent="0.3">
      <c r="A1228" t="s">
        <v>17</v>
      </c>
      <c r="B1228" t="str">
        <f>"603226"</f>
        <v>603226</v>
      </c>
      <c r="C1228" t="s">
        <v>2733</v>
      </c>
      <c r="D1228" t="s">
        <v>178</v>
      </c>
      <c r="F1228">
        <v>24950538</v>
      </c>
      <c r="G1228">
        <v>21068599</v>
      </c>
      <c r="H1228">
        <v>24873276</v>
      </c>
      <c r="I1228">
        <v>27533079</v>
      </c>
      <c r="P1228">
        <v>113</v>
      </c>
      <c r="Q1228" t="s">
        <v>2734</v>
      </c>
    </row>
    <row r="1229" spans="1:17" x14ac:dyDescent="0.3">
      <c r="A1229" t="s">
        <v>17</v>
      </c>
      <c r="B1229" t="str">
        <f>"603227"</f>
        <v>603227</v>
      </c>
      <c r="C1229" t="s">
        <v>2735</v>
      </c>
      <c r="D1229" t="s">
        <v>2736</v>
      </c>
      <c r="F1229">
        <v>11887352</v>
      </c>
      <c r="G1229">
        <v>7599658</v>
      </c>
      <c r="H1229">
        <v>6676770</v>
      </c>
      <c r="I1229">
        <v>5312286</v>
      </c>
      <c r="P1229">
        <v>80</v>
      </c>
      <c r="Q1229" t="s">
        <v>2737</v>
      </c>
    </row>
    <row r="1230" spans="1:17" x14ac:dyDescent="0.3">
      <c r="A1230" t="s">
        <v>17</v>
      </c>
      <c r="B1230" t="str">
        <f>"603228"</f>
        <v>603228</v>
      </c>
      <c r="C1230" t="s">
        <v>2738</v>
      </c>
      <c r="D1230" t="s">
        <v>425</v>
      </c>
      <c r="F1230">
        <v>457720555</v>
      </c>
      <c r="G1230">
        <v>355608921</v>
      </c>
      <c r="H1230">
        <v>297183502</v>
      </c>
      <c r="I1230">
        <v>231140472</v>
      </c>
      <c r="P1230">
        <v>1624</v>
      </c>
      <c r="Q1230" t="s">
        <v>2739</v>
      </c>
    </row>
    <row r="1231" spans="1:17" x14ac:dyDescent="0.3">
      <c r="A1231" t="s">
        <v>17</v>
      </c>
      <c r="B1231" t="str">
        <f>"603229"</f>
        <v>603229</v>
      </c>
      <c r="C1231" t="s">
        <v>2740</v>
      </c>
      <c r="D1231" t="s">
        <v>496</v>
      </c>
      <c r="F1231">
        <v>68824585</v>
      </c>
      <c r="G1231">
        <v>50770232</v>
      </c>
      <c r="H1231">
        <v>47746753</v>
      </c>
      <c r="I1231">
        <v>34374918</v>
      </c>
      <c r="P1231">
        <v>164</v>
      </c>
      <c r="Q1231" t="s">
        <v>2741</v>
      </c>
    </row>
    <row r="1232" spans="1:17" x14ac:dyDescent="0.3">
      <c r="A1232" t="s">
        <v>17</v>
      </c>
      <c r="B1232" t="str">
        <f>"603230"</f>
        <v>603230</v>
      </c>
      <c r="C1232" t="s">
        <v>2742</v>
      </c>
      <c r="D1232" t="s">
        <v>1536</v>
      </c>
      <c r="F1232">
        <v>0</v>
      </c>
      <c r="G1232">
        <v>0</v>
      </c>
      <c r="H1232">
        <v>0</v>
      </c>
      <c r="I1232">
        <v>0</v>
      </c>
      <c r="J1232">
        <v>0</v>
      </c>
      <c r="P1232">
        <v>17</v>
      </c>
      <c r="Q1232" t="s">
        <v>2743</v>
      </c>
    </row>
    <row r="1233" spans="1:17" x14ac:dyDescent="0.3">
      <c r="A1233" t="s">
        <v>17</v>
      </c>
      <c r="B1233" t="str">
        <f>"603232"</f>
        <v>603232</v>
      </c>
      <c r="C1233" t="s">
        <v>2744</v>
      </c>
      <c r="D1233" t="s">
        <v>945</v>
      </c>
      <c r="F1233">
        <v>106245785</v>
      </c>
      <c r="G1233">
        <v>76895381</v>
      </c>
      <c r="H1233">
        <v>61088439</v>
      </c>
      <c r="I1233">
        <v>55938218</v>
      </c>
      <c r="P1233">
        <v>159</v>
      </c>
      <c r="Q1233" t="s">
        <v>2745</v>
      </c>
    </row>
    <row r="1234" spans="1:17" x14ac:dyDescent="0.3">
      <c r="A1234" t="s">
        <v>17</v>
      </c>
      <c r="B1234" t="str">
        <f>"603233"</f>
        <v>603233</v>
      </c>
      <c r="C1234" t="s">
        <v>2746</v>
      </c>
      <c r="D1234" t="s">
        <v>1686</v>
      </c>
      <c r="F1234">
        <v>44607461</v>
      </c>
      <c r="G1234">
        <v>4700512</v>
      </c>
      <c r="H1234">
        <v>434486</v>
      </c>
      <c r="I1234">
        <v>495644</v>
      </c>
      <c r="P1234">
        <v>1786</v>
      </c>
      <c r="Q1234" t="s">
        <v>2747</v>
      </c>
    </row>
    <row r="1235" spans="1:17" x14ac:dyDescent="0.3">
      <c r="A1235" t="s">
        <v>17</v>
      </c>
      <c r="B1235" t="str">
        <f>"603236"</f>
        <v>603236</v>
      </c>
      <c r="C1235" t="s">
        <v>2748</v>
      </c>
      <c r="D1235" t="s">
        <v>786</v>
      </c>
      <c r="F1235">
        <v>1022032952</v>
      </c>
      <c r="G1235">
        <v>706678737</v>
      </c>
      <c r="H1235">
        <v>361645467</v>
      </c>
      <c r="I1235">
        <v>163602845</v>
      </c>
      <c r="J1235">
        <v>99672067</v>
      </c>
      <c r="K1235">
        <v>49989921</v>
      </c>
      <c r="P1235">
        <v>589</v>
      </c>
      <c r="Q1235" t="s">
        <v>2749</v>
      </c>
    </row>
    <row r="1236" spans="1:17" x14ac:dyDescent="0.3">
      <c r="A1236" t="s">
        <v>17</v>
      </c>
      <c r="B1236" t="str">
        <f>"603238"</f>
        <v>603238</v>
      </c>
      <c r="C1236" t="s">
        <v>2750</v>
      </c>
      <c r="D1236" t="s">
        <v>2751</v>
      </c>
      <c r="F1236">
        <v>58306798</v>
      </c>
      <c r="G1236">
        <v>68357906</v>
      </c>
      <c r="H1236">
        <v>44315496</v>
      </c>
      <c r="I1236">
        <v>37441377</v>
      </c>
      <c r="P1236">
        <v>240</v>
      </c>
      <c r="Q1236" t="s">
        <v>2752</v>
      </c>
    </row>
    <row r="1237" spans="1:17" x14ac:dyDescent="0.3">
      <c r="A1237" t="s">
        <v>17</v>
      </c>
      <c r="B1237" t="str">
        <f>"603239"</f>
        <v>603239</v>
      </c>
      <c r="C1237" t="s">
        <v>2753</v>
      </c>
      <c r="D1237" t="s">
        <v>985</v>
      </c>
      <c r="F1237">
        <v>37260945</v>
      </c>
      <c r="G1237">
        <v>27734239</v>
      </c>
      <c r="H1237">
        <v>30765638</v>
      </c>
      <c r="I1237">
        <v>33263810</v>
      </c>
      <c r="P1237">
        <v>166</v>
      </c>
      <c r="Q1237" t="s">
        <v>2754</v>
      </c>
    </row>
    <row r="1238" spans="1:17" x14ac:dyDescent="0.3">
      <c r="A1238" t="s">
        <v>17</v>
      </c>
      <c r="B1238" t="str">
        <f>"603256"</f>
        <v>603256</v>
      </c>
      <c r="C1238" t="s">
        <v>2755</v>
      </c>
      <c r="D1238" t="s">
        <v>411</v>
      </c>
      <c r="F1238">
        <v>28173573</v>
      </c>
      <c r="G1238">
        <v>21049399</v>
      </c>
      <c r="H1238">
        <v>27145538</v>
      </c>
      <c r="I1238">
        <v>31452600</v>
      </c>
      <c r="J1238">
        <v>31963403</v>
      </c>
      <c r="K1238">
        <v>24013466</v>
      </c>
      <c r="P1238">
        <v>340</v>
      </c>
      <c r="Q1238" t="s">
        <v>2756</v>
      </c>
    </row>
    <row r="1239" spans="1:17" x14ac:dyDescent="0.3">
      <c r="A1239" t="s">
        <v>17</v>
      </c>
      <c r="B1239" t="str">
        <f>"603258"</f>
        <v>603258</v>
      </c>
      <c r="C1239" t="s">
        <v>2757</v>
      </c>
      <c r="D1239" t="s">
        <v>517</v>
      </c>
      <c r="F1239">
        <v>210375908</v>
      </c>
      <c r="G1239">
        <v>165944678</v>
      </c>
      <c r="H1239">
        <v>117249083</v>
      </c>
      <c r="I1239">
        <v>96368020</v>
      </c>
      <c r="P1239">
        <v>770</v>
      </c>
      <c r="Q1239" t="s">
        <v>2758</v>
      </c>
    </row>
    <row r="1240" spans="1:17" x14ac:dyDescent="0.3">
      <c r="A1240" t="s">
        <v>17</v>
      </c>
      <c r="B1240" t="str">
        <f>"603259"</f>
        <v>603259</v>
      </c>
      <c r="C1240" t="s">
        <v>2759</v>
      </c>
      <c r="D1240" t="s">
        <v>1461</v>
      </c>
      <c r="F1240">
        <v>942241901</v>
      </c>
      <c r="G1240">
        <v>693259629</v>
      </c>
      <c r="H1240">
        <v>590388702</v>
      </c>
      <c r="I1240">
        <v>436533352</v>
      </c>
      <c r="P1240">
        <v>3985</v>
      </c>
      <c r="Q1240" t="s">
        <v>2760</v>
      </c>
    </row>
    <row r="1241" spans="1:17" x14ac:dyDescent="0.3">
      <c r="A1241" t="s">
        <v>17</v>
      </c>
      <c r="B1241" t="str">
        <f>"603260"</f>
        <v>603260</v>
      </c>
      <c r="C1241" t="s">
        <v>2761</v>
      </c>
      <c r="D1241" t="s">
        <v>2762</v>
      </c>
      <c r="F1241">
        <v>555095028</v>
      </c>
      <c r="G1241">
        <v>229520127</v>
      </c>
      <c r="H1241">
        <v>158515247</v>
      </c>
      <c r="I1241">
        <v>205325387</v>
      </c>
      <c r="P1241">
        <v>700</v>
      </c>
      <c r="Q1241" t="s">
        <v>2763</v>
      </c>
    </row>
    <row r="1242" spans="1:17" x14ac:dyDescent="0.3">
      <c r="A1242" t="s">
        <v>17</v>
      </c>
      <c r="B1242" t="str">
        <f>"603261"</f>
        <v>603261</v>
      </c>
      <c r="C1242" t="s">
        <v>2764</v>
      </c>
      <c r="F1242">
        <v>8448396</v>
      </c>
      <c r="G1242">
        <v>9963608</v>
      </c>
      <c r="H1242">
        <v>4970638</v>
      </c>
      <c r="I1242">
        <v>3503591</v>
      </c>
      <c r="J1242">
        <v>370800</v>
      </c>
      <c r="P1242">
        <v>7</v>
      </c>
      <c r="Q1242" t="s">
        <v>2765</v>
      </c>
    </row>
    <row r="1243" spans="1:17" x14ac:dyDescent="0.3">
      <c r="A1243" t="s">
        <v>17</v>
      </c>
      <c r="B1243" t="str">
        <f>"603266"</f>
        <v>603266</v>
      </c>
      <c r="C1243" t="s">
        <v>2766</v>
      </c>
      <c r="D1243" t="s">
        <v>1192</v>
      </c>
      <c r="F1243">
        <v>47525018</v>
      </c>
      <c r="G1243">
        <v>41873170</v>
      </c>
      <c r="H1243">
        <v>45849090</v>
      </c>
      <c r="I1243">
        <v>44049701</v>
      </c>
      <c r="P1243">
        <v>95</v>
      </c>
      <c r="Q1243" t="s">
        <v>2767</v>
      </c>
    </row>
    <row r="1244" spans="1:17" x14ac:dyDescent="0.3">
      <c r="A1244" t="s">
        <v>17</v>
      </c>
      <c r="B1244" t="str">
        <f>"603267"</f>
        <v>603267</v>
      </c>
      <c r="C1244" t="s">
        <v>2768</v>
      </c>
      <c r="D1244" t="s">
        <v>1136</v>
      </c>
      <c r="F1244">
        <v>80639957</v>
      </c>
      <c r="G1244">
        <v>45131287</v>
      </c>
      <c r="H1244">
        <v>32048397</v>
      </c>
      <c r="I1244">
        <v>29733594</v>
      </c>
      <c r="J1244">
        <v>22809991</v>
      </c>
      <c r="K1244">
        <v>22976143</v>
      </c>
      <c r="P1244">
        <v>469</v>
      </c>
      <c r="Q1244" t="s">
        <v>2769</v>
      </c>
    </row>
    <row r="1245" spans="1:17" x14ac:dyDescent="0.3">
      <c r="A1245" t="s">
        <v>17</v>
      </c>
      <c r="B1245" t="str">
        <f>"603268"</f>
        <v>603268</v>
      </c>
      <c r="C1245" t="s">
        <v>2770</v>
      </c>
      <c r="D1245" t="s">
        <v>2445</v>
      </c>
      <c r="F1245">
        <v>19904483</v>
      </c>
      <c r="G1245">
        <v>24699292</v>
      </c>
      <c r="H1245">
        <v>28817613</v>
      </c>
      <c r="I1245">
        <v>31016738</v>
      </c>
      <c r="P1245">
        <v>70</v>
      </c>
      <c r="Q1245" t="s">
        <v>2771</v>
      </c>
    </row>
    <row r="1246" spans="1:17" x14ac:dyDescent="0.3">
      <c r="A1246" t="s">
        <v>17</v>
      </c>
      <c r="B1246" t="str">
        <f>"603269"</f>
        <v>603269</v>
      </c>
      <c r="C1246" t="s">
        <v>2772</v>
      </c>
      <c r="D1246" t="s">
        <v>560</v>
      </c>
      <c r="F1246">
        <v>27433088</v>
      </c>
      <c r="G1246">
        <v>21776011</v>
      </c>
      <c r="H1246">
        <v>15761746</v>
      </c>
      <c r="I1246">
        <v>14455154</v>
      </c>
      <c r="P1246">
        <v>63</v>
      </c>
      <c r="Q1246" t="s">
        <v>2773</v>
      </c>
    </row>
    <row r="1247" spans="1:17" x14ac:dyDescent="0.3">
      <c r="A1247" t="s">
        <v>17</v>
      </c>
      <c r="B1247" t="str">
        <f>"603272"</f>
        <v>603272</v>
      </c>
      <c r="C1247" t="s">
        <v>2774</v>
      </c>
      <c r="F1247">
        <v>10824354</v>
      </c>
      <c r="G1247">
        <v>10271855</v>
      </c>
      <c r="H1247">
        <v>10700366</v>
      </c>
      <c r="I1247">
        <v>7753656</v>
      </c>
      <c r="Q1247" t="s">
        <v>2775</v>
      </c>
    </row>
    <row r="1248" spans="1:17" x14ac:dyDescent="0.3">
      <c r="A1248" t="s">
        <v>17</v>
      </c>
      <c r="B1248" t="str">
        <f>"603277"</f>
        <v>603277</v>
      </c>
      <c r="C1248" t="s">
        <v>2776</v>
      </c>
      <c r="D1248" t="s">
        <v>988</v>
      </c>
      <c r="F1248">
        <v>87037432</v>
      </c>
      <c r="G1248">
        <v>46042661</v>
      </c>
      <c r="H1248">
        <v>48791143</v>
      </c>
      <c r="I1248">
        <v>45337194</v>
      </c>
      <c r="P1248">
        <v>136</v>
      </c>
      <c r="Q1248" t="s">
        <v>2777</v>
      </c>
    </row>
    <row r="1249" spans="1:17" x14ac:dyDescent="0.3">
      <c r="A1249" t="s">
        <v>17</v>
      </c>
      <c r="B1249" t="str">
        <f>"603278"</f>
        <v>603278</v>
      </c>
      <c r="C1249" t="s">
        <v>2778</v>
      </c>
      <c r="D1249" t="s">
        <v>274</v>
      </c>
      <c r="F1249">
        <v>58235998</v>
      </c>
      <c r="G1249">
        <v>64011987</v>
      </c>
      <c r="H1249">
        <v>47613084</v>
      </c>
      <c r="I1249">
        <v>35956601</v>
      </c>
      <c r="P1249">
        <v>122</v>
      </c>
      <c r="Q1249" t="s">
        <v>2779</v>
      </c>
    </row>
    <row r="1250" spans="1:17" x14ac:dyDescent="0.3">
      <c r="A1250" t="s">
        <v>17</v>
      </c>
      <c r="B1250" t="str">
        <f>"603279"</f>
        <v>603279</v>
      </c>
      <c r="C1250" t="s">
        <v>2780</v>
      </c>
      <c r="D1250" t="s">
        <v>1070</v>
      </c>
      <c r="F1250">
        <v>141554165</v>
      </c>
      <c r="G1250">
        <v>61678851</v>
      </c>
      <c r="H1250">
        <v>68644761</v>
      </c>
      <c r="I1250">
        <v>48742254</v>
      </c>
      <c r="J1250">
        <v>47311155</v>
      </c>
      <c r="K1250">
        <v>47605907</v>
      </c>
      <c r="P1250">
        <v>233</v>
      </c>
      <c r="Q1250" t="s">
        <v>2781</v>
      </c>
    </row>
    <row r="1251" spans="1:17" x14ac:dyDescent="0.3">
      <c r="A1251" t="s">
        <v>17</v>
      </c>
      <c r="B1251" t="str">
        <f>"603283"</f>
        <v>603283</v>
      </c>
      <c r="C1251" t="s">
        <v>2782</v>
      </c>
      <c r="D1251" t="s">
        <v>2432</v>
      </c>
      <c r="F1251">
        <v>248711582</v>
      </c>
      <c r="G1251">
        <v>182088737</v>
      </c>
      <c r="H1251">
        <v>131238048</v>
      </c>
      <c r="I1251">
        <v>102905868</v>
      </c>
      <c r="P1251">
        <v>216</v>
      </c>
      <c r="Q1251" t="s">
        <v>2783</v>
      </c>
    </row>
    <row r="1252" spans="1:17" x14ac:dyDescent="0.3">
      <c r="A1252" t="s">
        <v>17</v>
      </c>
      <c r="B1252" t="str">
        <f>"603286"</f>
        <v>603286</v>
      </c>
      <c r="C1252" t="s">
        <v>2784</v>
      </c>
      <c r="D1252" t="s">
        <v>348</v>
      </c>
      <c r="F1252">
        <v>34141308</v>
      </c>
      <c r="G1252">
        <v>27869181</v>
      </c>
      <c r="H1252">
        <v>25150114</v>
      </c>
      <c r="I1252">
        <v>20118124</v>
      </c>
      <c r="P1252">
        <v>66</v>
      </c>
      <c r="Q1252" t="s">
        <v>2785</v>
      </c>
    </row>
    <row r="1253" spans="1:17" x14ac:dyDescent="0.3">
      <c r="A1253" t="s">
        <v>17</v>
      </c>
      <c r="B1253" t="str">
        <f>"603288"</f>
        <v>603288</v>
      </c>
      <c r="C1253" t="s">
        <v>2786</v>
      </c>
      <c r="D1253" t="s">
        <v>433</v>
      </c>
      <c r="F1253">
        <v>771919702</v>
      </c>
      <c r="G1253">
        <v>711748663</v>
      </c>
      <c r="H1253">
        <v>587425291</v>
      </c>
      <c r="I1253">
        <v>493014355</v>
      </c>
      <c r="P1253">
        <v>54148</v>
      </c>
      <c r="Q1253" t="s">
        <v>2787</v>
      </c>
    </row>
    <row r="1254" spans="1:17" x14ac:dyDescent="0.3">
      <c r="A1254" t="s">
        <v>17</v>
      </c>
      <c r="B1254" t="str">
        <f>"603289"</f>
        <v>603289</v>
      </c>
      <c r="C1254" t="s">
        <v>2788</v>
      </c>
      <c r="D1254" t="s">
        <v>741</v>
      </c>
      <c r="F1254">
        <v>54651724</v>
      </c>
      <c r="G1254">
        <v>40837390</v>
      </c>
      <c r="H1254">
        <v>37165401</v>
      </c>
      <c r="I1254">
        <v>35874143</v>
      </c>
      <c r="P1254">
        <v>115</v>
      </c>
      <c r="Q1254" t="s">
        <v>2789</v>
      </c>
    </row>
    <row r="1255" spans="1:17" x14ac:dyDescent="0.3">
      <c r="A1255" t="s">
        <v>17</v>
      </c>
      <c r="B1255" t="str">
        <f>"603290"</f>
        <v>603290</v>
      </c>
      <c r="C1255" t="s">
        <v>2790</v>
      </c>
      <c r="D1255" t="s">
        <v>795</v>
      </c>
      <c r="F1255">
        <v>110169292</v>
      </c>
      <c r="G1255">
        <v>77066565</v>
      </c>
      <c r="H1255">
        <v>53996475</v>
      </c>
      <c r="I1255">
        <v>49044741</v>
      </c>
      <c r="J1255">
        <v>38410546</v>
      </c>
      <c r="K1255">
        <v>28655927</v>
      </c>
      <c r="P1255">
        <v>635</v>
      </c>
      <c r="Q1255" t="s">
        <v>2791</v>
      </c>
    </row>
    <row r="1256" spans="1:17" x14ac:dyDescent="0.3">
      <c r="A1256" t="s">
        <v>17</v>
      </c>
      <c r="B1256" t="str">
        <f>"603297"</f>
        <v>603297</v>
      </c>
      <c r="C1256" t="s">
        <v>2792</v>
      </c>
      <c r="D1256" t="s">
        <v>164</v>
      </c>
      <c r="F1256">
        <v>63073754</v>
      </c>
      <c r="G1256">
        <v>47285601</v>
      </c>
      <c r="H1256">
        <v>45395587</v>
      </c>
      <c r="I1256">
        <v>42638914</v>
      </c>
      <c r="J1256">
        <v>37123632</v>
      </c>
      <c r="K1256">
        <v>25457782</v>
      </c>
      <c r="L1256">
        <v>26343024</v>
      </c>
      <c r="P1256">
        <v>238</v>
      </c>
      <c r="Q1256" t="s">
        <v>2793</v>
      </c>
    </row>
    <row r="1257" spans="1:17" x14ac:dyDescent="0.3">
      <c r="A1257" t="s">
        <v>17</v>
      </c>
      <c r="B1257" t="str">
        <f>"603298"</f>
        <v>603298</v>
      </c>
      <c r="C1257" t="s">
        <v>2794</v>
      </c>
      <c r="D1257" t="s">
        <v>83</v>
      </c>
      <c r="F1257">
        <v>601932372</v>
      </c>
      <c r="G1257">
        <v>537501849</v>
      </c>
      <c r="H1257">
        <v>358708288</v>
      </c>
      <c r="I1257">
        <v>304473861</v>
      </c>
      <c r="P1257">
        <v>451</v>
      </c>
      <c r="Q1257" t="s">
        <v>2795</v>
      </c>
    </row>
    <row r="1258" spans="1:17" x14ac:dyDescent="0.3">
      <c r="A1258" t="s">
        <v>17</v>
      </c>
      <c r="B1258" t="str">
        <f>"603299"</f>
        <v>603299</v>
      </c>
      <c r="C1258" t="s">
        <v>2796</v>
      </c>
      <c r="D1258" t="s">
        <v>736</v>
      </c>
      <c r="F1258">
        <v>115736761</v>
      </c>
      <c r="G1258">
        <v>58891528</v>
      </c>
      <c r="H1258">
        <v>20434249</v>
      </c>
      <c r="I1258">
        <v>6682737</v>
      </c>
      <c r="P1258">
        <v>139</v>
      </c>
      <c r="Q1258" t="s">
        <v>2797</v>
      </c>
    </row>
    <row r="1259" spans="1:17" x14ac:dyDescent="0.3">
      <c r="A1259" t="s">
        <v>17</v>
      </c>
      <c r="B1259" t="str">
        <f>"603300"</f>
        <v>603300</v>
      </c>
      <c r="C1259" t="s">
        <v>2798</v>
      </c>
      <c r="D1259" t="s">
        <v>336</v>
      </c>
      <c r="F1259">
        <v>57326414</v>
      </c>
      <c r="G1259">
        <v>43659303</v>
      </c>
      <c r="H1259">
        <v>29348710</v>
      </c>
      <c r="I1259">
        <v>17395429</v>
      </c>
      <c r="P1259">
        <v>123</v>
      </c>
      <c r="Q1259" t="s">
        <v>2799</v>
      </c>
    </row>
    <row r="1260" spans="1:17" x14ac:dyDescent="0.3">
      <c r="A1260" t="s">
        <v>17</v>
      </c>
      <c r="B1260" t="str">
        <f>"603301"</f>
        <v>603301</v>
      </c>
      <c r="C1260" t="s">
        <v>2800</v>
      </c>
      <c r="D1260" t="s">
        <v>1077</v>
      </c>
      <c r="F1260">
        <v>153141273</v>
      </c>
      <c r="G1260">
        <v>259712735</v>
      </c>
      <c r="H1260">
        <v>50953818</v>
      </c>
      <c r="I1260">
        <v>56913365</v>
      </c>
      <c r="J1260">
        <v>43656856</v>
      </c>
      <c r="P1260">
        <v>1533</v>
      </c>
      <c r="Q1260" t="s">
        <v>2801</v>
      </c>
    </row>
    <row r="1261" spans="1:17" x14ac:dyDescent="0.3">
      <c r="A1261" t="s">
        <v>17</v>
      </c>
      <c r="B1261" t="str">
        <f>"603302"</f>
        <v>603302</v>
      </c>
      <c r="C1261" t="s">
        <v>2802</v>
      </c>
      <c r="P1261">
        <v>19</v>
      </c>
      <c r="Q1261" t="s">
        <v>2803</v>
      </c>
    </row>
    <row r="1262" spans="1:17" x14ac:dyDescent="0.3">
      <c r="A1262" t="s">
        <v>17</v>
      </c>
      <c r="B1262" t="str">
        <f>"603303"</f>
        <v>603303</v>
      </c>
      <c r="C1262" t="s">
        <v>2804</v>
      </c>
      <c r="D1262" t="s">
        <v>598</v>
      </c>
      <c r="F1262">
        <v>152209168</v>
      </c>
      <c r="G1262">
        <v>162157515</v>
      </c>
      <c r="H1262">
        <v>131339051</v>
      </c>
      <c r="I1262">
        <v>99773902</v>
      </c>
      <c r="P1262">
        <v>180</v>
      </c>
      <c r="Q1262" t="s">
        <v>2805</v>
      </c>
    </row>
    <row r="1263" spans="1:17" x14ac:dyDescent="0.3">
      <c r="A1263" t="s">
        <v>17</v>
      </c>
      <c r="B1263" t="str">
        <f>"603305"</f>
        <v>603305</v>
      </c>
      <c r="C1263" t="s">
        <v>2806</v>
      </c>
      <c r="D1263" t="s">
        <v>348</v>
      </c>
      <c r="F1263">
        <v>129273552</v>
      </c>
      <c r="G1263">
        <v>57589807</v>
      </c>
      <c r="H1263">
        <v>47160787</v>
      </c>
      <c r="I1263">
        <v>43672976</v>
      </c>
      <c r="P1263">
        <v>508</v>
      </c>
      <c r="Q1263" t="s">
        <v>2807</v>
      </c>
    </row>
    <row r="1264" spans="1:17" x14ac:dyDescent="0.3">
      <c r="A1264" t="s">
        <v>17</v>
      </c>
      <c r="B1264" t="str">
        <f>"603306"</f>
        <v>603306</v>
      </c>
      <c r="C1264" t="s">
        <v>2808</v>
      </c>
      <c r="D1264" t="s">
        <v>191</v>
      </c>
      <c r="F1264">
        <v>57166478</v>
      </c>
      <c r="G1264">
        <v>46279578</v>
      </c>
      <c r="H1264">
        <v>44477663</v>
      </c>
      <c r="I1264">
        <v>40831644</v>
      </c>
      <c r="P1264">
        <v>631</v>
      </c>
      <c r="Q1264" t="s">
        <v>2809</v>
      </c>
    </row>
    <row r="1265" spans="1:17" x14ac:dyDescent="0.3">
      <c r="A1265" t="s">
        <v>17</v>
      </c>
      <c r="B1265" t="str">
        <f>"603308"</f>
        <v>603308</v>
      </c>
      <c r="C1265" t="s">
        <v>2810</v>
      </c>
      <c r="D1265" t="s">
        <v>274</v>
      </c>
      <c r="F1265">
        <v>248327695</v>
      </c>
      <c r="G1265">
        <v>224189104</v>
      </c>
      <c r="H1265">
        <v>240531785</v>
      </c>
      <c r="I1265">
        <v>194219004</v>
      </c>
      <c r="P1265">
        <v>233</v>
      </c>
      <c r="Q1265" t="s">
        <v>2811</v>
      </c>
    </row>
    <row r="1266" spans="1:17" x14ac:dyDescent="0.3">
      <c r="A1266" t="s">
        <v>17</v>
      </c>
      <c r="B1266" t="str">
        <f>"603309"</f>
        <v>603309</v>
      </c>
      <c r="C1266" t="s">
        <v>2812</v>
      </c>
      <c r="D1266" t="s">
        <v>1077</v>
      </c>
      <c r="F1266">
        <v>55026092</v>
      </c>
      <c r="G1266">
        <v>55310436</v>
      </c>
      <c r="H1266">
        <v>42251445</v>
      </c>
      <c r="I1266">
        <v>16739352</v>
      </c>
      <c r="P1266">
        <v>147</v>
      </c>
      <c r="Q1266" t="s">
        <v>2813</v>
      </c>
    </row>
    <row r="1267" spans="1:17" x14ac:dyDescent="0.3">
      <c r="A1267" t="s">
        <v>17</v>
      </c>
      <c r="B1267" t="str">
        <f>"603311"</f>
        <v>603311</v>
      </c>
      <c r="C1267" t="s">
        <v>2814</v>
      </c>
      <c r="D1267" t="s">
        <v>1253</v>
      </c>
      <c r="F1267">
        <v>23260785</v>
      </c>
      <c r="G1267">
        <v>14912599</v>
      </c>
      <c r="H1267">
        <v>15198891</v>
      </c>
      <c r="I1267">
        <v>13761361</v>
      </c>
      <c r="P1267">
        <v>96</v>
      </c>
      <c r="Q1267" t="s">
        <v>2815</v>
      </c>
    </row>
    <row r="1268" spans="1:17" x14ac:dyDescent="0.3">
      <c r="A1268" t="s">
        <v>17</v>
      </c>
      <c r="B1268" t="str">
        <f>"603313"</f>
        <v>603313</v>
      </c>
      <c r="C1268" t="s">
        <v>2816</v>
      </c>
      <c r="D1268" t="s">
        <v>757</v>
      </c>
      <c r="F1268">
        <v>124248678</v>
      </c>
      <c r="G1268">
        <v>110155904</v>
      </c>
      <c r="H1268">
        <v>101229858</v>
      </c>
      <c r="I1268">
        <v>88848871</v>
      </c>
      <c r="P1268">
        <v>580</v>
      </c>
      <c r="Q1268" t="s">
        <v>2817</v>
      </c>
    </row>
    <row r="1269" spans="1:17" x14ac:dyDescent="0.3">
      <c r="A1269" t="s">
        <v>17</v>
      </c>
      <c r="B1269" t="str">
        <f>"603315"</f>
        <v>603315</v>
      </c>
      <c r="C1269" t="s">
        <v>2818</v>
      </c>
      <c r="D1269" t="s">
        <v>274</v>
      </c>
      <c r="F1269">
        <v>26226334</v>
      </c>
      <c r="G1269">
        <v>21749272</v>
      </c>
      <c r="H1269">
        <v>29208836</v>
      </c>
      <c r="I1269">
        <v>10695247</v>
      </c>
      <c r="P1269">
        <v>57</v>
      </c>
      <c r="Q1269" t="s">
        <v>2819</v>
      </c>
    </row>
    <row r="1270" spans="1:17" x14ac:dyDescent="0.3">
      <c r="A1270" t="s">
        <v>17</v>
      </c>
      <c r="B1270" t="str">
        <f>"603316"</f>
        <v>603316</v>
      </c>
      <c r="C1270" t="s">
        <v>2820</v>
      </c>
      <c r="D1270" t="s">
        <v>2417</v>
      </c>
      <c r="F1270">
        <v>45776454</v>
      </c>
      <c r="G1270">
        <v>40820761</v>
      </c>
      <c r="H1270">
        <v>34978409</v>
      </c>
      <c r="I1270">
        <v>24513792</v>
      </c>
      <c r="P1270">
        <v>59</v>
      </c>
      <c r="Q1270" t="s">
        <v>2821</v>
      </c>
    </row>
    <row r="1271" spans="1:17" x14ac:dyDescent="0.3">
      <c r="A1271" t="s">
        <v>17</v>
      </c>
      <c r="B1271" t="str">
        <f>"603317"</f>
        <v>603317</v>
      </c>
      <c r="C1271" t="s">
        <v>2822</v>
      </c>
      <c r="D1271" t="s">
        <v>433</v>
      </c>
      <c r="F1271">
        <v>26207843</v>
      </c>
      <c r="G1271">
        <v>30394820</v>
      </c>
      <c r="H1271">
        <v>25760060</v>
      </c>
      <c r="I1271">
        <v>22381833</v>
      </c>
      <c r="J1271">
        <v>22766791</v>
      </c>
      <c r="K1271">
        <v>24502694</v>
      </c>
      <c r="P1271">
        <v>1436</v>
      </c>
      <c r="Q1271" t="s">
        <v>2823</v>
      </c>
    </row>
    <row r="1272" spans="1:17" x14ac:dyDescent="0.3">
      <c r="A1272" t="s">
        <v>17</v>
      </c>
      <c r="B1272" t="str">
        <f>"603318"</f>
        <v>603318</v>
      </c>
      <c r="C1272" t="s">
        <v>2824</v>
      </c>
      <c r="D1272" t="s">
        <v>749</v>
      </c>
      <c r="F1272">
        <v>12793520</v>
      </c>
      <c r="G1272">
        <v>11143579</v>
      </c>
      <c r="H1272">
        <v>8968455</v>
      </c>
      <c r="I1272">
        <v>17803128</v>
      </c>
      <c r="P1272">
        <v>63</v>
      </c>
      <c r="Q1272" t="s">
        <v>2825</v>
      </c>
    </row>
    <row r="1273" spans="1:17" x14ac:dyDescent="0.3">
      <c r="A1273" t="s">
        <v>17</v>
      </c>
      <c r="B1273" t="str">
        <f>"603319"</f>
        <v>603319</v>
      </c>
      <c r="C1273" t="s">
        <v>2826</v>
      </c>
      <c r="D1273" t="s">
        <v>348</v>
      </c>
      <c r="F1273">
        <v>104789791</v>
      </c>
      <c r="G1273">
        <v>92118919</v>
      </c>
      <c r="H1273">
        <v>67270554</v>
      </c>
      <c r="I1273">
        <v>63207113</v>
      </c>
      <c r="P1273">
        <v>171</v>
      </c>
      <c r="Q1273" t="s">
        <v>2827</v>
      </c>
    </row>
    <row r="1274" spans="1:17" x14ac:dyDescent="0.3">
      <c r="A1274" t="s">
        <v>17</v>
      </c>
      <c r="B1274" t="str">
        <f>"603320"</f>
        <v>603320</v>
      </c>
      <c r="C1274" t="s">
        <v>2828</v>
      </c>
      <c r="D1274" t="s">
        <v>1171</v>
      </c>
      <c r="F1274">
        <v>45383203</v>
      </c>
      <c r="G1274">
        <v>32731187</v>
      </c>
      <c r="H1274">
        <v>27869060</v>
      </c>
      <c r="I1274">
        <v>22826496</v>
      </c>
      <c r="P1274">
        <v>94</v>
      </c>
      <c r="Q1274" t="s">
        <v>2829</v>
      </c>
    </row>
    <row r="1275" spans="1:17" x14ac:dyDescent="0.3">
      <c r="A1275" t="s">
        <v>17</v>
      </c>
      <c r="B1275" t="str">
        <f>"603321"</f>
        <v>603321</v>
      </c>
      <c r="C1275" t="s">
        <v>2830</v>
      </c>
      <c r="D1275" t="s">
        <v>1691</v>
      </c>
      <c r="F1275">
        <v>39730804</v>
      </c>
      <c r="G1275">
        <v>30098954</v>
      </c>
      <c r="H1275">
        <v>28012844</v>
      </c>
      <c r="I1275">
        <v>26722737</v>
      </c>
      <c r="P1275">
        <v>59</v>
      </c>
      <c r="Q1275" t="s">
        <v>2831</v>
      </c>
    </row>
    <row r="1276" spans="1:17" x14ac:dyDescent="0.3">
      <c r="A1276" t="s">
        <v>17</v>
      </c>
      <c r="B1276" t="str">
        <f>"603322"</f>
        <v>603322</v>
      </c>
      <c r="C1276" t="s">
        <v>2832</v>
      </c>
      <c r="D1276" t="s">
        <v>654</v>
      </c>
      <c r="F1276">
        <v>66722352</v>
      </c>
      <c r="G1276">
        <v>57684904</v>
      </c>
      <c r="H1276">
        <v>74405543</v>
      </c>
      <c r="I1276">
        <v>62536303</v>
      </c>
      <c r="P1276">
        <v>184</v>
      </c>
      <c r="Q1276" t="s">
        <v>2833</v>
      </c>
    </row>
    <row r="1277" spans="1:17" x14ac:dyDescent="0.3">
      <c r="A1277" t="s">
        <v>17</v>
      </c>
      <c r="B1277" t="str">
        <f>"603323"</f>
        <v>603323</v>
      </c>
      <c r="C1277" t="s">
        <v>2834</v>
      </c>
      <c r="D1277" t="s">
        <v>1831</v>
      </c>
      <c r="P1277">
        <v>498</v>
      </c>
      <c r="Q1277" t="s">
        <v>2835</v>
      </c>
    </row>
    <row r="1278" spans="1:17" x14ac:dyDescent="0.3">
      <c r="A1278" t="s">
        <v>17</v>
      </c>
      <c r="B1278" t="str">
        <f>"603324"</f>
        <v>603324</v>
      </c>
      <c r="C1278" t="s">
        <v>2836</v>
      </c>
      <c r="D1278" t="s">
        <v>1070</v>
      </c>
      <c r="F1278">
        <v>56186435</v>
      </c>
      <c r="G1278">
        <v>38921613</v>
      </c>
      <c r="H1278">
        <v>39943815</v>
      </c>
      <c r="I1278">
        <v>39312440</v>
      </c>
      <c r="J1278">
        <v>23874137</v>
      </c>
      <c r="P1278">
        <v>29</v>
      </c>
      <c r="Q1278" t="s">
        <v>2837</v>
      </c>
    </row>
    <row r="1279" spans="1:17" x14ac:dyDescent="0.3">
      <c r="A1279" t="s">
        <v>17</v>
      </c>
      <c r="B1279" t="str">
        <f>"603326"</f>
        <v>603326</v>
      </c>
      <c r="C1279" t="s">
        <v>2838</v>
      </c>
      <c r="D1279" t="s">
        <v>2664</v>
      </c>
      <c r="F1279">
        <v>62512660</v>
      </c>
      <c r="G1279">
        <v>44040503</v>
      </c>
      <c r="H1279">
        <v>41146810</v>
      </c>
      <c r="I1279">
        <v>36741008</v>
      </c>
      <c r="P1279">
        <v>247</v>
      </c>
      <c r="Q1279" t="s">
        <v>2839</v>
      </c>
    </row>
    <row r="1280" spans="1:17" x14ac:dyDescent="0.3">
      <c r="A1280" t="s">
        <v>17</v>
      </c>
      <c r="B1280" t="str">
        <f>"603327"</f>
        <v>603327</v>
      </c>
      <c r="C1280" t="s">
        <v>2840</v>
      </c>
      <c r="D1280" t="s">
        <v>313</v>
      </c>
      <c r="F1280">
        <v>16850125</v>
      </c>
      <c r="G1280">
        <v>14822104</v>
      </c>
      <c r="H1280">
        <v>21656926</v>
      </c>
      <c r="I1280">
        <v>7414421</v>
      </c>
      <c r="J1280">
        <v>1586959</v>
      </c>
      <c r="K1280">
        <v>2506861</v>
      </c>
      <c r="P1280">
        <v>347</v>
      </c>
      <c r="Q1280" t="s">
        <v>2841</v>
      </c>
    </row>
    <row r="1281" spans="1:17" x14ac:dyDescent="0.3">
      <c r="A1281" t="s">
        <v>17</v>
      </c>
      <c r="B1281" t="str">
        <f>"603328"</f>
        <v>603328</v>
      </c>
      <c r="C1281" t="s">
        <v>2842</v>
      </c>
      <c r="D1281" t="s">
        <v>425</v>
      </c>
      <c r="F1281">
        <v>95491633</v>
      </c>
      <c r="G1281">
        <v>98701843</v>
      </c>
      <c r="H1281">
        <v>112917638</v>
      </c>
      <c r="I1281">
        <v>108600082</v>
      </c>
      <c r="P1281">
        <v>590</v>
      </c>
      <c r="Q1281" t="s">
        <v>2843</v>
      </c>
    </row>
    <row r="1282" spans="1:17" x14ac:dyDescent="0.3">
      <c r="A1282" t="s">
        <v>17</v>
      </c>
      <c r="B1282" t="str">
        <f>"603329"</f>
        <v>603329</v>
      </c>
      <c r="C1282" t="s">
        <v>2844</v>
      </c>
      <c r="D1282" t="s">
        <v>128</v>
      </c>
      <c r="F1282">
        <v>0</v>
      </c>
      <c r="G1282">
        <v>0</v>
      </c>
      <c r="P1282">
        <v>62</v>
      </c>
      <c r="Q1282" t="s">
        <v>2845</v>
      </c>
    </row>
    <row r="1283" spans="1:17" x14ac:dyDescent="0.3">
      <c r="A1283" t="s">
        <v>17</v>
      </c>
      <c r="B1283" t="str">
        <f>"603330"</f>
        <v>603330</v>
      </c>
      <c r="C1283" t="s">
        <v>2846</v>
      </c>
      <c r="D1283" t="s">
        <v>1192</v>
      </c>
      <c r="F1283">
        <v>37997424</v>
      </c>
      <c r="G1283">
        <v>21899110</v>
      </c>
      <c r="H1283">
        <v>18423174</v>
      </c>
      <c r="I1283">
        <v>17353950</v>
      </c>
      <c r="P1283">
        <v>136</v>
      </c>
      <c r="Q1283" t="s">
        <v>2847</v>
      </c>
    </row>
    <row r="1284" spans="1:17" x14ac:dyDescent="0.3">
      <c r="A1284" t="s">
        <v>17</v>
      </c>
      <c r="B1284" t="str">
        <f>"603331"</f>
        <v>603331</v>
      </c>
      <c r="C1284" t="s">
        <v>2848</v>
      </c>
      <c r="D1284" t="s">
        <v>560</v>
      </c>
      <c r="F1284">
        <v>37421550</v>
      </c>
      <c r="G1284">
        <v>28047038</v>
      </c>
      <c r="H1284">
        <v>26685317</v>
      </c>
      <c r="I1284">
        <v>24712454</v>
      </c>
      <c r="P1284">
        <v>83</v>
      </c>
      <c r="Q1284" t="s">
        <v>2849</v>
      </c>
    </row>
    <row r="1285" spans="1:17" x14ac:dyDescent="0.3">
      <c r="A1285" t="s">
        <v>17</v>
      </c>
      <c r="B1285" t="str">
        <f>"603332"</f>
        <v>603332</v>
      </c>
      <c r="C1285" t="s">
        <v>2850</v>
      </c>
      <c r="D1285" t="s">
        <v>2731</v>
      </c>
      <c r="F1285">
        <v>48036920</v>
      </c>
      <c r="G1285">
        <v>44854559</v>
      </c>
      <c r="H1285">
        <v>72717367</v>
      </c>
      <c r="I1285">
        <v>69015802</v>
      </c>
      <c r="J1285">
        <v>58567659</v>
      </c>
      <c r="K1285">
        <v>51206484</v>
      </c>
      <c r="L1285">
        <v>54048278</v>
      </c>
      <c r="P1285">
        <v>59</v>
      </c>
      <c r="Q1285" t="s">
        <v>2851</v>
      </c>
    </row>
    <row r="1286" spans="1:17" x14ac:dyDescent="0.3">
      <c r="A1286" t="s">
        <v>17</v>
      </c>
      <c r="B1286" t="str">
        <f>"603333"</f>
        <v>603333</v>
      </c>
      <c r="C1286" t="s">
        <v>2852</v>
      </c>
      <c r="D1286" t="s">
        <v>1164</v>
      </c>
      <c r="F1286">
        <v>103554661</v>
      </c>
      <c r="G1286">
        <v>78159139</v>
      </c>
      <c r="H1286">
        <v>80790132</v>
      </c>
      <c r="I1286">
        <v>32924515</v>
      </c>
      <c r="P1286">
        <v>134</v>
      </c>
      <c r="Q1286" t="s">
        <v>2853</v>
      </c>
    </row>
    <row r="1287" spans="1:17" x14ac:dyDescent="0.3">
      <c r="A1287" t="s">
        <v>17</v>
      </c>
      <c r="B1287" t="str">
        <f>"603335"</f>
        <v>603335</v>
      </c>
      <c r="C1287" t="s">
        <v>2854</v>
      </c>
      <c r="D1287" t="s">
        <v>422</v>
      </c>
      <c r="F1287">
        <v>9966391</v>
      </c>
      <c r="G1287">
        <v>8340652</v>
      </c>
      <c r="H1287">
        <v>8064037</v>
      </c>
      <c r="I1287">
        <v>10791011</v>
      </c>
      <c r="P1287">
        <v>66</v>
      </c>
      <c r="Q1287" t="s">
        <v>2855</v>
      </c>
    </row>
    <row r="1288" spans="1:17" x14ac:dyDescent="0.3">
      <c r="A1288" t="s">
        <v>17</v>
      </c>
      <c r="B1288" t="str">
        <f>"603336"</f>
        <v>603336</v>
      </c>
      <c r="C1288" t="s">
        <v>2856</v>
      </c>
      <c r="D1288" t="s">
        <v>258</v>
      </c>
      <c r="F1288">
        <v>0</v>
      </c>
      <c r="G1288">
        <v>0</v>
      </c>
      <c r="P1288">
        <v>179</v>
      </c>
      <c r="Q1288" t="s">
        <v>2857</v>
      </c>
    </row>
    <row r="1289" spans="1:17" x14ac:dyDescent="0.3">
      <c r="A1289" t="s">
        <v>17</v>
      </c>
      <c r="B1289" t="str">
        <f>"603337"</f>
        <v>603337</v>
      </c>
      <c r="C1289" t="s">
        <v>2858</v>
      </c>
      <c r="D1289" t="s">
        <v>534</v>
      </c>
      <c r="F1289">
        <v>384501420</v>
      </c>
      <c r="G1289">
        <v>206683104</v>
      </c>
      <c r="H1289">
        <v>203966478</v>
      </c>
      <c r="I1289">
        <v>204898151</v>
      </c>
      <c r="P1289">
        <v>372</v>
      </c>
      <c r="Q1289" t="s">
        <v>2859</v>
      </c>
    </row>
    <row r="1290" spans="1:17" x14ac:dyDescent="0.3">
      <c r="A1290" t="s">
        <v>17</v>
      </c>
      <c r="B1290" t="str">
        <f>"603338"</f>
        <v>603338</v>
      </c>
      <c r="C1290" t="s">
        <v>2860</v>
      </c>
      <c r="D1290" t="s">
        <v>83</v>
      </c>
      <c r="F1290">
        <v>154945424</v>
      </c>
      <c r="G1290">
        <v>104720121</v>
      </c>
      <c r="H1290">
        <v>79166101</v>
      </c>
      <c r="I1290">
        <v>61487163</v>
      </c>
      <c r="P1290">
        <v>12811</v>
      </c>
      <c r="Q1290" t="s">
        <v>2861</v>
      </c>
    </row>
    <row r="1291" spans="1:17" x14ac:dyDescent="0.3">
      <c r="A1291" t="s">
        <v>17</v>
      </c>
      <c r="B1291" t="str">
        <f>"603339"</f>
        <v>603339</v>
      </c>
      <c r="C1291" t="s">
        <v>2862</v>
      </c>
      <c r="D1291" t="s">
        <v>988</v>
      </c>
      <c r="F1291">
        <v>69238899</v>
      </c>
      <c r="G1291">
        <v>60030760</v>
      </c>
      <c r="H1291">
        <v>48428965</v>
      </c>
      <c r="I1291">
        <v>51663182</v>
      </c>
      <c r="P1291">
        <v>163</v>
      </c>
      <c r="Q1291" t="s">
        <v>2863</v>
      </c>
    </row>
    <row r="1292" spans="1:17" x14ac:dyDescent="0.3">
      <c r="A1292" t="s">
        <v>17</v>
      </c>
      <c r="B1292" t="str">
        <f>"603345"</f>
        <v>603345</v>
      </c>
      <c r="C1292" t="s">
        <v>2864</v>
      </c>
      <c r="D1292" t="s">
        <v>2865</v>
      </c>
      <c r="F1292">
        <v>87791277</v>
      </c>
      <c r="G1292">
        <v>73522030</v>
      </c>
      <c r="H1292">
        <v>74519959</v>
      </c>
      <c r="I1292">
        <v>68383387</v>
      </c>
      <c r="P1292">
        <v>1176</v>
      </c>
      <c r="Q1292" t="s">
        <v>2866</v>
      </c>
    </row>
    <row r="1293" spans="1:17" x14ac:dyDescent="0.3">
      <c r="A1293" t="s">
        <v>17</v>
      </c>
      <c r="B1293" t="str">
        <f>"603348"</f>
        <v>603348</v>
      </c>
      <c r="C1293" t="s">
        <v>2867</v>
      </c>
      <c r="D1293" t="s">
        <v>985</v>
      </c>
      <c r="F1293">
        <v>120126645</v>
      </c>
      <c r="G1293">
        <v>83486089</v>
      </c>
      <c r="H1293">
        <v>62470080</v>
      </c>
      <c r="I1293">
        <v>71607584</v>
      </c>
      <c r="J1293">
        <v>65003032</v>
      </c>
      <c r="P1293">
        <v>193</v>
      </c>
      <c r="Q1293" t="s">
        <v>2868</v>
      </c>
    </row>
    <row r="1294" spans="1:17" x14ac:dyDescent="0.3">
      <c r="A1294" t="s">
        <v>17</v>
      </c>
      <c r="B1294" t="str">
        <f>"603351"</f>
        <v>603351</v>
      </c>
      <c r="C1294" t="s">
        <v>2869</v>
      </c>
      <c r="D1294" t="s">
        <v>496</v>
      </c>
      <c r="F1294">
        <v>41459191</v>
      </c>
      <c r="G1294">
        <v>36586784</v>
      </c>
      <c r="H1294">
        <v>32913141</v>
      </c>
      <c r="I1294">
        <v>24697723</v>
      </c>
      <c r="P1294">
        <v>87</v>
      </c>
      <c r="Q1294" t="s">
        <v>2870</v>
      </c>
    </row>
    <row r="1295" spans="1:17" x14ac:dyDescent="0.3">
      <c r="A1295" t="s">
        <v>17</v>
      </c>
      <c r="B1295" t="str">
        <f>"603353"</f>
        <v>603353</v>
      </c>
      <c r="C1295" t="s">
        <v>2871</v>
      </c>
      <c r="D1295" t="s">
        <v>584</v>
      </c>
      <c r="F1295">
        <v>0</v>
      </c>
      <c r="G1295">
        <v>0</v>
      </c>
      <c r="P1295">
        <v>103</v>
      </c>
      <c r="Q1295" t="s">
        <v>2872</v>
      </c>
    </row>
    <row r="1296" spans="1:17" x14ac:dyDescent="0.3">
      <c r="A1296" t="s">
        <v>17</v>
      </c>
      <c r="B1296" t="str">
        <f>"603355"</f>
        <v>603355</v>
      </c>
      <c r="C1296" t="s">
        <v>2873</v>
      </c>
      <c r="D1296" t="s">
        <v>2720</v>
      </c>
      <c r="F1296">
        <v>435769740</v>
      </c>
      <c r="G1296">
        <v>310278917</v>
      </c>
      <c r="H1296">
        <v>263277732</v>
      </c>
      <c r="I1296">
        <v>244644482</v>
      </c>
      <c r="P1296">
        <v>557</v>
      </c>
      <c r="Q1296" t="s">
        <v>2874</v>
      </c>
    </row>
    <row r="1297" spans="1:17" x14ac:dyDescent="0.3">
      <c r="A1297" t="s">
        <v>17</v>
      </c>
      <c r="B1297" t="str">
        <f>"603356"</f>
        <v>603356</v>
      </c>
      <c r="C1297" t="s">
        <v>2875</v>
      </c>
      <c r="D1297" t="s">
        <v>1691</v>
      </c>
      <c r="F1297">
        <v>36524162</v>
      </c>
      <c r="G1297">
        <v>34206257</v>
      </c>
      <c r="H1297">
        <v>20896497</v>
      </c>
      <c r="I1297">
        <v>16468736</v>
      </c>
      <c r="P1297">
        <v>65</v>
      </c>
      <c r="Q1297" t="s">
        <v>2876</v>
      </c>
    </row>
    <row r="1298" spans="1:17" x14ac:dyDescent="0.3">
      <c r="A1298" t="s">
        <v>17</v>
      </c>
      <c r="B1298" t="str">
        <f>"603357"</f>
        <v>603357</v>
      </c>
      <c r="C1298" t="s">
        <v>2877</v>
      </c>
      <c r="D1298" t="s">
        <v>1272</v>
      </c>
      <c r="F1298">
        <v>101261621</v>
      </c>
      <c r="G1298">
        <v>86435072</v>
      </c>
      <c r="H1298">
        <v>69245883</v>
      </c>
      <c r="I1298">
        <v>60735031</v>
      </c>
      <c r="P1298">
        <v>361</v>
      </c>
      <c r="Q1298" t="s">
        <v>2878</v>
      </c>
    </row>
    <row r="1299" spans="1:17" x14ac:dyDescent="0.3">
      <c r="A1299" t="s">
        <v>17</v>
      </c>
      <c r="B1299" t="str">
        <f>"603358"</f>
        <v>603358</v>
      </c>
      <c r="C1299" t="s">
        <v>2879</v>
      </c>
      <c r="D1299" t="s">
        <v>985</v>
      </c>
      <c r="F1299">
        <v>168928105</v>
      </c>
      <c r="G1299">
        <v>158115209</v>
      </c>
      <c r="H1299">
        <v>161726340</v>
      </c>
      <c r="I1299">
        <v>149852824</v>
      </c>
      <c r="P1299">
        <v>131</v>
      </c>
      <c r="Q1299" t="s">
        <v>2880</v>
      </c>
    </row>
    <row r="1300" spans="1:17" x14ac:dyDescent="0.3">
      <c r="A1300" t="s">
        <v>17</v>
      </c>
      <c r="B1300" t="str">
        <f>"603359"</f>
        <v>603359</v>
      </c>
      <c r="C1300" t="s">
        <v>2881</v>
      </c>
      <c r="D1300" t="s">
        <v>2417</v>
      </c>
      <c r="F1300">
        <v>85003175</v>
      </c>
      <c r="G1300">
        <v>75354376</v>
      </c>
      <c r="H1300">
        <v>62334866</v>
      </c>
      <c r="I1300">
        <v>28997551</v>
      </c>
      <c r="P1300">
        <v>187</v>
      </c>
      <c r="Q1300" t="s">
        <v>2882</v>
      </c>
    </row>
    <row r="1301" spans="1:17" x14ac:dyDescent="0.3">
      <c r="A1301" t="s">
        <v>17</v>
      </c>
      <c r="B1301" t="str">
        <f>"603360"</f>
        <v>603360</v>
      </c>
      <c r="C1301" t="s">
        <v>2883</v>
      </c>
      <c r="D1301" t="s">
        <v>853</v>
      </c>
      <c r="F1301">
        <v>40031670</v>
      </c>
      <c r="G1301">
        <v>28569157</v>
      </c>
      <c r="H1301">
        <v>28137898</v>
      </c>
      <c r="I1301">
        <v>19149686</v>
      </c>
      <c r="P1301">
        <v>402</v>
      </c>
      <c r="Q1301" t="s">
        <v>2884</v>
      </c>
    </row>
    <row r="1302" spans="1:17" x14ac:dyDescent="0.3">
      <c r="A1302" t="s">
        <v>17</v>
      </c>
      <c r="B1302" t="str">
        <f>"603363"</f>
        <v>603363</v>
      </c>
      <c r="C1302" t="s">
        <v>2885</v>
      </c>
      <c r="D1302" t="s">
        <v>2886</v>
      </c>
      <c r="F1302">
        <v>113876867</v>
      </c>
      <c r="G1302">
        <v>65360482</v>
      </c>
      <c r="H1302">
        <v>72850656</v>
      </c>
      <c r="I1302">
        <v>109733395</v>
      </c>
      <c r="P1302">
        <v>310</v>
      </c>
      <c r="Q1302" t="s">
        <v>2887</v>
      </c>
    </row>
    <row r="1303" spans="1:17" x14ac:dyDescent="0.3">
      <c r="A1303" t="s">
        <v>17</v>
      </c>
      <c r="B1303" t="str">
        <f>"603365"</f>
        <v>603365</v>
      </c>
      <c r="C1303" t="s">
        <v>2888</v>
      </c>
      <c r="D1303" t="s">
        <v>2889</v>
      </c>
      <c r="F1303">
        <v>65212274</v>
      </c>
      <c r="G1303">
        <v>63940726</v>
      </c>
      <c r="H1303">
        <v>76129471</v>
      </c>
      <c r="I1303">
        <v>68960933</v>
      </c>
      <c r="P1303">
        <v>243</v>
      </c>
      <c r="Q1303" t="s">
        <v>2890</v>
      </c>
    </row>
    <row r="1304" spans="1:17" x14ac:dyDescent="0.3">
      <c r="A1304" t="s">
        <v>17</v>
      </c>
      <c r="B1304" t="str">
        <f>"603366"</f>
        <v>603366</v>
      </c>
      <c r="C1304" t="s">
        <v>2891</v>
      </c>
      <c r="D1304" t="s">
        <v>2892</v>
      </c>
      <c r="F1304">
        <v>154808777</v>
      </c>
      <c r="G1304">
        <v>116262903</v>
      </c>
      <c r="H1304">
        <v>81681966</v>
      </c>
      <c r="I1304">
        <v>77990800</v>
      </c>
      <c r="P1304">
        <v>121</v>
      </c>
      <c r="Q1304" t="s">
        <v>2893</v>
      </c>
    </row>
    <row r="1305" spans="1:17" x14ac:dyDescent="0.3">
      <c r="A1305" t="s">
        <v>17</v>
      </c>
      <c r="B1305" t="str">
        <f>"603367"</f>
        <v>603367</v>
      </c>
      <c r="C1305" t="s">
        <v>2894</v>
      </c>
      <c r="D1305" t="s">
        <v>143</v>
      </c>
      <c r="F1305">
        <v>334345850</v>
      </c>
      <c r="G1305">
        <v>309584545</v>
      </c>
      <c r="H1305">
        <v>310560078</v>
      </c>
      <c r="I1305">
        <v>325981317</v>
      </c>
      <c r="P1305">
        <v>245</v>
      </c>
      <c r="Q1305" t="s">
        <v>2895</v>
      </c>
    </row>
    <row r="1306" spans="1:17" x14ac:dyDescent="0.3">
      <c r="A1306" t="s">
        <v>17</v>
      </c>
      <c r="B1306" t="str">
        <f>"603368"</f>
        <v>603368</v>
      </c>
      <c r="C1306" t="s">
        <v>2896</v>
      </c>
      <c r="D1306" t="s">
        <v>125</v>
      </c>
      <c r="F1306">
        <v>18607627</v>
      </c>
      <c r="G1306">
        <v>8742101</v>
      </c>
      <c r="H1306">
        <v>2779394</v>
      </c>
      <c r="P1306">
        <v>532</v>
      </c>
      <c r="Q1306" t="s">
        <v>2897</v>
      </c>
    </row>
    <row r="1307" spans="1:17" x14ac:dyDescent="0.3">
      <c r="A1307" t="s">
        <v>17</v>
      </c>
      <c r="B1307" t="str">
        <f>"603369"</f>
        <v>603369</v>
      </c>
      <c r="C1307" t="s">
        <v>2898</v>
      </c>
      <c r="D1307" t="s">
        <v>458</v>
      </c>
      <c r="F1307">
        <v>30414067</v>
      </c>
      <c r="G1307">
        <v>22299727</v>
      </c>
      <c r="H1307">
        <v>14219823</v>
      </c>
      <c r="I1307">
        <v>14391951</v>
      </c>
      <c r="P1307">
        <v>35434</v>
      </c>
      <c r="Q1307" t="s">
        <v>2899</v>
      </c>
    </row>
    <row r="1308" spans="1:17" x14ac:dyDescent="0.3">
      <c r="A1308" t="s">
        <v>17</v>
      </c>
      <c r="B1308" t="str">
        <f>"603377"</f>
        <v>603377</v>
      </c>
      <c r="C1308" t="s">
        <v>2900</v>
      </c>
      <c r="D1308" t="s">
        <v>1336</v>
      </c>
      <c r="F1308">
        <v>31890176</v>
      </c>
      <c r="G1308">
        <v>15785466</v>
      </c>
      <c r="H1308">
        <v>29419382</v>
      </c>
      <c r="I1308">
        <v>16085655</v>
      </c>
      <c r="P1308">
        <v>171</v>
      </c>
      <c r="Q1308" t="s">
        <v>2901</v>
      </c>
    </row>
    <row r="1309" spans="1:17" x14ac:dyDescent="0.3">
      <c r="A1309" t="s">
        <v>17</v>
      </c>
      <c r="B1309" t="str">
        <f>"603378"</f>
        <v>603378</v>
      </c>
      <c r="C1309" t="s">
        <v>2902</v>
      </c>
      <c r="D1309" t="s">
        <v>2903</v>
      </c>
      <c r="F1309">
        <v>118085012</v>
      </c>
      <c r="G1309">
        <v>96446558</v>
      </c>
      <c r="H1309">
        <v>64475083</v>
      </c>
      <c r="I1309">
        <v>47163702</v>
      </c>
      <c r="P1309">
        <v>203</v>
      </c>
      <c r="Q1309" t="s">
        <v>2904</v>
      </c>
    </row>
    <row r="1310" spans="1:17" x14ac:dyDescent="0.3">
      <c r="A1310" t="s">
        <v>17</v>
      </c>
      <c r="B1310" t="str">
        <f>"603379"</f>
        <v>603379</v>
      </c>
      <c r="C1310" t="s">
        <v>2905</v>
      </c>
      <c r="D1310" t="s">
        <v>375</v>
      </c>
      <c r="F1310">
        <v>26824072</v>
      </c>
      <c r="G1310">
        <v>25250240</v>
      </c>
      <c r="H1310">
        <v>23070002</v>
      </c>
      <c r="I1310">
        <v>24046863</v>
      </c>
      <c r="J1310">
        <v>22226029</v>
      </c>
      <c r="K1310">
        <v>12363063</v>
      </c>
      <c r="P1310">
        <v>140</v>
      </c>
      <c r="Q1310" t="s">
        <v>2906</v>
      </c>
    </row>
    <row r="1311" spans="1:17" x14ac:dyDescent="0.3">
      <c r="A1311" t="s">
        <v>17</v>
      </c>
      <c r="B1311" t="str">
        <f>"603380"</f>
        <v>603380</v>
      </c>
      <c r="C1311" t="s">
        <v>2907</v>
      </c>
      <c r="D1311" t="s">
        <v>313</v>
      </c>
      <c r="F1311">
        <v>78907736</v>
      </c>
      <c r="G1311">
        <v>53748495</v>
      </c>
      <c r="H1311">
        <v>51057495</v>
      </c>
      <c r="I1311">
        <v>45118410</v>
      </c>
      <c r="P1311">
        <v>211</v>
      </c>
      <c r="Q1311" t="s">
        <v>2908</v>
      </c>
    </row>
    <row r="1312" spans="1:17" x14ac:dyDescent="0.3">
      <c r="A1312" t="s">
        <v>17</v>
      </c>
      <c r="B1312" t="str">
        <f>"603383"</f>
        <v>603383</v>
      </c>
      <c r="C1312" t="s">
        <v>2909</v>
      </c>
      <c r="D1312" t="s">
        <v>945</v>
      </c>
      <c r="F1312">
        <v>123443893</v>
      </c>
      <c r="G1312">
        <v>88747004</v>
      </c>
      <c r="H1312">
        <v>71085998</v>
      </c>
      <c r="I1312">
        <v>61369666</v>
      </c>
      <c r="P1312">
        <v>190</v>
      </c>
      <c r="Q1312" t="s">
        <v>2910</v>
      </c>
    </row>
    <row r="1313" spans="1:17" x14ac:dyDescent="0.3">
      <c r="A1313" t="s">
        <v>17</v>
      </c>
      <c r="B1313" t="str">
        <f>"603385"</f>
        <v>603385</v>
      </c>
      <c r="C1313" t="s">
        <v>2911</v>
      </c>
      <c r="D1313" t="s">
        <v>2912</v>
      </c>
      <c r="F1313">
        <v>166874459</v>
      </c>
      <c r="G1313">
        <v>134667666</v>
      </c>
      <c r="H1313">
        <v>123693454</v>
      </c>
      <c r="I1313">
        <v>88824771</v>
      </c>
      <c r="P1313">
        <v>192</v>
      </c>
      <c r="Q1313" t="s">
        <v>2913</v>
      </c>
    </row>
    <row r="1314" spans="1:17" x14ac:dyDescent="0.3">
      <c r="A1314" t="s">
        <v>17</v>
      </c>
      <c r="B1314" t="str">
        <f>"603386"</f>
        <v>603386</v>
      </c>
      <c r="C1314" t="s">
        <v>2914</v>
      </c>
      <c r="D1314" t="s">
        <v>425</v>
      </c>
      <c r="F1314">
        <v>135419991</v>
      </c>
      <c r="G1314">
        <v>113188190</v>
      </c>
      <c r="H1314">
        <v>77260415</v>
      </c>
      <c r="I1314">
        <v>56380956</v>
      </c>
      <c r="P1314">
        <v>182</v>
      </c>
      <c r="Q1314" t="s">
        <v>2915</v>
      </c>
    </row>
    <row r="1315" spans="1:17" x14ac:dyDescent="0.3">
      <c r="A1315" t="s">
        <v>17</v>
      </c>
      <c r="B1315" t="str">
        <f>"603387"</f>
        <v>603387</v>
      </c>
      <c r="C1315" t="s">
        <v>2916</v>
      </c>
      <c r="D1315" t="s">
        <v>1305</v>
      </c>
      <c r="F1315">
        <v>163393417</v>
      </c>
      <c r="G1315">
        <v>119068255</v>
      </c>
      <c r="H1315">
        <v>104730849</v>
      </c>
      <c r="I1315">
        <v>80595327</v>
      </c>
      <c r="P1315">
        <v>1500</v>
      </c>
      <c r="Q1315" t="s">
        <v>2917</v>
      </c>
    </row>
    <row r="1316" spans="1:17" x14ac:dyDescent="0.3">
      <c r="A1316" t="s">
        <v>17</v>
      </c>
      <c r="B1316" t="str">
        <f>"603388"</f>
        <v>603388</v>
      </c>
      <c r="C1316" t="s">
        <v>2918</v>
      </c>
      <c r="D1316" t="s">
        <v>2417</v>
      </c>
      <c r="F1316">
        <v>20879385</v>
      </c>
      <c r="G1316">
        <v>24968424</v>
      </c>
      <c r="H1316">
        <v>34347186</v>
      </c>
      <c r="I1316">
        <v>41339155</v>
      </c>
      <c r="P1316">
        <v>63</v>
      </c>
      <c r="Q1316" t="s">
        <v>2919</v>
      </c>
    </row>
    <row r="1317" spans="1:17" x14ac:dyDescent="0.3">
      <c r="A1317" t="s">
        <v>17</v>
      </c>
      <c r="B1317" t="str">
        <f>"603389"</f>
        <v>603389</v>
      </c>
      <c r="C1317" t="s">
        <v>2920</v>
      </c>
      <c r="D1317" t="s">
        <v>757</v>
      </c>
      <c r="F1317">
        <v>14384378</v>
      </c>
      <c r="G1317">
        <v>12232223</v>
      </c>
      <c r="H1317">
        <v>17441737</v>
      </c>
      <c r="I1317">
        <v>18400168</v>
      </c>
      <c r="P1317">
        <v>80</v>
      </c>
      <c r="Q1317" t="s">
        <v>2921</v>
      </c>
    </row>
    <row r="1318" spans="1:17" x14ac:dyDescent="0.3">
      <c r="A1318" t="s">
        <v>17</v>
      </c>
      <c r="B1318" t="str">
        <f>"603390"</f>
        <v>603390</v>
      </c>
      <c r="C1318" t="s">
        <v>2922</v>
      </c>
      <c r="D1318" t="s">
        <v>1415</v>
      </c>
      <c r="F1318">
        <v>74438138</v>
      </c>
      <c r="G1318">
        <v>74393761</v>
      </c>
      <c r="H1318">
        <v>57409058</v>
      </c>
      <c r="I1318">
        <v>55647022</v>
      </c>
      <c r="J1318">
        <v>36099336</v>
      </c>
      <c r="K1318">
        <v>24026007</v>
      </c>
      <c r="P1318">
        <v>89</v>
      </c>
      <c r="Q1318" t="s">
        <v>2923</v>
      </c>
    </row>
    <row r="1319" spans="1:17" x14ac:dyDescent="0.3">
      <c r="A1319" t="s">
        <v>17</v>
      </c>
      <c r="B1319" t="str">
        <f>"603392"</f>
        <v>603392</v>
      </c>
      <c r="C1319" t="s">
        <v>2924</v>
      </c>
      <c r="D1319" t="s">
        <v>1305</v>
      </c>
      <c r="F1319">
        <v>681822864</v>
      </c>
      <c r="G1319">
        <v>314332164</v>
      </c>
      <c r="H1319">
        <v>165979956</v>
      </c>
      <c r="I1319">
        <v>138339181</v>
      </c>
      <c r="J1319">
        <v>158817739</v>
      </c>
      <c r="P1319">
        <v>552</v>
      </c>
      <c r="Q1319" t="s">
        <v>2925</v>
      </c>
    </row>
    <row r="1320" spans="1:17" x14ac:dyDescent="0.3">
      <c r="A1320" t="s">
        <v>17</v>
      </c>
      <c r="B1320" t="str">
        <f>"603393"</f>
        <v>603393</v>
      </c>
      <c r="C1320" t="s">
        <v>2926</v>
      </c>
      <c r="D1320" t="s">
        <v>749</v>
      </c>
      <c r="F1320">
        <v>0</v>
      </c>
      <c r="G1320">
        <v>0</v>
      </c>
      <c r="H1320">
        <v>0</v>
      </c>
      <c r="P1320">
        <v>498</v>
      </c>
      <c r="Q1320" t="s">
        <v>2927</v>
      </c>
    </row>
    <row r="1321" spans="1:17" x14ac:dyDescent="0.3">
      <c r="A1321" t="s">
        <v>17</v>
      </c>
      <c r="B1321" t="str">
        <f>"603396"</f>
        <v>603396</v>
      </c>
      <c r="C1321" t="s">
        <v>2928</v>
      </c>
      <c r="D1321" t="s">
        <v>2671</v>
      </c>
      <c r="F1321">
        <v>129870916</v>
      </c>
      <c r="G1321">
        <v>72240576</v>
      </c>
      <c r="H1321">
        <v>76284553</v>
      </c>
      <c r="I1321">
        <v>58738721</v>
      </c>
      <c r="P1321">
        <v>217</v>
      </c>
      <c r="Q1321" t="s">
        <v>2929</v>
      </c>
    </row>
    <row r="1322" spans="1:17" x14ac:dyDescent="0.3">
      <c r="A1322" t="s">
        <v>17</v>
      </c>
      <c r="B1322" t="str">
        <f>"603398"</f>
        <v>603398</v>
      </c>
      <c r="C1322" t="s">
        <v>2930</v>
      </c>
      <c r="D1322" t="s">
        <v>2931</v>
      </c>
      <c r="F1322">
        <v>17523026</v>
      </c>
      <c r="G1322">
        <v>18535055</v>
      </c>
      <c r="H1322">
        <v>18398861</v>
      </c>
      <c r="I1322">
        <v>17358099</v>
      </c>
      <c r="P1322">
        <v>89</v>
      </c>
      <c r="Q1322" t="s">
        <v>2932</v>
      </c>
    </row>
    <row r="1323" spans="1:17" x14ac:dyDescent="0.3">
      <c r="A1323" t="s">
        <v>17</v>
      </c>
      <c r="B1323" t="str">
        <f>"603399"</f>
        <v>603399</v>
      </c>
      <c r="C1323" t="s">
        <v>2933</v>
      </c>
      <c r="D1323" t="s">
        <v>2363</v>
      </c>
      <c r="F1323">
        <v>1947754</v>
      </c>
      <c r="G1323">
        <v>1549390</v>
      </c>
      <c r="H1323">
        <v>1035185</v>
      </c>
      <c r="I1323">
        <v>772436</v>
      </c>
      <c r="P1323">
        <v>72</v>
      </c>
      <c r="Q1323" t="s">
        <v>2934</v>
      </c>
    </row>
    <row r="1324" spans="1:17" x14ac:dyDescent="0.3">
      <c r="A1324" t="s">
        <v>17</v>
      </c>
      <c r="B1324" t="str">
        <f>"603408"</f>
        <v>603408</v>
      </c>
      <c r="C1324" t="s">
        <v>2935</v>
      </c>
      <c r="D1324" t="s">
        <v>2912</v>
      </c>
      <c r="F1324">
        <v>249681732</v>
      </c>
      <c r="G1324">
        <v>217207836</v>
      </c>
      <c r="H1324">
        <v>219220352</v>
      </c>
      <c r="I1324">
        <v>202156029</v>
      </c>
      <c r="J1324">
        <v>160542728</v>
      </c>
      <c r="P1324">
        <v>98</v>
      </c>
      <c r="Q1324" t="s">
        <v>2936</v>
      </c>
    </row>
    <row r="1325" spans="1:17" x14ac:dyDescent="0.3">
      <c r="A1325" t="s">
        <v>17</v>
      </c>
      <c r="B1325" t="str">
        <f>"603416"</f>
        <v>603416</v>
      </c>
      <c r="C1325" t="s">
        <v>2937</v>
      </c>
      <c r="D1325" t="s">
        <v>2938</v>
      </c>
      <c r="F1325">
        <v>108169269</v>
      </c>
      <c r="G1325">
        <v>77267019</v>
      </c>
      <c r="H1325">
        <v>55028868</v>
      </c>
      <c r="I1325">
        <v>44719253</v>
      </c>
      <c r="P1325">
        <v>325</v>
      </c>
      <c r="Q1325" t="s">
        <v>2939</v>
      </c>
    </row>
    <row r="1326" spans="1:17" x14ac:dyDescent="0.3">
      <c r="A1326" t="s">
        <v>17</v>
      </c>
      <c r="B1326" t="str">
        <f>"603421"</f>
        <v>603421</v>
      </c>
      <c r="C1326" t="s">
        <v>2940</v>
      </c>
      <c r="D1326" t="s">
        <v>1019</v>
      </c>
      <c r="F1326">
        <v>390350095</v>
      </c>
      <c r="G1326">
        <v>289391564</v>
      </c>
      <c r="H1326">
        <v>235498301</v>
      </c>
      <c r="I1326">
        <v>265276339</v>
      </c>
      <c r="P1326">
        <v>138</v>
      </c>
      <c r="Q1326" t="s">
        <v>2941</v>
      </c>
    </row>
    <row r="1327" spans="1:17" x14ac:dyDescent="0.3">
      <c r="A1327" t="s">
        <v>17</v>
      </c>
      <c r="B1327" t="str">
        <f>"603429"</f>
        <v>603429</v>
      </c>
      <c r="C1327" t="s">
        <v>2942</v>
      </c>
      <c r="D1327" t="s">
        <v>2165</v>
      </c>
      <c r="F1327">
        <v>39440990</v>
      </c>
      <c r="G1327">
        <v>38099178</v>
      </c>
      <c r="H1327">
        <v>36300651</v>
      </c>
      <c r="I1327">
        <v>29188686</v>
      </c>
      <c r="P1327">
        <v>368</v>
      </c>
      <c r="Q1327" t="s">
        <v>2943</v>
      </c>
    </row>
    <row r="1328" spans="1:17" x14ac:dyDescent="0.3">
      <c r="A1328" t="s">
        <v>17</v>
      </c>
      <c r="B1328" t="str">
        <f>"603439"</f>
        <v>603439</v>
      </c>
      <c r="C1328" t="s">
        <v>2944</v>
      </c>
      <c r="D1328" t="s">
        <v>188</v>
      </c>
      <c r="F1328">
        <v>7681371</v>
      </c>
      <c r="G1328">
        <v>5630850</v>
      </c>
      <c r="H1328">
        <v>3510787</v>
      </c>
      <c r="I1328">
        <v>6863323</v>
      </c>
      <c r="J1328">
        <v>2700027</v>
      </c>
      <c r="P1328">
        <v>293</v>
      </c>
      <c r="Q1328" t="s">
        <v>2945</v>
      </c>
    </row>
    <row r="1329" spans="1:17" x14ac:dyDescent="0.3">
      <c r="A1329" t="s">
        <v>17</v>
      </c>
      <c r="B1329" t="str">
        <f>"603444"</f>
        <v>603444</v>
      </c>
      <c r="C1329" t="s">
        <v>2946</v>
      </c>
      <c r="D1329" t="s">
        <v>517</v>
      </c>
      <c r="F1329">
        <v>608615348</v>
      </c>
      <c r="G1329">
        <v>430574496</v>
      </c>
      <c r="H1329">
        <v>332176923</v>
      </c>
      <c r="I1329">
        <v>287016546</v>
      </c>
      <c r="P1329">
        <v>4236</v>
      </c>
      <c r="Q1329" t="s">
        <v>2947</v>
      </c>
    </row>
    <row r="1330" spans="1:17" x14ac:dyDescent="0.3">
      <c r="A1330" t="s">
        <v>17</v>
      </c>
      <c r="B1330" t="str">
        <f>"603456"</f>
        <v>603456</v>
      </c>
      <c r="C1330" t="s">
        <v>2948</v>
      </c>
      <c r="D1330" t="s">
        <v>1461</v>
      </c>
      <c r="F1330">
        <v>173358974</v>
      </c>
      <c r="G1330">
        <v>114228554</v>
      </c>
      <c r="H1330">
        <v>94502129</v>
      </c>
      <c r="I1330">
        <v>87150763</v>
      </c>
      <c r="P1330">
        <v>453</v>
      </c>
      <c r="Q1330" t="s">
        <v>2949</v>
      </c>
    </row>
    <row r="1331" spans="1:17" x14ac:dyDescent="0.3">
      <c r="A1331" t="s">
        <v>17</v>
      </c>
      <c r="B1331" t="str">
        <f>"603458"</f>
        <v>603458</v>
      </c>
      <c r="C1331" t="s">
        <v>2950</v>
      </c>
      <c r="D1331" t="s">
        <v>1272</v>
      </c>
      <c r="F1331">
        <v>61379874</v>
      </c>
      <c r="G1331">
        <v>98709676</v>
      </c>
      <c r="H1331">
        <v>84277159</v>
      </c>
      <c r="I1331">
        <v>71851119</v>
      </c>
      <c r="P1331">
        <v>474</v>
      </c>
      <c r="Q1331" t="s">
        <v>2951</v>
      </c>
    </row>
    <row r="1332" spans="1:17" x14ac:dyDescent="0.3">
      <c r="A1332" t="s">
        <v>17</v>
      </c>
      <c r="B1332" t="str">
        <f>"603466"</f>
        <v>603466</v>
      </c>
      <c r="C1332" t="s">
        <v>2952</v>
      </c>
      <c r="D1332" t="s">
        <v>2953</v>
      </c>
      <c r="F1332">
        <v>99214953</v>
      </c>
      <c r="G1332">
        <v>84534160</v>
      </c>
      <c r="H1332">
        <v>67399319</v>
      </c>
      <c r="I1332">
        <v>63544768</v>
      </c>
      <c r="P1332">
        <v>406</v>
      </c>
      <c r="Q1332" t="s">
        <v>2954</v>
      </c>
    </row>
    <row r="1333" spans="1:17" x14ac:dyDescent="0.3">
      <c r="A1333" t="s">
        <v>17</v>
      </c>
      <c r="B1333" t="str">
        <f>"603477"</f>
        <v>603477</v>
      </c>
      <c r="C1333" t="s">
        <v>2955</v>
      </c>
      <c r="D1333" t="s">
        <v>2956</v>
      </c>
      <c r="F1333">
        <v>14884232</v>
      </c>
      <c r="G1333">
        <v>10362907</v>
      </c>
      <c r="H1333">
        <v>3792653</v>
      </c>
      <c r="I1333">
        <v>3540489</v>
      </c>
      <c r="P1333">
        <v>136</v>
      </c>
      <c r="Q1333" t="s">
        <v>2957</v>
      </c>
    </row>
    <row r="1334" spans="1:17" x14ac:dyDescent="0.3">
      <c r="A1334" t="s">
        <v>17</v>
      </c>
      <c r="B1334" t="str">
        <f>"603486"</f>
        <v>603486</v>
      </c>
      <c r="C1334" t="s">
        <v>2958</v>
      </c>
      <c r="D1334" t="s">
        <v>2720</v>
      </c>
      <c r="F1334">
        <v>549111569</v>
      </c>
      <c r="G1334">
        <v>338019840</v>
      </c>
      <c r="H1334">
        <v>277334497</v>
      </c>
      <c r="I1334">
        <v>205129094</v>
      </c>
      <c r="J1334">
        <v>124067824</v>
      </c>
      <c r="P1334">
        <v>833</v>
      </c>
      <c r="Q1334" t="s">
        <v>2959</v>
      </c>
    </row>
    <row r="1335" spans="1:17" x14ac:dyDescent="0.3">
      <c r="A1335" t="s">
        <v>17</v>
      </c>
      <c r="B1335" t="str">
        <f>"603488"</f>
        <v>603488</v>
      </c>
      <c r="C1335" t="s">
        <v>2960</v>
      </c>
      <c r="D1335" t="s">
        <v>1691</v>
      </c>
      <c r="F1335">
        <v>18330544</v>
      </c>
      <c r="G1335">
        <v>14962195</v>
      </c>
      <c r="H1335">
        <v>12973318</v>
      </c>
      <c r="I1335">
        <v>11527459</v>
      </c>
      <c r="P1335">
        <v>64</v>
      </c>
      <c r="Q1335" t="s">
        <v>2961</v>
      </c>
    </row>
    <row r="1336" spans="1:17" x14ac:dyDescent="0.3">
      <c r="A1336" t="s">
        <v>17</v>
      </c>
      <c r="B1336" t="str">
        <f>"603489"</f>
        <v>603489</v>
      </c>
      <c r="C1336" t="s">
        <v>2962</v>
      </c>
      <c r="D1336" t="s">
        <v>1171</v>
      </c>
      <c r="F1336">
        <v>80674191</v>
      </c>
      <c r="G1336">
        <v>47136722</v>
      </c>
      <c r="H1336">
        <v>43897830</v>
      </c>
      <c r="I1336">
        <v>30622421</v>
      </c>
      <c r="J1336">
        <v>22370885</v>
      </c>
      <c r="K1336">
        <v>13613898</v>
      </c>
      <c r="P1336">
        <v>490</v>
      </c>
      <c r="Q1336" t="s">
        <v>2963</v>
      </c>
    </row>
    <row r="1337" spans="1:17" x14ac:dyDescent="0.3">
      <c r="A1337" t="s">
        <v>17</v>
      </c>
      <c r="B1337" t="str">
        <f>"603496"</f>
        <v>603496</v>
      </c>
      <c r="C1337" t="s">
        <v>2964</v>
      </c>
      <c r="D1337" t="s">
        <v>236</v>
      </c>
      <c r="F1337">
        <v>133879607</v>
      </c>
      <c r="G1337">
        <v>112473173</v>
      </c>
      <c r="H1337">
        <v>110127671</v>
      </c>
      <c r="I1337">
        <v>77180998</v>
      </c>
      <c r="P1337">
        <v>193</v>
      </c>
      <c r="Q1337" t="s">
        <v>2965</v>
      </c>
    </row>
    <row r="1338" spans="1:17" x14ac:dyDescent="0.3">
      <c r="A1338" t="s">
        <v>17</v>
      </c>
      <c r="B1338" t="str">
        <f>"603499"</f>
        <v>603499</v>
      </c>
      <c r="C1338" t="s">
        <v>2966</v>
      </c>
      <c r="D1338" t="s">
        <v>2165</v>
      </c>
      <c r="F1338">
        <v>34783530</v>
      </c>
      <c r="G1338">
        <v>23558784</v>
      </c>
      <c r="H1338">
        <v>15619166</v>
      </c>
      <c r="I1338">
        <v>12720607</v>
      </c>
      <c r="P1338">
        <v>83</v>
      </c>
      <c r="Q1338" t="s">
        <v>2967</v>
      </c>
    </row>
    <row r="1339" spans="1:17" x14ac:dyDescent="0.3">
      <c r="A1339" t="s">
        <v>17</v>
      </c>
      <c r="B1339" t="str">
        <f>"603500"</f>
        <v>603500</v>
      </c>
      <c r="C1339" t="s">
        <v>2968</v>
      </c>
      <c r="D1339" t="s">
        <v>1012</v>
      </c>
      <c r="F1339">
        <v>18782112</v>
      </c>
      <c r="G1339">
        <v>14287176</v>
      </c>
      <c r="H1339">
        <v>13269481</v>
      </c>
      <c r="I1339">
        <v>11606845</v>
      </c>
      <c r="P1339">
        <v>91</v>
      </c>
      <c r="Q1339" t="s">
        <v>2969</v>
      </c>
    </row>
    <row r="1340" spans="1:17" x14ac:dyDescent="0.3">
      <c r="A1340" t="s">
        <v>17</v>
      </c>
      <c r="B1340" t="str">
        <f>"603501"</f>
        <v>603501</v>
      </c>
      <c r="C1340" t="s">
        <v>2970</v>
      </c>
      <c r="D1340" t="s">
        <v>461</v>
      </c>
      <c r="F1340">
        <v>2110218108</v>
      </c>
      <c r="G1340">
        <v>1726871031</v>
      </c>
      <c r="H1340">
        <v>1282484374</v>
      </c>
      <c r="I1340">
        <v>127344491</v>
      </c>
      <c r="P1340">
        <v>2200</v>
      </c>
      <c r="Q1340" t="s">
        <v>2971</v>
      </c>
    </row>
    <row r="1341" spans="1:17" x14ac:dyDescent="0.3">
      <c r="A1341" t="s">
        <v>17</v>
      </c>
      <c r="B1341" t="str">
        <f>"603505"</f>
        <v>603505</v>
      </c>
      <c r="C1341" t="s">
        <v>2972</v>
      </c>
      <c r="D1341" t="s">
        <v>375</v>
      </c>
      <c r="F1341">
        <v>30256458</v>
      </c>
      <c r="G1341">
        <v>28223064</v>
      </c>
      <c r="H1341">
        <v>14989678</v>
      </c>
      <c r="I1341">
        <v>5598281</v>
      </c>
      <c r="P1341">
        <v>325</v>
      </c>
      <c r="Q1341" t="s">
        <v>2973</v>
      </c>
    </row>
    <row r="1342" spans="1:17" x14ac:dyDescent="0.3">
      <c r="A1342" t="s">
        <v>17</v>
      </c>
      <c r="B1342" t="str">
        <f>"603506"</f>
        <v>603506</v>
      </c>
      <c r="C1342" t="s">
        <v>2974</v>
      </c>
      <c r="D1342" t="s">
        <v>2975</v>
      </c>
      <c r="F1342">
        <v>1695548</v>
      </c>
      <c r="G1342">
        <v>1028221</v>
      </c>
      <c r="H1342">
        <v>1555274</v>
      </c>
      <c r="I1342">
        <v>1801836</v>
      </c>
      <c r="P1342">
        <v>355</v>
      </c>
      <c r="Q1342" t="s">
        <v>2976</v>
      </c>
    </row>
    <row r="1343" spans="1:17" x14ac:dyDescent="0.3">
      <c r="A1343" t="s">
        <v>17</v>
      </c>
      <c r="B1343" t="str">
        <f>"603507"</f>
        <v>603507</v>
      </c>
      <c r="C1343" t="s">
        <v>2977</v>
      </c>
      <c r="D1343" t="s">
        <v>950</v>
      </c>
      <c r="F1343">
        <v>80372225</v>
      </c>
      <c r="G1343">
        <v>70521227</v>
      </c>
      <c r="H1343">
        <v>62078170</v>
      </c>
      <c r="I1343">
        <v>29462290</v>
      </c>
      <c r="P1343">
        <v>135</v>
      </c>
      <c r="Q1343" t="s">
        <v>2978</v>
      </c>
    </row>
    <row r="1344" spans="1:17" x14ac:dyDescent="0.3">
      <c r="A1344" t="s">
        <v>17</v>
      </c>
      <c r="B1344" t="str">
        <f>"603508"</f>
        <v>603508</v>
      </c>
      <c r="C1344" t="s">
        <v>2979</v>
      </c>
      <c r="D1344" t="s">
        <v>2980</v>
      </c>
      <c r="F1344">
        <v>114795008</v>
      </c>
      <c r="G1344">
        <v>110027918</v>
      </c>
      <c r="H1344">
        <v>167984973</v>
      </c>
      <c r="I1344">
        <v>96133937</v>
      </c>
      <c r="P1344">
        <v>219</v>
      </c>
      <c r="Q1344" t="s">
        <v>2981</v>
      </c>
    </row>
    <row r="1345" spans="1:17" x14ac:dyDescent="0.3">
      <c r="A1345" t="s">
        <v>17</v>
      </c>
      <c r="B1345" t="str">
        <f>"603511"</f>
        <v>603511</v>
      </c>
      <c r="C1345" t="s">
        <v>2982</v>
      </c>
      <c r="D1345" t="s">
        <v>330</v>
      </c>
      <c r="F1345">
        <v>115302126</v>
      </c>
      <c r="G1345">
        <v>109340139</v>
      </c>
      <c r="H1345">
        <v>105947908</v>
      </c>
      <c r="I1345">
        <v>103132035</v>
      </c>
      <c r="J1345">
        <v>94885622</v>
      </c>
      <c r="P1345">
        <v>47</v>
      </c>
      <c r="Q1345" t="s">
        <v>2983</v>
      </c>
    </row>
    <row r="1346" spans="1:17" x14ac:dyDescent="0.3">
      <c r="A1346" t="s">
        <v>17</v>
      </c>
      <c r="B1346" t="str">
        <f>"603515"</f>
        <v>603515</v>
      </c>
      <c r="C1346" t="s">
        <v>2984</v>
      </c>
      <c r="D1346" t="s">
        <v>598</v>
      </c>
      <c r="F1346">
        <v>321357206</v>
      </c>
      <c r="G1346">
        <v>302038669</v>
      </c>
      <c r="H1346">
        <v>321155458</v>
      </c>
      <c r="I1346">
        <v>316740144</v>
      </c>
      <c r="P1346">
        <v>2557</v>
      </c>
      <c r="Q1346" t="s">
        <v>2985</v>
      </c>
    </row>
    <row r="1347" spans="1:17" x14ac:dyDescent="0.3">
      <c r="A1347" t="s">
        <v>17</v>
      </c>
      <c r="B1347" t="str">
        <f>"603516"</f>
        <v>603516</v>
      </c>
      <c r="C1347" t="s">
        <v>2986</v>
      </c>
      <c r="D1347" t="s">
        <v>236</v>
      </c>
      <c r="F1347">
        <v>66106143</v>
      </c>
      <c r="G1347">
        <v>61599886</v>
      </c>
      <c r="H1347">
        <v>50124409</v>
      </c>
      <c r="I1347">
        <v>47167799</v>
      </c>
      <c r="P1347">
        <v>202</v>
      </c>
      <c r="Q1347" t="s">
        <v>2987</v>
      </c>
    </row>
    <row r="1348" spans="1:17" x14ac:dyDescent="0.3">
      <c r="A1348" t="s">
        <v>17</v>
      </c>
      <c r="B1348" t="str">
        <f>"603517"</f>
        <v>603517</v>
      </c>
      <c r="C1348" t="s">
        <v>2988</v>
      </c>
      <c r="D1348" t="s">
        <v>2989</v>
      </c>
      <c r="F1348">
        <v>37532429</v>
      </c>
      <c r="G1348">
        <v>11407690</v>
      </c>
      <c r="H1348">
        <v>15932469</v>
      </c>
      <c r="I1348">
        <v>10053630</v>
      </c>
      <c r="P1348">
        <v>2369</v>
      </c>
      <c r="Q1348" t="s">
        <v>2990</v>
      </c>
    </row>
    <row r="1349" spans="1:17" x14ac:dyDescent="0.3">
      <c r="A1349" t="s">
        <v>17</v>
      </c>
      <c r="B1349" t="str">
        <f>"603518"</f>
        <v>603518</v>
      </c>
      <c r="C1349" t="s">
        <v>2991</v>
      </c>
      <c r="D1349" t="s">
        <v>255</v>
      </c>
      <c r="F1349">
        <v>79474441</v>
      </c>
      <c r="G1349">
        <v>66761805</v>
      </c>
      <c r="H1349">
        <v>94967436</v>
      </c>
      <c r="I1349">
        <v>103910354</v>
      </c>
      <c r="P1349">
        <v>206</v>
      </c>
      <c r="Q1349" t="s">
        <v>2992</v>
      </c>
    </row>
    <row r="1350" spans="1:17" x14ac:dyDescent="0.3">
      <c r="A1350" t="s">
        <v>17</v>
      </c>
      <c r="B1350" t="str">
        <f>"603519"</f>
        <v>603519</v>
      </c>
      <c r="C1350" t="s">
        <v>2993</v>
      </c>
      <c r="D1350" t="s">
        <v>1253</v>
      </c>
      <c r="F1350">
        <v>49241094</v>
      </c>
      <c r="G1350">
        <v>40877761</v>
      </c>
      <c r="H1350">
        <v>42120219</v>
      </c>
      <c r="I1350">
        <v>40350566</v>
      </c>
      <c r="P1350">
        <v>148</v>
      </c>
      <c r="Q1350" t="s">
        <v>2994</v>
      </c>
    </row>
    <row r="1351" spans="1:17" x14ac:dyDescent="0.3">
      <c r="A1351" t="s">
        <v>17</v>
      </c>
      <c r="B1351" t="str">
        <f>"603520"</f>
        <v>603520</v>
      </c>
      <c r="C1351" t="s">
        <v>2995</v>
      </c>
      <c r="D1351" t="s">
        <v>496</v>
      </c>
      <c r="F1351">
        <v>124580729</v>
      </c>
      <c r="G1351">
        <v>87842938</v>
      </c>
      <c r="H1351">
        <v>77775150</v>
      </c>
      <c r="I1351">
        <v>66131206</v>
      </c>
      <c r="P1351">
        <v>384</v>
      </c>
      <c r="Q1351" t="s">
        <v>2996</v>
      </c>
    </row>
    <row r="1352" spans="1:17" x14ac:dyDescent="0.3">
      <c r="A1352" t="s">
        <v>17</v>
      </c>
      <c r="B1352" t="str">
        <f>"603527"</f>
        <v>603527</v>
      </c>
      <c r="C1352" t="s">
        <v>2997</v>
      </c>
      <c r="D1352" t="s">
        <v>263</v>
      </c>
      <c r="F1352">
        <v>57228821</v>
      </c>
      <c r="G1352">
        <v>37102914</v>
      </c>
      <c r="H1352">
        <v>34204150</v>
      </c>
      <c r="I1352">
        <v>44169155</v>
      </c>
      <c r="P1352">
        <v>53</v>
      </c>
      <c r="Q1352" t="s">
        <v>2998</v>
      </c>
    </row>
    <row r="1353" spans="1:17" x14ac:dyDescent="0.3">
      <c r="A1353" t="s">
        <v>17</v>
      </c>
      <c r="B1353" t="str">
        <f>"603528"</f>
        <v>603528</v>
      </c>
      <c r="C1353" t="s">
        <v>2999</v>
      </c>
      <c r="D1353" t="s">
        <v>945</v>
      </c>
      <c r="F1353">
        <v>54863407</v>
      </c>
      <c r="G1353">
        <v>40868317</v>
      </c>
      <c r="H1353">
        <v>44375203</v>
      </c>
      <c r="I1353">
        <v>45275469</v>
      </c>
      <c r="P1353">
        <v>195</v>
      </c>
      <c r="Q1353" t="s">
        <v>3000</v>
      </c>
    </row>
    <row r="1354" spans="1:17" x14ac:dyDescent="0.3">
      <c r="A1354" t="s">
        <v>17</v>
      </c>
      <c r="B1354" t="str">
        <f>"603529"</f>
        <v>603529</v>
      </c>
      <c r="C1354" t="s">
        <v>3001</v>
      </c>
      <c r="D1354" t="s">
        <v>233</v>
      </c>
      <c r="F1354">
        <v>404084128</v>
      </c>
      <c r="G1354">
        <v>239440163</v>
      </c>
      <c r="H1354">
        <v>196968044</v>
      </c>
      <c r="I1354">
        <v>149766126</v>
      </c>
      <c r="J1354">
        <v>116289835</v>
      </c>
      <c r="K1354">
        <v>96244740</v>
      </c>
      <c r="P1354">
        <v>73</v>
      </c>
      <c r="Q1354" t="s">
        <v>3002</v>
      </c>
    </row>
    <row r="1355" spans="1:17" x14ac:dyDescent="0.3">
      <c r="A1355" t="s">
        <v>17</v>
      </c>
      <c r="B1355" t="str">
        <f>"603530"</f>
        <v>603530</v>
      </c>
      <c r="C1355" t="s">
        <v>3003</v>
      </c>
      <c r="D1355" t="s">
        <v>1164</v>
      </c>
      <c r="F1355">
        <v>38298714</v>
      </c>
      <c r="G1355">
        <v>28358857</v>
      </c>
      <c r="H1355">
        <v>29003345</v>
      </c>
      <c r="I1355">
        <v>35776966</v>
      </c>
      <c r="J1355">
        <v>30132537</v>
      </c>
      <c r="K1355">
        <v>22632849</v>
      </c>
      <c r="P1355">
        <v>88</v>
      </c>
      <c r="Q1355" t="s">
        <v>3004</v>
      </c>
    </row>
    <row r="1356" spans="1:17" x14ac:dyDescent="0.3">
      <c r="A1356" t="s">
        <v>17</v>
      </c>
      <c r="B1356" t="str">
        <f>"603533"</f>
        <v>603533</v>
      </c>
      <c r="C1356" t="s">
        <v>3005</v>
      </c>
      <c r="D1356" t="s">
        <v>3006</v>
      </c>
      <c r="F1356">
        <v>170138812</v>
      </c>
      <c r="G1356">
        <v>146890852</v>
      </c>
      <c r="H1356">
        <v>120065447</v>
      </c>
      <c r="I1356">
        <v>112679246</v>
      </c>
      <c r="P1356">
        <v>872</v>
      </c>
      <c r="Q1356" t="s">
        <v>3007</v>
      </c>
    </row>
    <row r="1357" spans="1:17" x14ac:dyDescent="0.3">
      <c r="A1357" t="s">
        <v>17</v>
      </c>
      <c r="B1357" t="str">
        <f>"603535"</f>
        <v>603535</v>
      </c>
      <c r="C1357" t="s">
        <v>3008</v>
      </c>
      <c r="D1357" t="s">
        <v>287</v>
      </c>
      <c r="F1357">
        <v>20900959</v>
      </c>
      <c r="G1357">
        <v>16948108</v>
      </c>
      <c r="H1357">
        <v>17458477</v>
      </c>
      <c r="I1357">
        <v>17361622</v>
      </c>
      <c r="P1357">
        <v>85</v>
      </c>
      <c r="Q1357" t="s">
        <v>3009</v>
      </c>
    </row>
    <row r="1358" spans="1:17" x14ac:dyDescent="0.3">
      <c r="A1358" t="s">
        <v>17</v>
      </c>
      <c r="B1358" t="str">
        <f>"603536"</f>
        <v>603536</v>
      </c>
      <c r="C1358" t="s">
        <v>3010</v>
      </c>
      <c r="D1358" t="s">
        <v>2865</v>
      </c>
      <c r="F1358">
        <v>20510906</v>
      </c>
      <c r="G1358">
        <v>17611186</v>
      </c>
      <c r="H1358">
        <v>17985179</v>
      </c>
      <c r="I1358">
        <v>21377891</v>
      </c>
      <c r="P1358">
        <v>125</v>
      </c>
      <c r="Q1358" t="s">
        <v>3011</v>
      </c>
    </row>
    <row r="1359" spans="1:17" x14ac:dyDescent="0.3">
      <c r="A1359" t="s">
        <v>17</v>
      </c>
      <c r="B1359" t="str">
        <f>"603538"</f>
        <v>603538</v>
      </c>
      <c r="C1359" t="s">
        <v>3012</v>
      </c>
      <c r="D1359" t="s">
        <v>496</v>
      </c>
      <c r="F1359">
        <v>88313151</v>
      </c>
      <c r="G1359">
        <v>62049710</v>
      </c>
      <c r="H1359">
        <v>52960291</v>
      </c>
      <c r="I1359">
        <v>39208024</v>
      </c>
      <c r="P1359">
        <v>265</v>
      </c>
      <c r="Q1359" t="s">
        <v>3013</v>
      </c>
    </row>
    <row r="1360" spans="1:17" x14ac:dyDescent="0.3">
      <c r="A1360" t="s">
        <v>17</v>
      </c>
      <c r="B1360" t="str">
        <f>"603551"</f>
        <v>603551</v>
      </c>
      <c r="C1360" t="s">
        <v>3014</v>
      </c>
      <c r="D1360" t="s">
        <v>2892</v>
      </c>
      <c r="F1360">
        <v>100787460</v>
      </c>
      <c r="G1360">
        <v>80584413</v>
      </c>
      <c r="H1360">
        <v>77038187</v>
      </c>
      <c r="I1360">
        <v>105307803</v>
      </c>
      <c r="J1360">
        <v>80000970</v>
      </c>
      <c r="K1360">
        <v>52133351</v>
      </c>
      <c r="P1360">
        <v>116</v>
      </c>
      <c r="Q1360" t="s">
        <v>3015</v>
      </c>
    </row>
    <row r="1361" spans="1:17" x14ac:dyDescent="0.3">
      <c r="A1361" t="s">
        <v>17</v>
      </c>
      <c r="B1361" t="str">
        <f>"603555"</f>
        <v>603555</v>
      </c>
      <c r="C1361" t="s">
        <v>3016</v>
      </c>
      <c r="D1361" t="s">
        <v>3017</v>
      </c>
      <c r="F1361">
        <v>30727711</v>
      </c>
      <c r="G1361">
        <v>43233308</v>
      </c>
      <c r="H1361">
        <v>50148808</v>
      </c>
      <c r="I1361">
        <v>80817079</v>
      </c>
      <c r="P1361">
        <v>81</v>
      </c>
      <c r="Q1361" t="s">
        <v>3018</v>
      </c>
    </row>
    <row r="1362" spans="1:17" x14ac:dyDescent="0.3">
      <c r="A1362" t="s">
        <v>17</v>
      </c>
      <c r="B1362" t="str">
        <f>"603556"</f>
        <v>603556</v>
      </c>
      <c r="C1362" t="s">
        <v>3019</v>
      </c>
      <c r="D1362" t="s">
        <v>2180</v>
      </c>
      <c r="F1362">
        <v>226073038</v>
      </c>
      <c r="G1362">
        <v>240389501</v>
      </c>
      <c r="H1362">
        <v>242472470</v>
      </c>
      <c r="I1362">
        <v>204341169</v>
      </c>
      <c r="P1362">
        <v>218</v>
      </c>
      <c r="Q1362" t="s">
        <v>3020</v>
      </c>
    </row>
    <row r="1363" spans="1:17" x14ac:dyDescent="0.3">
      <c r="A1363" t="s">
        <v>17</v>
      </c>
      <c r="B1363" t="str">
        <f>"603557"</f>
        <v>603557</v>
      </c>
      <c r="C1363" t="s">
        <v>3021</v>
      </c>
      <c r="D1363" t="s">
        <v>330</v>
      </c>
      <c r="F1363">
        <v>21496457</v>
      </c>
      <c r="G1363">
        <v>32133725</v>
      </c>
      <c r="H1363">
        <v>36671361</v>
      </c>
      <c r="I1363">
        <v>34623398</v>
      </c>
      <c r="P1363">
        <v>118</v>
      </c>
      <c r="Q1363" t="s">
        <v>3022</v>
      </c>
    </row>
    <row r="1364" spans="1:17" x14ac:dyDescent="0.3">
      <c r="A1364" t="s">
        <v>17</v>
      </c>
      <c r="B1364" t="str">
        <f>"603558"</f>
        <v>603558</v>
      </c>
      <c r="C1364" t="s">
        <v>3023</v>
      </c>
      <c r="D1364" t="s">
        <v>1009</v>
      </c>
      <c r="F1364">
        <v>58813310</v>
      </c>
      <c r="G1364">
        <v>45989641</v>
      </c>
      <c r="H1364">
        <v>50384780</v>
      </c>
      <c r="I1364">
        <v>40543840</v>
      </c>
      <c r="P1364">
        <v>136</v>
      </c>
      <c r="Q1364" t="s">
        <v>3024</v>
      </c>
    </row>
    <row r="1365" spans="1:17" x14ac:dyDescent="0.3">
      <c r="A1365" t="s">
        <v>17</v>
      </c>
      <c r="B1365" t="str">
        <f>"603559"</f>
        <v>603559</v>
      </c>
      <c r="C1365" t="s">
        <v>3025</v>
      </c>
      <c r="D1365" t="s">
        <v>654</v>
      </c>
      <c r="F1365">
        <v>5551765</v>
      </c>
      <c r="G1365">
        <v>11081088</v>
      </c>
      <c r="H1365">
        <v>12916602</v>
      </c>
      <c r="I1365">
        <v>5885882</v>
      </c>
      <c r="P1365">
        <v>159</v>
      </c>
      <c r="Q1365" t="s">
        <v>3026</v>
      </c>
    </row>
    <row r="1366" spans="1:17" x14ac:dyDescent="0.3">
      <c r="A1366" t="s">
        <v>17</v>
      </c>
      <c r="B1366" t="str">
        <f>"603565"</f>
        <v>603565</v>
      </c>
      <c r="C1366" t="s">
        <v>3027</v>
      </c>
      <c r="D1366" t="s">
        <v>69</v>
      </c>
      <c r="F1366">
        <v>22145217</v>
      </c>
      <c r="G1366">
        <v>15694180</v>
      </c>
      <c r="H1366">
        <v>10473664</v>
      </c>
      <c r="I1366">
        <v>13681683</v>
      </c>
      <c r="J1366">
        <v>4778957</v>
      </c>
      <c r="K1366">
        <v>453774</v>
      </c>
      <c r="P1366">
        <v>225</v>
      </c>
      <c r="Q1366" t="s">
        <v>3028</v>
      </c>
    </row>
    <row r="1367" spans="1:17" x14ac:dyDescent="0.3">
      <c r="A1367" t="s">
        <v>17</v>
      </c>
      <c r="B1367" t="str">
        <f>"603566"</f>
        <v>603566</v>
      </c>
      <c r="C1367" t="s">
        <v>3029</v>
      </c>
      <c r="D1367" t="s">
        <v>453</v>
      </c>
      <c r="F1367">
        <v>85572331</v>
      </c>
      <c r="G1367">
        <v>114836903</v>
      </c>
      <c r="H1367">
        <v>90815133</v>
      </c>
      <c r="I1367">
        <v>73460949</v>
      </c>
      <c r="P1367">
        <v>233</v>
      </c>
      <c r="Q1367" t="s">
        <v>3030</v>
      </c>
    </row>
    <row r="1368" spans="1:17" x14ac:dyDescent="0.3">
      <c r="A1368" t="s">
        <v>17</v>
      </c>
      <c r="B1368" t="str">
        <f>"603567"</f>
        <v>603567</v>
      </c>
      <c r="C1368" t="s">
        <v>3031</v>
      </c>
      <c r="D1368" t="s">
        <v>188</v>
      </c>
      <c r="F1368">
        <v>55230674</v>
      </c>
      <c r="G1368">
        <v>81337963</v>
      </c>
      <c r="H1368">
        <v>86500242</v>
      </c>
      <c r="I1368">
        <v>90905262</v>
      </c>
      <c r="P1368">
        <v>134</v>
      </c>
      <c r="Q1368" t="s">
        <v>3032</v>
      </c>
    </row>
    <row r="1369" spans="1:17" x14ac:dyDescent="0.3">
      <c r="A1369" t="s">
        <v>17</v>
      </c>
      <c r="B1369" t="str">
        <f>"603568"</f>
        <v>603568</v>
      </c>
      <c r="C1369" t="s">
        <v>3033</v>
      </c>
      <c r="D1369" t="s">
        <v>499</v>
      </c>
      <c r="F1369">
        <v>99071086</v>
      </c>
      <c r="G1369">
        <v>60153095</v>
      </c>
      <c r="H1369">
        <v>34272696</v>
      </c>
      <c r="I1369">
        <v>17081305</v>
      </c>
      <c r="P1369">
        <v>16268</v>
      </c>
      <c r="Q1369" t="s">
        <v>3034</v>
      </c>
    </row>
    <row r="1370" spans="1:17" x14ac:dyDescent="0.3">
      <c r="A1370" t="s">
        <v>17</v>
      </c>
      <c r="B1370" t="str">
        <f>"603569"</f>
        <v>603569</v>
      </c>
      <c r="C1370" t="s">
        <v>3035</v>
      </c>
      <c r="D1370" t="s">
        <v>2503</v>
      </c>
      <c r="F1370">
        <v>2352063</v>
      </c>
      <c r="G1370">
        <v>5635426</v>
      </c>
      <c r="H1370">
        <v>10149588</v>
      </c>
      <c r="I1370">
        <v>3477703</v>
      </c>
      <c r="P1370">
        <v>198</v>
      </c>
      <c r="Q1370" t="s">
        <v>3036</v>
      </c>
    </row>
    <row r="1371" spans="1:17" x14ac:dyDescent="0.3">
      <c r="A1371" t="s">
        <v>17</v>
      </c>
      <c r="B1371" t="str">
        <f>"603577"</f>
        <v>603577</v>
      </c>
      <c r="C1371" t="s">
        <v>3037</v>
      </c>
      <c r="D1371" t="s">
        <v>1164</v>
      </c>
      <c r="F1371">
        <v>82985724</v>
      </c>
      <c r="G1371">
        <v>69677161</v>
      </c>
      <c r="H1371">
        <v>54969415</v>
      </c>
      <c r="I1371">
        <v>32992485</v>
      </c>
      <c r="P1371">
        <v>90</v>
      </c>
      <c r="Q1371" t="s">
        <v>3038</v>
      </c>
    </row>
    <row r="1372" spans="1:17" x14ac:dyDescent="0.3">
      <c r="A1372" t="s">
        <v>17</v>
      </c>
      <c r="B1372" t="str">
        <f>"603578"</f>
        <v>603578</v>
      </c>
      <c r="C1372" t="s">
        <v>3039</v>
      </c>
      <c r="D1372" t="s">
        <v>1253</v>
      </c>
      <c r="F1372">
        <v>26354182</v>
      </c>
      <c r="G1372">
        <v>16699614</v>
      </c>
      <c r="H1372">
        <v>14029279</v>
      </c>
      <c r="I1372">
        <v>12976416</v>
      </c>
      <c r="P1372">
        <v>131</v>
      </c>
      <c r="Q1372" t="s">
        <v>3040</v>
      </c>
    </row>
    <row r="1373" spans="1:17" x14ac:dyDescent="0.3">
      <c r="A1373" t="s">
        <v>17</v>
      </c>
      <c r="B1373" t="str">
        <f>"603579"</f>
        <v>603579</v>
      </c>
      <c r="C1373" t="s">
        <v>3041</v>
      </c>
      <c r="D1373" t="s">
        <v>3042</v>
      </c>
      <c r="F1373">
        <v>119207416</v>
      </c>
      <c r="G1373">
        <v>100121297</v>
      </c>
      <c r="H1373">
        <v>122601551</v>
      </c>
      <c r="I1373">
        <v>108756594</v>
      </c>
      <c r="P1373">
        <v>597</v>
      </c>
      <c r="Q1373" t="s">
        <v>3043</v>
      </c>
    </row>
    <row r="1374" spans="1:17" x14ac:dyDescent="0.3">
      <c r="A1374" t="s">
        <v>17</v>
      </c>
      <c r="B1374" t="str">
        <f>"603580"</f>
        <v>603580</v>
      </c>
      <c r="C1374" t="s">
        <v>3044</v>
      </c>
      <c r="D1374" t="s">
        <v>1192</v>
      </c>
      <c r="F1374">
        <v>13058607</v>
      </c>
      <c r="G1374">
        <v>9747410</v>
      </c>
      <c r="H1374">
        <v>9075553</v>
      </c>
      <c r="I1374">
        <v>9777140</v>
      </c>
      <c r="P1374">
        <v>57</v>
      </c>
      <c r="Q1374" t="s">
        <v>3045</v>
      </c>
    </row>
    <row r="1375" spans="1:17" x14ac:dyDescent="0.3">
      <c r="A1375" t="s">
        <v>17</v>
      </c>
      <c r="B1375" t="str">
        <f>"603583"</f>
        <v>603583</v>
      </c>
      <c r="C1375" t="s">
        <v>3046</v>
      </c>
      <c r="D1375" t="s">
        <v>2432</v>
      </c>
      <c r="F1375">
        <v>185559395</v>
      </c>
      <c r="G1375">
        <v>101778103</v>
      </c>
      <c r="H1375">
        <v>82304448</v>
      </c>
      <c r="I1375">
        <v>49298705</v>
      </c>
      <c r="J1375">
        <v>31019765</v>
      </c>
      <c r="K1375">
        <v>24945421</v>
      </c>
      <c r="L1375">
        <v>15688511</v>
      </c>
      <c r="P1375">
        <v>704</v>
      </c>
      <c r="Q1375" t="s">
        <v>3047</v>
      </c>
    </row>
    <row r="1376" spans="1:17" x14ac:dyDescent="0.3">
      <c r="A1376" t="s">
        <v>17</v>
      </c>
      <c r="B1376" t="str">
        <f>"603585"</f>
        <v>603585</v>
      </c>
      <c r="C1376" t="s">
        <v>3048</v>
      </c>
      <c r="D1376" t="s">
        <v>853</v>
      </c>
      <c r="F1376">
        <v>112983526</v>
      </c>
      <c r="G1376">
        <v>85975118</v>
      </c>
      <c r="H1376">
        <v>92057220</v>
      </c>
      <c r="I1376">
        <v>83108024</v>
      </c>
      <c r="P1376">
        <v>546</v>
      </c>
      <c r="Q1376" t="s">
        <v>3049</v>
      </c>
    </row>
    <row r="1377" spans="1:17" x14ac:dyDescent="0.3">
      <c r="A1377" t="s">
        <v>17</v>
      </c>
      <c r="B1377" t="str">
        <f>"603586"</f>
        <v>603586</v>
      </c>
      <c r="C1377" t="s">
        <v>3050</v>
      </c>
      <c r="D1377" t="s">
        <v>348</v>
      </c>
      <c r="F1377">
        <v>62763835</v>
      </c>
      <c r="G1377">
        <v>53617782</v>
      </c>
      <c r="H1377">
        <v>59507353</v>
      </c>
      <c r="I1377">
        <v>49126889</v>
      </c>
      <c r="P1377">
        <v>109</v>
      </c>
      <c r="Q1377" t="s">
        <v>3051</v>
      </c>
    </row>
    <row r="1378" spans="1:17" x14ac:dyDescent="0.3">
      <c r="A1378" t="s">
        <v>17</v>
      </c>
      <c r="B1378" t="str">
        <f>"603587"</f>
        <v>603587</v>
      </c>
      <c r="C1378" t="s">
        <v>3052</v>
      </c>
      <c r="D1378" t="s">
        <v>255</v>
      </c>
      <c r="F1378">
        <v>64607431</v>
      </c>
      <c r="G1378">
        <v>56567240</v>
      </c>
      <c r="H1378">
        <v>64932201</v>
      </c>
      <c r="I1378">
        <v>58118358</v>
      </c>
      <c r="P1378">
        <v>1011</v>
      </c>
      <c r="Q1378" t="s">
        <v>3053</v>
      </c>
    </row>
    <row r="1379" spans="1:17" x14ac:dyDescent="0.3">
      <c r="A1379" t="s">
        <v>17</v>
      </c>
      <c r="B1379" t="str">
        <f>"603588"</f>
        <v>603588</v>
      </c>
      <c r="C1379" t="s">
        <v>3054</v>
      </c>
      <c r="D1379" t="s">
        <v>499</v>
      </c>
      <c r="F1379">
        <v>247355843</v>
      </c>
      <c r="G1379">
        <v>211472621</v>
      </c>
      <c r="H1379">
        <v>156937155</v>
      </c>
      <c r="I1379">
        <v>116743449</v>
      </c>
      <c r="P1379">
        <v>580</v>
      </c>
      <c r="Q1379" t="s">
        <v>3055</v>
      </c>
    </row>
    <row r="1380" spans="1:17" x14ac:dyDescent="0.3">
      <c r="A1380" t="s">
        <v>17</v>
      </c>
      <c r="B1380" t="str">
        <f>"603589"</f>
        <v>603589</v>
      </c>
      <c r="C1380" t="s">
        <v>3056</v>
      </c>
      <c r="D1380" t="s">
        <v>458</v>
      </c>
      <c r="F1380">
        <v>21558614</v>
      </c>
      <c r="G1380">
        <v>17991312</v>
      </c>
      <c r="H1380">
        <v>5439748</v>
      </c>
      <c r="I1380">
        <v>5229206</v>
      </c>
      <c r="P1380">
        <v>6959</v>
      </c>
      <c r="Q1380" t="s">
        <v>3057</v>
      </c>
    </row>
    <row r="1381" spans="1:17" x14ac:dyDescent="0.3">
      <c r="A1381" t="s">
        <v>17</v>
      </c>
      <c r="B1381" t="str">
        <f>"603590"</f>
        <v>603590</v>
      </c>
      <c r="C1381" t="s">
        <v>3058</v>
      </c>
      <c r="D1381" t="s">
        <v>1379</v>
      </c>
      <c r="F1381">
        <v>102268770</v>
      </c>
      <c r="G1381">
        <v>93107213</v>
      </c>
      <c r="H1381">
        <v>108784798</v>
      </c>
      <c r="I1381">
        <v>80247523</v>
      </c>
      <c r="J1381">
        <v>32165973</v>
      </c>
      <c r="K1381">
        <v>38389980</v>
      </c>
      <c r="L1381">
        <v>38725276</v>
      </c>
      <c r="P1381">
        <v>158</v>
      </c>
      <c r="Q1381" t="s">
        <v>3059</v>
      </c>
    </row>
    <row r="1382" spans="1:17" x14ac:dyDescent="0.3">
      <c r="A1382" t="s">
        <v>17</v>
      </c>
      <c r="B1382" t="str">
        <f>"603595"</f>
        <v>603595</v>
      </c>
      <c r="C1382" t="s">
        <v>3060</v>
      </c>
      <c r="D1382" t="s">
        <v>313</v>
      </c>
      <c r="F1382">
        <v>97463313</v>
      </c>
      <c r="G1382">
        <v>72268813</v>
      </c>
      <c r="H1382">
        <v>45486457</v>
      </c>
      <c r="I1382">
        <v>51728397</v>
      </c>
      <c r="P1382">
        <v>184</v>
      </c>
      <c r="Q1382" t="s">
        <v>3061</v>
      </c>
    </row>
    <row r="1383" spans="1:17" x14ac:dyDescent="0.3">
      <c r="A1383" t="s">
        <v>17</v>
      </c>
      <c r="B1383" t="str">
        <f>"603596"</f>
        <v>603596</v>
      </c>
      <c r="C1383" t="s">
        <v>3062</v>
      </c>
      <c r="D1383" t="s">
        <v>348</v>
      </c>
      <c r="F1383">
        <v>239256063</v>
      </c>
      <c r="G1383">
        <v>174763475</v>
      </c>
      <c r="H1383">
        <v>127493944</v>
      </c>
      <c r="I1383">
        <v>101374152</v>
      </c>
      <c r="J1383">
        <v>81758185</v>
      </c>
      <c r="P1383">
        <v>369</v>
      </c>
      <c r="Q1383" t="s">
        <v>3063</v>
      </c>
    </row>
    <row r="1384" spans="1:17" x14ac:dyDescent="0.3">
      <c r="A1384" t="s">
        <v>17</v>
      </c>
      <c r="B1384" t="str">
        <f>"603598"</f>
        <v>603598</v>
      </c>
      <c r="C1384" t="s">
        <v>3064</v>
      </c>
      <c r="D1384" t="s">
        <v>207</v>
      </c>
      <c r="F1384">
        <v>8819476</v>
      </c>
      <c r="G1384">
        <v>8601999</v>
      </c>
      <c r="H1384">
        <v>8984265</v>
      </c>
      <c r="I1384">
        <v>10307665</v>
      </c>
      <c r="P1384">
        <v>113</v>
      </c>
      <c r="Q1384" t="s">
        <v>3065</v>
      </c>
    </row>
    <row r="1385" spans="1:17" x14ac:dyDescent="0.3">
      <c r="A1385" t="s">
        <v>17</v>
      </c>
      <c r="B1385" t="str">
        <f>"603599"</f>
        <v>603599</v>
      </c>
      <c r="C1385" t="s">
        <v>3066</v>
      </c>
      <c r="D1385" t="s">
        <v>853</v>
      </c>
      <c r="F1385">
        <v>278518555</v>
      </c>
      <c r="G1385">
        <v>180648073</v>
      </c>
      <c r="H1385">
        <v>162471100</v>
      </c>
      <c r="I1385">
        <v>143185023</v>
      </c>
      <c r="P1385">
        <v>304</v>
      </c>
      <c r="Q1385" t="s">
        <v>3067</v>
      </c>
    </row>
    <row r="1386" spans="1:17" x14ac:dyDescent="0.3">
      <c r="A1386" t="s">
        <v>17</v>
      </c>
      <c r="B1386" t="str">
        <f>"603600"</f>
        <v>603600</v>
      </c>
      <c r="C1386" t="s">
        <v>3068</v>
      </c>
      <c r="D1386" t="s">
        <v>757</v>
      </c>
      <c r="F1386">
        <v>159534080</v>
      </c>
      <c r="G1386">
        <v>115569602</v>
      </c>
      <c r="H1386">
        <v>90204240</v>
      </c>
      <c r="I1386">
        <v>100029379</v>
      </c>
      <c r="P1386">
        <v>290</v>
      </c>
      <c r="Q1386" t="s">
        <v>3069</v>
      </c>
    </row>
    <row r="1387" spans="1:17" x14ac:dyDescent="0.3">
      <c r="A1387" t="s">
        <v>17</v>
      </c>
      <c r="B1387" t="str">
        <f>"603601"</f>
        <v>603601</v>
      </c>
      <c r="C1387" t="s">
        <v>3070</v>
      </c>
      <c r="D1387" t="s">
        <v>411</v>
      </c>
      <c r="F1387">
        <v>89510800</v>
      </c>
      <c r="G1387">
        <v>72901869</v>
      </c>
      <c r="H1387">
        <v>54702957</v>
      </c>
      <c r="I1387">
        <v>40509294</v>
      </c>
      <c r="P1387">
        <v>500</v>
      </c>
      <c r="Q1387" t="s">
        <v>3071</v>
      </c>
    </row>
    <row r="1388" spans="1:17" x14ac:dyDescent="0.3">
      <c r="A1388" t="s">
        <v>17</v>
      </c>
      <c r="B1388" t="str">
        <f>"603602"</f>
        <v>603602</v>
      </c>
      <c r="C1388" t="s">
        <v>3072</v>
      </c>
      <c r="D1388" t="s">
        <v>654</v>
      </c>
      <c r="F1388">
        <v>36103130</v>
      </c>
      <c r="G1388">
        <v>36545442</v>
      </c>
      <c r="H1388">
        <v>35268132</v>
      </c>
      <c r="I1388">
        <v>25336360</v>
      </c>
      <c r="P1388">
        <v>193</v>
      </c>
      <c r="Q1388" t="s">
        <v>3073</v>
      </c>
    </row>
    <row r="1389" spans="1:17" x14ac:dyDescent="0.3">
      <c r="A1389" t="s">
        <v>17</v>
      </c>
      <c r="B1389" t="str">
        <f>"603603"</f>
        <v>603603</v>
      </c>
      <c r="C1389" t="s">
        <v>3074</v>
      </c>
      <c r="D1389" t="s">
        <v>33</v>
      </c>
      <c r="F1389">
        <v>38299125</v>
      </c>
      <c r="G1389">
        <v>40829892</v>
      </c>
      <c r="H1389">
        <v>68449579</v>
      </c>
      <c r="I1389">
        <v>65488133</v>
      </c>
      <c r="P1389">
        <v>118</v>
      </c>
      <c r="Q1389" t="s">
        <v>3075</v>
      </c>
    </row>
    <row r="1390" spans="1:17" x14ac:dyDescent="0.3">
      <c r="A1390" t="s">
        <v>17</v>
      </c>
      <c r="B1390" t="str">
        <f>"603605"</f>
        <v>603605</v>
      </c>
      <c r="C1390" t="s">
        <v>3076</v>
      </c>
      <c r="D1390" t="s">
        <v>709</v>
      </c>
      <c r="F1390">
        <v>76583651</v>
      </c>
      <c r="G1390">
        <v>72200029</v>
      </c>
      <c r="H1390">
        <v>74602607</v>
      </c>
      <c r="I1390">
        <v>51250858</v>
      </c>
      <c r="P1390">
        <v>1725</v>
      </c>
      <c r="Q1390" t="s">
        <v>3077</v>
      </c>
    </row>
    <row r="1391" spans="1:17" x14ac:dyDescent="0.3">
      <c r="A1391" t="s">
        <v>17</v>
      </c>
      <c r="B1391" t="str">
        <f>"603606"</f>
        <v>603606</v>
      </c>
      <c r="C1391" t="s">
        <v>3078</v>
      </c>
      <c r="D1391" t="s">
        <v>1164</v>
      </c>
      <c r="F1391">
        <v>266477219</v>
      </c>
      <c r="G1391">
        <v>187365301</v>
      </c>
      <c r="H1391">
        <v>128098158</v>
      </c>
      <c r="I1391">
        <v>100505142</v>
      </c>
      <c r="P1391">
        <v>1568</v>
      </c>
      <c r="Q1391" t="s">
        <v>3079</v>
      </c>
    </row>
    <row r="1392" spans="1:17" x14ac:dyDescent="0.3">
      <c r="A1392" t="s">
        <v>17</v>
      </c>
      <c r="B1392" t="str">
        <f>"603607"</f>
        <v>603607</v>
      </c>
      <c r="C1392" t="s">
        <v>3080</v>
      </c>
      <c r="D1392" t="s">
        <v>2448</v>
      </c>
      <c r="F1392">
        <v>87642906</v>
      </c>
      <c r="G1392">
        <v>71076391</v>
      </c>
      <c r="H1392">
        <v>64105030</v>
      </c>
      <c r="I1392">
        <v>40316598</v>
      </c>
      <c r="P1392">
        <v>109</v>
      </c>
      <c r="Q1392" t="s">
        <v>3081</v>
      </c>
    </row>
    <row r="1393" spans="1:17" x14ac:dyDescent="0.3">
      <c r="A1393" t="s">
        <v>17</v>
      </c>
      <c r="B1393" t="str">
        <f>"603608"</f>
        <v>603608</v>
      </c>
      <c r="C1393" t="s">
        <v>3082</v>
      </c>
      <c r="D1393" t="s">
        <v>330</v>
      </c>
      <c r="F1393">
        <v>48301392</v>
      </c>
      <c r="G1393">
        <v>50365420</v>
      </c>
      <c r="H1393">
        <v>43454834</v>
      </c>
      <c r="I1393">
        <v>35579934</v>
      </c>
      <c r="P1393">
        <v>138</v>
      </c>
      <c r="Q1393" t="s">
        <v>3083</v>
      </c>
    </row>
    <row r="1394" spans="1:17" x14ac:dyDescent="0.3">
      <c r="A1394" t="s">
        <v>17</v>
      </c>
      <c r="B1394" t="str">
        <f>"603609"</f>
        <v>603609</v>
      </c>
      <c r="C1394" t="s">
        <v>3084</v>
      </c>
      <c r="D1394" t="s">
        <v>2886</v>
      </c>
      <c r="F1394">
        <v>97360753</v>
      </c>
      <c r="G1394">
        <v>83587106</v>
      </c>
      <c r="H1394">
        <v>65209117</v>
      </c>
      <c r="I1394">
        <v>61100349</v>
      </c>
      <c r="P1394">
        <v>507</v>
      </c>
      <c r="Q1394" t="s">
        <v>3085</v>
      </c>
    </row>
    <row r="1395" spans="1:17" x14ac:dyDescent="0.3">
      <c r="A1395" t="s">
        <v>17</v>
      </c>
      <c r="B1395" t="str">
        <f>"603610"</f>
        <v>603610</v>
      </c>
      <c r="C1395" t="s">
        <v>3086</v>
      </c>
      <c r="D1395" t="s">
        <v>757</v>
      </c>
      <c r="F1395">
        <v>141473632</v>
      </c>
      <c r="G1395">
        <v>118244755</v>
      </c>
      <c r="H1395">
        <v>110891881</v>
      </c>
      <c r="I1395">
        <v>76810328</v>
      </c>
      <c r="J1395">
        <v>49848770</v>
      </c>
      <c r="K1395">
        <v>39505294</v>
      </c>
      <c r="P1395">
        <v>230</v>
      </c>
      <c r="Q1395" t="s">
        <v>3087</v>
      </c>
    </row>
    <row r="1396" spans="1:17" x14ac:dyDescent="0.3">
      <c r="A1396" t="s">
        <v>17</v>
      </c>
      <c r="B1396" t="str">
        <f>"603611"</f>
        <v>603611</v>
      </c>
      <c r="C1396" t="s">
        <v>3088</v>
      </c>
      <c r="D1396" t="s">
        <v>83</v>
      </c>
      <c r="F1396">
        <v>224375096</v>
      </c>
      <c r="G1396">
        <v>170112433</v>
      </c>
      <c r="H1396">
        <v>100548792</v>
      </c>
      <c r="I1396">
        <v>71717256</v>
      </c>
      <c r="P1396">
        <v>315</v>
      </c>
      <c r="Q1396" t="s">
        <v>3089</v>
      </c>
    </row>
    <row r="1397" spans="1:17" x14ac:dyDescent="0.3">
      <c r="A1397" t="s">
        <v>17</v>
      </c>
      <c r="B1397" t="str">
        <f>"603612"</f>
        <v>603612</v>
      </c>
      <c r="C1397" t="s">
        <v>3090</v>
      </c>
      <c r="D1397" t="s">
        <v>2762</v>
      </c>
      <c r="F1397">
        <v>138259798</v>
      </c>
      <c r="G1397">
        <v>90641162</v>
      </c>
      <c r="H1397">
        <v>53207327</v>
      </c>
      <c r="I1397">
        <v>52039048</v>
      </c>
      <c r="P1397">
        <v>164</v>
      </c>
      <c r="Q1397" t="s">
        <v>3091</v>
      </c>
    </row>
    <row r="1398" spans="1:17" x14ac:dyDescent="0.3">
      <c r="A1398" t="s">
        <v>17</v>
      </c>
      <c r="B1398" t="str">
        <f>"603613"</f>
        <v>603613</v>
      </c>
      <c r="C1398" t="s">
        <v>3092</v>
      </c>
      <c r="D1398" t="s">
        <v>3093</v>
      </c>
      <c r="F1398">
        <v>66644680</v>
      </c>
      <c r="G1398">
        <v>29217857</v>
      </c>
      <c r="H1398">
        <v>17290080</v>
      </c>
      <c r="I1398">
        <v>16726345</v>
      </c>
      <c r="J1398">
        <v>11905446</v>
      </c>
      <c r="K1398">
        <v>8938472</v>
      </c>
      <c r="P1398">
        <v>827</v>
      </c>
      <c r="Q1398" t="s">
        <v>3094</v>
      </c>
    </row>
    <row r="1399" spans="1:17" x14ac:dyDescent="0.3">
      <c r="A1399" t="s">
        <v>17</v>
      </c>
      <c r="B1399" t="str">
        <f>"603615"</f>
        <v>603615</v>
      </c>
      <c r="C1399" t="s">
        <v>3095</v>
      </c>
      <c r="D1399" t="s">
        <v>2445</v>
      </c>
      <c r="F1399">
        <v>10108899</v>
      </c>
      <c r="G1399">
        <v>10213296</v>
      </c>
      <c r="H1399">
        <v>12228243</v>
      </c>
      <c r="I1399">
        <v>11081118</v>
      </c>
      <c r="P1399">
        <v>107</v>
      </c>
      <c r="Q1399" t="s">
        <v>3096</v>
      </c>
    </row>
    <row r="1400" spans="1:17" x14ac:dyDescent="0.3">
      <c r="A1400" t="s">
        <v>17</v>
      </c>
      <c r="B1400" t="str">
        <f>"603616"</f>
        <v>603616</v>
      </c>
      <c r="C1400" t="s">
        <v>3097</v>
      </c>
      <c r="D1400" t="s">
        <v>3098</v>
      </c>
      <c r="F1400">
        <v>42212668</v>
      </c>
      <c r="G1400">
        <v>31059523</v>
      </c>
      <c r="H1400">
        <v>33066452</v>
      </c>
      <c r="I1400">
        <v>26967103</v>
      </c>
      <c r="P1400">
        <v>71</v>
      </c>
      <c r="Q1400" t="s">
        <v>3099</v>
      </c>
    </row>
    <row r="1401" spans="1:17" x14ac:dyDescent="0.3">
      <c r="A1401" t="s">
        <v>17</v>
      </c>
      <c r="B1401" t="str">
        <f>"603617"</f>
        <v>603617</v>
      </c>
      <c r="C1401" t="s">
        <v>3100</v>
      </c>
      <c r="D1401" t="s">
        <v>560</v>
      </c>
      <c r="F1401">
        <v>30266108</v>
      </c>
      <c r="G1401">
        <v>27442161</v>
      </c>
      <c r="H1401">
        <v>21741858</v>
      </c>
      <c r="I1401">
        <v>21143095</v>
      </c>
      <c r="P1401">
        <v>104</v>
      </c>
      <c r="Q1401" t="s">
        <v>3101</v>
      </c>
    </row>
    <row r="1402" spans="1:17" x14ac:dyDescent="0.3">
      <c r="A1402" t="s">
        <v>17</v>
      </c>
      <c r="B1402" t="str">
        <f>"603618"</f>
        <v>603618</v>
      </c>
      <c r="C1402" t="s">
        <v>3102</v>
      </c>
      <c r="D1402" t="s">
        <v>1164</v>
      </c>
      <c r="F1402">
        <v>272729813</v>
      </c>
      <c r="G1402">
        <v>208745120</v>
      </c>
      <c r="H1402">
        <v>160222146</v>
      </c>
      <c r="I1402">
        <v>156983312</v>
      </c>
      <c r="P1402">
        <v>169</v>
      </c>
      <c r="Q1402" t="s">
        <v>3103</v>
      </c>
    </row>
    <row r="1403" spans="1:17" x14ac:dyDescent="0.3">
      <c r="A1403" t="s">
        <v>17</v>
      </c>
      <c r="B1403" t="str">
        <f>"603619"</f>
        <v>603619</v>
      </c>
      <c r="C1403" t="s">
        <v>3104</v>
      </c>
      <c r="D1403" t="s">
        <v>1762</v>
      </c>
      <c r="F1403">
        <v>60549461</v>
      </c>
      <c r="G1403">
        <v>70535375</v>
      </c>
      <c r="H1403">
        <v>100982413</v>
      </c>
      <c r="I1403">
        <v>54766242</v>
      </c>
      <c r="P1403">
        <v>74</v>
      </c>
      <c r="Q1403" t="s">
        <v>3105</v>
      </c>
    </row>
    <row r="1404" spans="1:17" x14ac:dyDescent="0.3">
      <c r="A1404" t="s">
        <v>17</v>
      </c>
      <c r="B1404" t="str">
        <f>"603626"</f>
        <v>603626</v>
      </c>
      <c r="C1404" t="s">
        <v>3106</v>
      </c>
      <c r="D1404" t="s">
        <v>313</v>
      </c>
      <c r="F1404">
        <v>234642003</v>
      </c>
      <c r="G1404">
        <v>203360255</v>
      </c>
      <c r="H1404">
        <v>181025163</v>
      </c>
      <c r="I1404">
        <v>149459643</v>
      </c>
      <c r="P1404">
        <v>173</v>
      </c>
      <c r="Q1404" t="s">
        <v>3107</v>
      </c>
    </row>
    <row r="1405" spans="1:17" x14ac:dyDescent="0.3">
      <c r="A1405" t="s">
        <v>17</v>
      </c>
      <c r="B1405" t="str">
        <f>"603628"</f>
        <v>603628</v>
      </c>
      <c r="C1405" t="s">
        <v>3108</v>
      </c>
      <c r="D1405" t="s">
        <v>478</v>
      </c>
      <c r="F1405">
        <v>21904059</v>
      </c>
      <c r="G1405">
        <v>10595471</v>
      </c>
      <c r="H1405">
        <v>13594825</v>
      </c>
      <c r="I1405">
        <v>12139664</v>
      </c>
      <c r="P1405">
        <v>80</v>
      </c>
      <c r="Q1405" t="s">
        <v>3109</v>
      </c>
    </row>
    <row r="1406" spans="1:17" x14ac:dyDescent="0.3">
      <c r="A1406" t="s">
        <v>17</v>
      </c>
      <c r="B1406" t="str">
        <f>"603629"</f>
        <v>603629</v>
      </c>
      <c r="C1406" t="s">
        <v>3110</v>
      </c>
      <c r="D1406" t="s">
        <v>313</v>
      </c>
      <c r="F1406">
        <v>87610156</v>
      </c>
      <c r="G1406">
        <v>67137649</v>
      </c>
      <c r="H1406">
        <v>62470676</v>
      </c>
      <c r="I1406">
        <v>61991625</v>
      </c>
      <c r="P1406">
        <v>51</v>
      </c>
      <c r="Q1406" t="s">
        <v>3111</v>
      </c>
    </row>
    <row r="1407" spans="1:17" x14ac:dyDescent="0.3">
      <c r="A1407" t="s">
        <v>17</v>
      </c>
      <c r="B1407" t="str">
        <f>"603630"</f>
        <v>603630</v>
      </c>
      <c r="C1407" t="s">
        <v>3112</v>
      </c>
      <c r="D1407" t="s">
        <v>709</v>
      </c>
      <c r="F1407">
        <v>34364559</v>
      </c>
      <c r="G1407">
        <v>36023560</v>
      </c>
      <c r="H1407">
        <v>38252981</v>
      </c>
      <c r="I1407">
        <v>34422170</v>
      </c>
      <c r="P1407">
        <v>148</v>
      </c>
      <c r="Q1407" t="s">
        <v>3113</v>
      </c>
    </row>
    <row r="1408" spans="1:17" x14ac:dyDescent="0.3">
      <c r="A1408" t="s">
        <v>17</v>
      </c>
      <c r="B1408" t="str">
        <f>"603633"</f>
        <v>603633</v>
      </c>
      <c r="C1408" t="s">
        <v>3114</v>
      </c>
      <c r="D1408" t="s">
        <v>313</v>
      </c>
      <c r="F1408">
        <v>41299276</v>
      </c>
      <c r="G1408">
        <v>28720126</v>
      </c>
      <c r="H1408">
        <v>26290895</v>
      </c>
      <c r="I1408">
        <v>23284182</v>
      </c>
      <c r="P1408">
        <v>90</v>
      </c>
      <c r="Q1408" t="s">
        <v>3115</v>
      </c>
    </row>
    <row r="1409" spans="1:17" x14ac:dyDescent="0.3">
      <c r="A1409" t="s">
        <v>17</v>
      </c>
      <c r="B1409" t="str">
        <f>"603636"</f>
        <v>603636</v>
      </c>
      <c r="C1409" t="s">
        <v>3116</v>
      </c>
      <c r="D1409" t="s">
        <v>316</v>
      </c>
      <c r="F1409">
        <v>124591234</v>
      </c>
      <c r="G1409">
        <v>108233691</v>
      </c>
      <c r="H1409">
        <v>75063537</v>
      </c>
      <c r="I1409">
        <v>22221839</v>
      </c>
      <c r="P1409">
        <v>202</v>
      </c>
      <c r="Q1409" t="s">
        <v>3117</v>
      </c>
    </row>
    <row r="1410" spans="1:17" x14ac:dyDescent="0.3">
      <c r="A1410" t="s">
        <v>17</v>
      </c>
      <c r="B1410" t="str">
        <f>"603637"</f>
        <v>603637</v>
      </c>
      <c r="C1410" t="s">
        <v>3118</v>
      </c>
      <c r="D1410" t="s">
        <v>2025</v>
      </c>
      <c r="F1410">
        <v>35275116</v>
      </c>
      <c r="G1410">
        <v>34397220</v>
      </c>
      <c r="H1410">
        <v>31273634</v>
      </c>
      <c r="I1410">
        <v>21116318</v>
      </c>
      <c r="P1410">
        <v>70</v>
      </c>
      <c r="Q1410" t="s">
        <v>3119</v>
      </c>
    </row>
    <row r="1411" spans="1:17" x14ac:dyDescent="0.3">
      <c r="A1411" t="s">
        <v>17</v>
      </c>
      <c r="B1411" t="str">
        <f>"603638"</f>
        <v>603638</v>
      </c>
      <c r="C1411" t="s">
        <v>3120</v>
      </c>
      <c r="D1411" t="s">
        <v>2007</v>
      </c>
      <c r="F1411">
        <v>133872377</v>
      </c>
      <c r="G1411">
        <v>105340455</v>
      </c>
      <c r="H1411">
        <v>53722011</v>
      </c>
      <c r="I1411">
        <v>40329715</v>
      </c>
      <c r="P1411">
        <v>665</v>
      </c>
      <c r="Q1411" t="s">
        <v>3121</v>
      </c>
    </row>
    <row r="1412" spans="1:17" x14ac:dyDescent="0.3">
      <c r="A1412" t="s">
        <v>17</v>
      </c>
      <c r="B1412" t="str">
        <f>"603639"</f>
        <v>603639</v>
      </c>
      <c r="C1412" t="s">
        <v>3122</v>
      </c>
      <c r="D1412" t="s">
        <v>853</v>
      </c>
      <c r="F1412">
        <v>163323914</v>
      </c>
      <c r="G1412">
        <v>140643256</v>
      </c>
      <c r="H1412">
        <v>117889742</v>
      </c>
      <c r="I1412">
        <v>90684327</v>
      </c>
      <c r="P1412">
        <v>1564</v>
      </c>
      <c r="Q1412" t="s">
        <v>3123</v>
      </c>
    </row>
    <row r="1413" spans="1:17" x14ac:dyDescent="0.3">
      <c r="A1413" t="s">
        <v>17</v>
      </c>
      <c r="B1413" t="str">
        <f>"603648"</f>
        <v>603648</v>
      </c>
      <c r="C1413" t="s">
        <v>3124</v>
      </c>
      <c r="D1413" t="s">
        <v>3125</v>
      </c>
      <c r="F1413">
        <v>30611492</v>
      </c>
      <c r="G1413">
        <v>27588370</v>
      </c>
      <c r="H1413">
        <v>21540559</v>
      </c>
      <c r="I1413">
        <v>18368201</v>
      </c>
      <c r="P1413">
        <v>72</v>
      </c>
      <c r="Q1413" t="s">
        <v>3126</v>
      </c>
    </row>
    <row r="1414" spans="1:17" x14ac:dyDescent="0.3">
      <c r="A1414" t="s">
        <v>17</v>
      </c>
      <c r="B1414" t="str">
        <f>"603650"</f>
        <v>603650</v>
      </c>
      <c r="C1414" t="s">
        <v>3127</v>
      </c>
      <c r="D1414" t="s">
        <v>3128</v>
      </c>
      <c r="F1414">
        <v>146534739</v>
      </c>
      <c r="G1414">
        <v>82708016</v>
      </c>
      <c r="H1414">
        <v>89976488</v>
      </c>
      <c r="I1414">
        <v>93488176</v>
      </c>
      <c r="P1414">
        <v>258</v>
      </c>
      <c r="Q1414" t="s">
        <v>3129</v>
      </c>
    </row>
    <row r="1415" spans="1:17" x14ac:dyDescent="0.3">
      <c r="A1415" t="s">
        <v>17</v>
      </c>
      <c r="B1415" t="str">
        <f>"603655"</f>
        <v>603655</v>
      </c>
      <c r="C1415" t="s">
        <v>3130</v>
      </c>
      <c r="D1415" t="s">
        <v>985</v>
      </c>
      <c r="F1415">
        <v>8907299</v>
      </c>
      <c r="G1415">
        <v>8801326</v>
      </c>
      <c r="H1415">
        <v>8601551</v>
      </c>
      <c r="I1415">
        <v>8802299</v>
      </c>
      <c r="P1415">
        <v>88</v>
      </c>
      <c r="Q1415" t="s">
        <v>3131</v>
      </c>
    </row>
    <row r="1416" spans="1:17" x14ac:dyDescent="0.3">
      <c r="A1416" t="s">
        <v>17</v>
      </c>
      <c r="B1416" t="str">
        <f>"603656"</f>
        <v>603656</v>
      </c>
      <c r="C1416" t="s">
        <v>3132</v>
      </c>
      <c r="D1416" t="s">
        <v>741</v>
      </c>
      <c r="F1416">
        <v>64255982</v>
      </c>
      <c r="G1416">
        <v>55277748</v>
      </c>
      <c r="H1416">
        <v>50192239</v>
      </c>
      <c r="I1416">
        <v>38130944</v>
      </c>
      <c r="P1416">
        <v>80</v>
      </c>
      <c r="Q1416" t="s">
        <v>3133</v>
      </c>
    </row>
    <row r="1417" spans="1:17" x14ac:dyDescent="0.3">
      <c r="A1417" t="s">
        <v>17</v>
      </c>
      <c r="B1417" t="str">
        <f>"603657"</f>
        <v>603657</v>
      </c>
      <c r="C1417" t="s">
        <v>3134</v>
      </c>
      <c r="D1417" t="s">
        <v>1253</v>
      </c>
      <c r="F1417">
        <v>45777766</v>
      </c>
      <c r="G1417">
        <v>27182036</v>
      </c>
      <c r="H1417">
        <v>22017803</v>
      </c>
      <c r="I1417">
        <v>15617638</v>
      </c>
      <c r="P1417">
        <v>152</v>
      </c>
      <c r="Q1417" t="s">
        <v>3135</v>
      </c>
    </row>
    <row r="1418" spans="1:17" x14ac:dyDescent="0.3">
      <c r="A1418" t="s">
        <v>17</v>
      </c>
      <c r="B1418" t="str">
        <f>"603658"</f>
        <v>603658</v>
      </c>
      <c r="C1418" t="s">
        <v>3136</v>
      </c>
      <c r="D1418" t="s">
        <v>1305</v>
      </c>
      <c r="F1418">
        <v>480958925</v>
      </c>
      <c r="G1418">
        <v>342798144</v>
      </c>
      <c r="H1418">
        <v>311906324</v>
      </c>
      <c r="I1418">
        <v>212732302</v>
      </c>
      <c r="P1418">
        <v>2606</v>
      </c>
      <c r="Q1418" t="s">
        <v>3137</v>
      </c>
    </row>
    <row r="1419" spans="1:17" x14ac:dyDescent="0.3">
      <c r="A1419" t="s">
        <v>17</v>
      </c>
      <c r="B1419" t="str">
        <f>"603659"</f>
        <v>603659</v>
      </c>
      <c r="C1419" t="s">
        <v>3138</v>
      </c>
      <c r="D1419" t="s">
        <v>1790</v>
      </c>
      <c r="F1419">
        <v>542739270</v>
      </c>
      <c r="G1419">
        <v>264106519</v>
      </c>
      <c r="H1419">
        <v>211863516</v>
      </c>
      <c r="I1419">
        <v>144850841</v>
      </c>
      <c r="P1419">
        <v>1047</v>
      </c>
      <c r="Q1419" t="s">
        <v>3139</v>
      </c>
    </row>
    <row r="1420" spans="1:17" x14ac:dyDescent="0.3">
      <c r="A1420" t="s">
        <v>17</v>
      </c>
      <c r="B1420" t="str">
        <f>"603660"</f>
        <v>603660</v>
      </c>
      <c r="C1420" t="s">
        <v>3140</v>
      </c>
      <c r="D1420" t="s">
        <v>236</v>
      </c>
      <c r="F1420">
        <v>759800502</v>
      </c>
      <c r="G1420">
        <v>648328199</v>
      </c>
      <c r="H1420">
        <v>694898603</v>
      </c>
      <c r="I1420">
        <v>580096146</v>
      </c>
      <c r="P1420">
        <v>291</v>
      </c>
      <c r="Q1420" t="s">
        <v>3141</v>
      </c>
    </row>
    <row r="1421" spans="1:17" x14ac:dyDescent="0.3">
      <c r="A1421" t="s">
        <v>17</v>
      </c>
      <c r="B1421" t="str">
        <f>"603661"</f>
        <v>603661</v>
      </c>
      <c r="C1421" t="s">
        <v>3142</v>
      </c>
      <c r="D1421" t="s">
        <v>757</v>
      </c>
      <c r="F1421">
        <v>201739916</v>
      </c>
      <c r="G1421">
        <v>140087785</v>
      </c>
      <c r="H1421">
        <v>109214652</v>
      </c>
      <c r="I1421">
        <v>97799184</v>
      </c>
      <c r="P1421">
        <v>148</v>
      </c>
      <c r="Q1421" t="s">
        <v>3143</v>
      </c>
    </row>
    <row r="1422" spans="1:17" x14ac:dyDescent="0.3">
      <c r="A1422" t="s">
        <v>17</v>
      </c>
      <c r="B1422" t="str">
        <f>"603662"</f>
        <v>603662</v>
      </c>
      <c r="C1422" t="s">
        <v>3144</v>
      </c>
      <c r="D1422" t="s">
        <v>2566</v>
      </c>
      <c r="F1422">
        <v>59650640</v>
      </c>
      <c r="G1422">
        <v>46876488</v>
      </c>
      <c r="H1422">
        <v>39693401</v>
      </c>
      <c r="I1422">
        <v>36200373</v>
      </c>
      <c r="J1422">
        <v>31973087</v>
      </c>
      <c r="K1422">
        <v>30420233</v>
      </c>
      <c r="P1422">
        <v>125</v>
      </c>
      <c r="Q1422" t="s">
        <v>3145</v>
      </c>
    </row>
    <row r="1423" spans="1:17" x14ac:dyDescent="0.3">
      <c r="A1423" t="s">
        <v>17</v>
      </c>
      <c r="B1423" t="str">
        <f>"603663"</f>
        <v>603663</v>
      </c>
      <c r="C1423" t="s">
        <v>3146</v>
      </c>
      <c r="D1423" t="s">
        <v>736</v>
      </c>
      <c r="F1423">
        <v>32741149</v>
      </c>
      <c r="G1423">
        <v>23658227</v>
      </c>
      <c r="H1423">
        <v>25548055</v>
      </c>
      <c r="I1423">
        <v>17798993</v>
      </c>
      <c r="P1423">
        <v>143</v>
      </c>
      <c r="Q1423" t="s">
        <v>3147</v>
      </c>
    </row>
    <row r="1424" spans="1:17" x14ac:dyDescent="0.3">
      <c r="A1424" t="s">
        <v>17</v>
      </c>
      <c r="B1424" t="str">
        <f>"603665"</f>
        <v>603665</v>
      </c>
      <c r="C1424" t="s">
        <v>3148</v>
      </c>
      <c r="D1424" t="s">
        <v>330</v>
      </c>
      <c r="F1424">
        <v>44729413</v>
      </c>
      <c r="G1424">
        <v>37277105</v>
      </c>
      <c r="H1424">
        <v>32681290</v>
      </c>
      <c r="I1424">
        <v>30292256</v>
      </c>
      <c r="P1424">
        <v>89</v>
      </c>
      <c r="Q1424" t="s">
        <v>3149</v>
      </c>
    </row>
    <row r="1425" spans="1:17" x14ac:dyDescent="0.3">
      <c r="A1425" t="s">
        <v>17</v>
      </c>
      <c r="B1425" t="str">
        <f>"603666"</f>
        <v>603666</v>
      </c>
      <c r="C1425" t="s">
        <v>3150</v>
      </c>
      <c r="D1425" t="s">
        <v>2938</v>
      </c>
      <c r="F1425">
        <v>178972672</v>
      </c>
      <c r="G1425">
        <v>113950568</v>
      </c>
      <c r="H1425">
        <v>56293313</v>
      </c>
      <c r="I1425">
        <v>46274431</v>
      </c>
      <c r="P1425">
        <v>451</v>
      </c>
      <c r="Q1425" t="s">
        <v>3151</v>
      </c>
    </row>
    <row r="1426" spans="1:17" x14ac:dyDescent="0.3">
      <c r="A1426" t="s">
        <v>17</v>
      </c>
      <c r="B1426" t="str">
        <f>"603667"</f>
        <v>603667</v>
      </c>
      <c r="C1426" t="s">
        <v>3152</v>
      </c>
      <c r="D1426" t="s">
        <v>274</v>
      </c>
      <c r="F1426">
        <v>81681278</v>
      </c>
      <c r="G1426">
        <v>61059128</v>
      </c>
      <c r="H1426">
        <v>63544618</v>
      </c>
      <c r="I1426">
        <v>42229645</v>
      </c>
      <c r="P1426">
        <v>115</v>
      </c>
      <c r="Q1426" t="s">
        <v>3153</v>
      </c>
    </row>
    <row r="1427" spans="1:17" x14ac:dyDescent="0.3">
      <c r="A1427" t="s">
        <v>17</v>
      </c>
      <c r="B1427" t="str">
        <f>"603668"</f>
        <v>603668</v>
      </c>
      <c r="C1427" t="s">
        <v>3154</v>
      </c>
      <c r="D1427" t="s">
        <v>3155</v>
      </c>
      <c r="F1427">
        <v>99636371</v>
      </c>
      <c r="G1427">
        <v>85704595</v>
      </c>
      <c r="H1427">
        <v>67614781</v>
      </c>
      <c r="I1427">
        <v>55948504</v>
      </c>
      <c r="P1427">
        <v>126</v>
      </c>
      <c r="Q1427" t="s">
        <v>3156</v>
      </c>
    </row>
    <row r="1428" spans="1:17" x14ac:dyDescent="0.3">
      <c r="A1428" t="s">
        <v>17</v>
      </c>
      <c r="B1428" t="str">
        <f>"603669"</f>
        <v>603669</v>
      </c>
      <c r="C1428" t="s">
        <v>3157</v>
      </c>
      <c r="D1428" t="s">
        <v>143</v>
      </c>
      <c r="F1428">
        <v>22774992</v>
      </c>
      <c r="G1428">
        <v>20364827</v>
      </c>
      <c r="H1428">
        <v>38043700</v>
      </c>
      <c r="I1428">
        <v>24299164</v>
      </c>
      <c r="P1428">
        <v>194</v>
      </c>
      <c r="Q1428" t="s">
        <v>3158</v>
      </c>
    </row>
    <row r="1429" spans="1:17" x14ac:dyDescent="0.3">
      <c r="A1429" t="s">
        <v>17</v>
      </c>
      <c r="B1429" t="str">
        <f>"603676"</f>
        <v>603676</v>
      </c>
      <c r="C1429" t="s">
        <v>3159</v>
      </c>
      <c r="D1429" t="s">
        <v>143</v>
      </c>
      <c r="F1429">
        <v>38018513</v>
      </c>
      <c r="G1429">
        <v>23195130</v>
      </c>
      <c r="H1429">
        <v>29138014</v>
      </c>
      <c r="I1429">
        <v>24443057</v>
      </c>
      <c r="P1429">
        <v>108</v>
      </c>
      <c r="Q1429" t="s">
        <v>3160</v>
      </c>
    </row>
    <row r="1430" spans="1:17" x14ac:dyDescent="0.3">
      <c r="A1430" t="s">
        <v>17</v>
      </c>
      <c r="B1430" t="str">
        <f>"603677"</f>
        <v>603677</v>
      </c>
      <c r="C1430" t="s">
        <v>3161</v>
      </c>
      <c r="D1430" t="s">
        <v>1253</v>
      </c>
      <c r="F1430">
        <v>68832491</v>
      </c>
      <c r="G1430">
        <v>49573882</v>
      </c>
      <c r="H1430">
        <v>48748164</v>
      </c>
      <c r="I1430">
        <v>47966827</v>
      </c>
      <c r="P1430">
        <v>124</v>
      </c>
      <c r="Q1430" t="s">
        <v>3162</v>
      </c>
    </row>
    <row r="1431" spans="1:17" x14ac:dyDescent="0.3">
      <c r="A1431" t="s">
        <v>17</v>
      </c>
      <c r="B1431" t="str">
        <f>"603678"</f>
        <v>603678</v>
      </c>
      <c r="C1431" t="s">
        <v>3163</v>
      </c>
      <c r="D1431" t="s">
        <v>1136</v>
      </c>
      <c r="F1431">
        <v>107688883</v>
      </c>
      <c r="G1431">
        <v>68104888</v>
      </c>
      <c r="H1431">
        <v>56265195</v>
      </c>
      <c r="I1431">
        <v>36276701</v>
      </c>
      <c r="P1431">
        <v>639</v>
      </c>
      <c r="Q1431" t="s">
        <v>3164</v>
      </c>
    </row>
    <row r="1432" spans="1:17" x14ac:dyDescent="0.3">
      <c r="A1432" t="s">
        <v>17</v>
      </c>
      <c r="B1432" t="str">
        <f>"603679"</f>
        <v>603679</v>
      </c>
      <c r="C1432" t="s">
        <v>3165</v>
      </c>
      <c r="D1432" t="s">
        <v>803</v>
      </c>
      <c r="F1432">
        <v>29395960</v>
      </c>
      <c r="G1432">
        <v>29011651</v>
      </c>
      <c r="H1432">
        <v>25019999</v>
      </c>
      <c r="I1432">
        <v>16669160</v>
      </c>
      <c r="P1432">
        <v>164</v>
      </c>
      <c r="Q1432" t="s">
        <v>3166</v>
      </c>
    </row>
    <row r="1433" spans="1:17" x14ac:dyDescent="0.3">
      <c r="A1433" t="s">
        <v>17</v>
      </c>
      <c r="B1433" t="str">
        <f>"603680"</f>
        <v>603680</v>
      </c>
      <c r="C1433" t="s">
        <v>3167</v>
      </c>
      <c r="D1433" t="s">
        <v>1012</v>
      </c>
      <c r="F1433">
        <v>184402502</v>
      </c>
      <c r="G1433">
        <v>173793768</v>
      </c>
      <c r="H1433">
        <v>184023181</v>
      </c>
      <c r="I1433">
        <v>160731958</v>
      </c>
      <c r="P1433">
        <v>81</v>
      </c>
      <c r="Q1433" t="s">
        <v>3168</v>
      </c>
    </row>
    <row r="1434" spans="1:17" x14ac:dyDescent="0.3">
      <c r="A1434" t="s">
        <v>17</v>
      </c>
      <c r="B1434" t="str">
        <f>"603681"</f>
        <v>603681</v>
      </c>
      <c r="C1434" t="s">
        <v>3169</v>
      </c>
      <c r="D1434" t="s">
        <v>3170</v>
      </c>
      <c r="F1434">
        <v>138314099</v>
      </c>
      <c r="G1434">
        <v>106864015</v>
      </c>
      <c r="H1434">
        <v>90452762</v>
      </c>
      <c r="I1434">
        <v>49806033</v>
      </c>
      <c r="J1434">
        <v>45099938</v>
      </c>
      <c r="K1434">
        <v>31136920</v>
      </c>
      <c r="L1434">
        <v>23772257</v>
      </c>
      <c r="P1434">
        <v>113</v>
      </c>
      <c r="Q1434" t="s">
        <v>3171</v>
      </c>
    </row>
    <row r="1435" spans="1:17" x14ac:dyDescent="0.3">
      <c r="A1435" t="s">
        <v>17</v>
      </c>
      <c r="B1435" t="str">
        <f>"603682"</f>
        <v>603682</v>
      </c>
      <c r="C1435" t="s">
        <v>3172</v>
      </c>
      <c r="D1435" t="s">
        <v>271</v>
      </c>
      <c r="F1435">
        <v>1407579</v>
      </c>
      <c r="G1435">
        <v>1880831</v>
      </c>
      <c r="H1435">
        <v>1578609</v>
      </c>
      <c r="I1435">
        <v>677125</v>
      </c>
      <c r="P1435">
        <v>156</v>
      </c>
      <c r="Q1435" t="s">
        <v>3173</v>
      </c>
    </row>
    <row r="1436" spans="1:17" x14ac:dyDescent="0.3">
      <c r="A1436" t="s">
        <v>17</v>
      </c>
      <c r="B1436" t="str">
        <f>"603683"</f>
        <v>603683</v>
      </c>
      <c r="C1436" t="s">
        <v>3174</v>
      </c>
      <c r="D1436" t="s">
        <v>3170</v>
      </c>
      <c r="F1436">
        <v>61771210</v>
      </c>
      <c r="G1436">
        <v>39232982</v>
      </c>
      <c r="H1436">
        <v>33177973</v>
      </c>
      <c r="I1436">
        <v>25362110</v>
      </c>
      <c r="P1436">
        <v>58</v>
      </c>
      <c r="Q1436" t="s">
        <v>3175</v>
      </c>
    </row>
    <row r="1437" spans="1:17" x14ac:dyDescent="0.3">
      <c r="A1437" t="s">
        <v>17</v>
      </c>
      <c r="B1437" t="str">
        <f>"603685"</f>
        <v>603685</v>
      </c>
      <c r="C1437" t="s">
        <v>3176</v>
      </c>
      <c r="D1437" t="s">
        <v>803</v>
      </c>
      <c r="F1437">
        <v>68176775</v>
      </c>
      <c r="G1437">
        <v>51268542</v>
      </c>
      <c r="H1437">
        <v>50201813</v>
      </c>
      <c r="I1437">
        <v>39132288</v>
      </c>
      <c r="P1437">
        <v>102</v>
      </c>
      <c r="Q1437" t="s">
        <v>3177</v>
      </c>
    </row>
    <row r="1438" spans="1:17" x14ac:dyDescent="0.3">
      <c r="A1438" t="s">
        <v>17</v>
      </c>
      <c r="B1438" t="str">
        <f>"603686"</f>
        <v>603686</v>
      </c>
      <c r="C1438" t="s">
        <v>3178</v>
      </c>
      <c r="D1438" t="s">
        <v>1070</v>
      </c>
      <c r="F1438">
        <v>58018153</v>
      </c>
      <c r="G1438">
        <v>46270238</v>
      </c>
      <c r="H1438">
        <v>52199137</v>
      </c>
      <c r="I1438">
        <v>48719627</v>
      </c>
      <c r="P1438">
        <v>760</v>
      </c>
      <c r="Q1438" t="s">
        <v>3179</v>
      </c>
    </row>
    <row r="1439" spans="1:17" x14ac:dyDescent="0.3">
      <c r="A1439" t="s">
        <v>17</v>
      </c>
      <c r="B1439" t="str">
        <f>"603687"</f>
        <v>603687</v>
      </c>
      <c r="C1439" t="s">
        <v>3180</v>
      </c>
      <c r="D1439" t="s">
        <v>2165</v>
      </c>
      <c r="F1439">
        <v>56635791</v>
      </c>
      <c r="G1439">
        <v>52357718</v>
      </c>
      <c r="H1439">
        <v>45643674</v>
      </c>
      <c r="I1439">
        <v>38023264</v>
      </c>
      <c r="J1439">
        <v>29321934</v>
      </c>
      <c r="K1439">
        <v>25419647</v>
      </c>
      <c r="P1439">
        <v>92</v>
      </c>
      <c r="Q1439" t="s">
        <v>3181</v>
      </c>
    </row>
    <row r="1440" spans="1:17" x14ac:dyDescent="0.3">
      <c r="A1440" t="s">
        <v>17</v>
      </c>
      <c r="B1440" t="str">
        <f>"603688"</f>
        <v>603688</v>
      </c>
      <c r="C1440" t="s">
        <v>3182</v>
      </c>
      <c r="D1440" t="s">
        <v>2762</v>
      </c>
      <c r="F1440">
        <v>39430258</v>
      </c>
      <c r="G1440">
        <v>31540854</v>
      </c>
      <c r="H1440">
        <v>26048659</v>
      </c>
      <c r="I1440">
        <v>22026517</v>
      </c>
      <c r="P1440">
        <v>219</v>
      </c>
      <c r="Q1440" t="s">
        <v>3183</v>
      </c>
    </row>
    <row r="1441" spans="1:17" x14ac:dyDescent="0.3">
      <c r="A1441" t="s">
        <v>17</v>
      </c>
      <c r="B1441" t="str">
        <f>"603689"</f>
        <v>603689</v>
      </c>
      <c r="C1441" t="s">
        <v>3184</v>
      </c>
      <c r="D1441" t="s">
        <v>749</v>
      </c>
      <c r="F1441">
        <v>8296103</v>
      </c>
      <c r="G1441">
        <v>2760732</v>
      </c>
      <c r="H1441">
        <v>2011336</v>
      </c>
      <c r="P1441">
        <v>117</v>
      </c>
      <c r="Q1441" t="s">
        <v>3185</v>
      </c>
    </row>
    <row r="1442" spans="1:17" x14ac:dyDescent="0.3">
      <c r="A1442" t="s">
        <v>17</v>
      </c>
      <c r="B1442" t="str">
        <f>"603690"</f>
        <v>603690</v>
      </c>
      <c r="C1442" t="s">
        <v>3186</v>
      </c>
      <c r="D1442" t="s">
        <v>3187</v>
      </c>
      <c r="F1442">
        <v>144407020</v>
      </c>
      <c r="G1442">
        <v>95522857</v>
      </c>
      <c r="H1442">
        <v>59084273</v>
      </c>
      <c r="I1442">
        <v>36485946</v>
      </c>
      <c r="P1442">
        <v>450</v>
      </c>
      <c r="Q1442" t="s">
        <v>3188</v>
      </c>
    </row>
    <row r="1443" spans="1:17" x14ac:dyDescent="0.3">
      <c r="A1443" t="s">
        <v>17</v>
      </c>
      <c r="B1443" t="str">
        <f>"603693"</f>
        <v>603693</v>
      </c>
      <c r="C1443" t="s">
        <v>3189</v>
      </c>
      <c r="D1443" t="s">
        <v>383</v>
      </c>
      <c r="F1443">
        <v>2249415</v>
      </c>
      <c r="G1443">
        <v>516131</v>
      </c>
      <c r="H1443">
        <v>9783746</v>
      </c>
      <c r="I1443">
        <v>8352779</v>
      </c>
      <c r="P1443">
        <v>160</v>
      </c>
      <c r="Q1443" t="s">
        <v>3190</v>
      </c>
    </row>
    <row r="1444" spans="1:17" x14ac:dyDescent="0.3">
      <c r="A1444" t="s">
        <v>17</v>
      </c>
      <c r="B1444" t="str">
        <f>"603696"</f>
        <v>603696</v>
      </c>
      <c r="C1444" t="s">
        <v>3191</v>
      </c>
      <c r="D1444" t="s">
        <v>433</v>
      </c>
      <c r="F1444">
        <v>13775589</v>
      </c>
      <c r="G1444">
        <v>10572417</v>
      </c>
      <c r="H1444">
        <v>13180385</v>
      </c>
      <c r="I1444">
        <v>10605433</v>
      </c>
      <c r="P1444">
        <v>195</v>
      </c>
      <c r="Q1444" t="s">
        <v>3192</v>
      </c>
    </row>
    <row r="1445" spans="1:17" x14ac:dyDescent="0.3">
      <c r="A1445" t="s">
        <v>17</v>
      </c>
      <c r="B1445" t="str">
        <f>"603697"</f>
        <v>603697</v>
      </c>
      <c r="C1445" t="s">
        <v>3193</v>
      </c>
      <c r="D1445" t="s">
        <v>3194</v>
      </c>
      <c r="F1445">
        <v>3116590</v>
      </c>
      <c r="G1445">
        <v>2799206</v>
      </c>
      <c r="H1445">
        <v>4321309</v>
      </c>
      <c r="I1445">
        <v>3420905</v>
      </c>
      <c r="J1445">
        <v>3409243</v>
      </c>
      <c r="K1445">
        <v>2781945</v>
      </c>
      <c r="P1445">
        <v>394</v>
      </c>
      <c r="Q1445" t="s">
        <v>3195</v>
      </c>
    </row>
    <row r="1446" spans="1:17" x14ac:dyDescent="0.3">
      <c r="A1446" t="s">
        <v>17</v>
      </c>
      <c r="B1446" t="str">
        <f>"603698"</f>
        <v>603698</v>
      </c>
      <c r="C1446" t="s">
        <v>3196</v>
      </c>
      <c r="D1446" t="s">
        <v>395</v>
      </c>
      <c r="F1446">
        <v>157880018</v>
      </c>
      <c r="G1446">
        <v>111214262</v>
      </c>
      <c r="H1446">
        <v>71964437</v>
      </c>
      <c r="I1446">
        <v>78720403</v>
      </c>
      <c r="P1446">
        <v>108</v>
      </c>
      <c r="Q1446" t="s">
        <v>3197</v>
      </c>
    </row>
    <row r="1447" spans="1:17" x14ac:dyDescent="0.3">
      <c r="A1447" t="s">
        <v>17</v>
      </c>
      <c r="B1447" t="str">
        <f>"603699"</f>
        <v>603699</v>
      </c>
      <c r="C1447" t="s">
        <v>3198</v>
      </c>
      <c r="D1447" t="s">
        <v>274</v>
      </c>
      <c r="F1447">
        <v>150247154</v>
      </c>
      <c r="G1447">
        <v>129973639</v>
      </c>
      <c r="H1447">
        <v>105426159</v>
      </c>
      <c r="I1447">
        <v>105052727</v>
      </c>
      <c r="P1447">
        <v>271</v>
      </c>
      <c r="Q1447" t="s">
        <v>3199</v>
      </c>
    </row>
    <row r="1448" spans="1:17" x14ac:dyDescent="0.3">
      <c r="A1448" t="s">
        <v>17</v>
      </c>
      <c r="B1448" t="str">
        <f>"603700"</f>
        <v>603700</v>
      </c>
      <c r="C1448" t="s">
        <v>3200</v>
      </c>
      <c r="D1448" t="s">
        <v>2566</v>
      </c>
      <c r="F1448">
        <v>62677157</v>
      </c>
      <c r="G1448">
        <v>56882265</v>
      </c>
      <c r="H1448">
        <v>41960237</v>
      </c>
      <c r="I1448">
        <v>31612532</v>
      </c>
      <c r="J1448">
        <v>23079552</v>
      </c>
      <c r="K1448">
        <v>23718110</v>
      </c>
      <c r="L1448">
        <v>27820585</v>
      </c>
      <c r="P1448">
        <v>395</v>
      </c>
      <c r="Q1448" t="s">
        <v>3201</v>
      </c>
    </row>
    <row r="1449" spans="1:17" x14ac:dyDescent="0.3">
      <c r="A1449" t="s">
        <v>17</v>
      </c>
      <c r="B1449" t="str">
        <f>"603701"</f>
        <v>603701</v>
      </c>
      <c r="C1449" t="s">
        <v>3202</v>
      </c>
      <c r="D1449" t="s">
        <v>348</v>
      </c>
      <c r="F1449">
        <v>21037266</v>
      </c>
      <c r="G1449">
        <v>19207673</v>
      </c>
      <c r="H1449">
        <v>17383795</v>
      </c>
      <c r="I1449">
        <v>21106253</v>
      </c>
      <c r="P1449">
        <v>93</v>
      </c>
      <c r="Q1449" t="s">
        <v>3203</v>
      </c>
    </row>
    <row r="1450" spans="1:17" x14ac:dyDescent="0.3">
      <c r="A1450" t="s">
        <v>17</v>
      </c>
      <c r="B1450" t="str">
        <f>"603703"</f>
        <v>603703</v>
      </c>
      <c r="C1450" t="s">
        <v>3204</v>
      </c>
      <c r="D1450" t="s">
        <v>803</v>
      </c>
      <c r="F1450">
        <v>45979416</v>
      </c>
      <c r="G1450">
        <v>31324216</v>
      </c>
      <c r="H1450">
        <v>40518967</v>
      </c>
      <c r="I1450">
        <v>36048137</v>
      </c>
      <c r="P1450">
        <v>78</v>
      </c>
      <c r="Q1450" t="s">
        <v>3205</v>
      </c>
    </row>
    <row r="1451" spans="1:17" x14ac:dyDescent="0.3">
      <c r="A1451" t="s">
        <v>17</v>
      </c>
      <c r="B1451" t="str">
        <f>"603706"</f>
        <v>603706</v>
      </c>
      <c r="C1451" t="s">
        <v>3206</v>
      </c>
      <c r="D1451" t="s">
        <v>749</v>
      </c>
      <c r="F1451">
        <v>0</v>
      </c>
      <c r="G1451">
        <v>0</v>
      </c>
      <c r="H1451">
        <v>0</v>
      </c>
      <c r="I1451">
        <v>0</v>
      </c>
      <c r="J1451">
        <v>0</v>
      </c>
      <c r="P1451">
        <v>91</v>
      </c>
      <c r="Q1451" t="s">
        <v>3207</v>
      </c>
    </row>
    <row r="1452" spans="1:17" x14ac:dyDescent="0.3">
      <c r="A1452" t="s">
        <v>17</v>
      </c>
      <c r="B1452" t="str">
        <f>"603707"</f>
        <v>603707</v>
      </c>
      <c r="C1452" t="s">
        <v>3208</v>
      </c>
      <c r="D1452" t="s">
        <v>143</v>
      </c>
      <c r="F1452">
        <v>220954820</v>
      </c>
      <c r="G1452">
        <v>187532206</v>
      </c>
      <c r="H1452">
        <v>166348633</v>
      </c>
      <c r="I1452">
        <v>101182425</v>
      </c>
      <c r="P1452">
        <v>771</v>
      </c>
      <c r="Q1452" t="s">
        <v>3209</v>
      </c>
    </row>
    <row r="1453" spans="1:17" x14ac:dyDescent="0.3">
      <c r="A1453" t="s">
        <v>17</v>
      </c>
      <c r="B1453" t="str">
        <f>"603708"</f>
        <v>603708</v>
      </c>
      <c r="C1453" t="s">
        <v>3210</v>
      </c>
      <c r="D1453" t="s">
        <v>798</v>
      </c>
      <c r="F1453">
        <v>0</v>
      </c>
      <c r="G1453">
        <v>0</v>
      </c>
      <c r="P1453">
        <v>702</v>
      </c>
      <c r="Q1453" t="s">
        <v>3211</v>
      </c>
    </row>
    <row r="1454" spans="1:17" x14ac:dyDescent="0.3">
      <c r="A1454" t="s">
        <v>17</v>
      </c>
      <c r="B1454" t="str">
        <f>"603709"</f>
        <v>603709</v>
      </c>
      <c r="C1454" t="s">
        <v>3212</v>
      </c>
      <c r="D1454" t="s">
        <v>757</v>
      </c>
      <c r="F1454">
        <v>28469959</v>
      </c>
      <c r="G1454">
        <v>33579028</v>
      </c>
      <c r="H1454">
        <v>40488349</v>
      </c>
      <c r="I1454">
        <v>28785453</v>
      </c>
      <c r="P1454">
        <v>99</v>
      </c>
      <c r="Q1454" t="s">
        <v>3213</v>
      </c>
    </row>
    <row r="1455" spans="1:17" x14ac:dyDescent="0.3">
      <c r="A1455" t="s">
        <v>17</v>
      </c>
      <c r="B1455" t="str">
        <f>"603711"</f>
        <v>603711</v>
      </c>
      <c r="C1455" t="s">
        <v>3214</v>
      </c>
      <c r="D1455" t="s">
        <v>440</v>
      </c>
      <c r="F1455">
        <v>28047610</v>
      </c>
      <c r="G1455">
        <v>23422864</v>
      </c>
      <c r="H1455">
        <v>31025437</v>
      </c>
      <c r="I1455">
        <v>8836212</v>
      </c>
      <c r="P1455">
        <v>392</v>
      </c>
      <c r="Q1455" t="s">
        <v>3215</v>
      </c>
    </row>
    <row r="1456" spans="1:17" x14ac:dyDescent="0.3">
      <c r="A1456" t="s">
        <v>17</v>
      </c>
      <c r="B1456" t="str">
        <f>"603712"</f>
        <v>603712</v>
      </c>
      <c r="C1456" t="s">
        <v>3216</v>
      </c>
      <c r="D1456" t="s">
        <v>1136</v>
      </c>
      <c r="F1456">
        <v>775435752</v>
      </c>
      <c r="G1456">
        <v>577940155</v>
      </c>
      <c r="H1456">
        <v>473385863</v>
      </c>
      <c r="I1456">
        <v>402104497</v>
      </c>
      <c r="P1456">
        <v>327</v>
      </c>
      <c r="Q1456" t="s">
        <v>3217</v>
      </c>
    </row>
    <row r="1457" spans="1:17" x14ac:dyDescent="0.3">
      <c r="A1457" t="s">
        <v>17</v>
      </c>
      <c r="B1457" t="str">
        <f>"603713"</f>
        <v>603713</v>
      </c>
      <c r="C1457" t="s">
        <v>3218</v>
      </c>
      <c r="D1457" t="s">
        <v>1592</v>
      </c>
      <c r="F1457">
        <v>28312187</v>
      </c>
      <c r="G1457">
        <v>25598082</v>
      </c>
      <c r="H1457">
        <v>22968911</v>
      </c>
      <c r="I1457">
        <v>10430148</v>
      </c>
      <c r="J1457">
        <v>6031204</v>
      </c>
      <c r="P1457">
        <v>457</v>
      </c>
      <c r="Q1457" t="s">
        <v>3219</v>
      </c>
    </row>
    <row r="1458" spans="1:17" x14ac:dyDescent="0.3">
      <c r="A1458" t="s">
        <v>17</v>
      </c>
      <c r="B1458" t="str">
        <f>"603716"</f>
        <v>603716</v>
      </c>
      <c r="C1458" t="s">
        <v>3220</v>
      </c>
      <c r="D1458" t="s">
        <v>125</v>
      </c>
      <c r="F1458">
        <v>35472522</v>
      </c>
      <c r="G1458">
        <v>19531590</v>
      </c>
      <c r="H1458">
        <v>10522496</v>
      </c>
      <c r="I1458">
        <v>7484771</v>
      </c>
      <c r="P1458">
        <v>137</v>
      </c>
      <c r="Q1458" t="s">
        <v>3221</v>
      </c>
    </row>
    <row r="1459" spans="1:17" x14ac:dyDescent="0.3">
      <c r="A1459" t="s">
        <v>17</v>
      </c>
      <c r="B1459" t="str">
        <f>"603717"</f>
        <v>603717</v>
      </c>
      <c r="C1459" t="s">
        <v>3222</v>
      </c>
      <c r="D1459" t="s">
        <v>2417</v>
      </c>
      <c r="F1459">
        <v>10365091</v>
      </c>
      <c r="G1459">
        <v>13136633</v>
      </c>
      <c r="H1459">
        <v>26278323</v>
      </c>
      <c r="I1459">
        <v>27886583</v>
      </c>
      <c r="P1459">
        <v>55</v>
      </c>
      <c r="Q1459" t="s">
        <v>3223</v>
      </c>
    </row>
    <row r="1460" spans="1:17" x14ac:dyDescent="0.3">
      <c r="A1460" t="s">
        <v>17</v>
      </c>
      <c r="B1460" t="str">
        <f>"603718"</f>
        <v>603718</v>
      </c>
      <c r="C1460" t="s">
        <v>3224</v>
      </c>
      <c r="D1460" t="s">
        <v>453</v>
      </c>
      <c r="F1460">
        <v>28640194</v>
      </c>
      <c r="G1460">
        <v>29525090</v>
      </c>
      <c r="H1460">
        <v>29643017</v>
      </c>
      <c r="I1460">
        <v>27283847</v>
      </c>
      <c r="P1460">
        <v>166</v>
      </c>
      <c r="Q1460" t="s">
        <v>3225</v>
      </c>
    </row>
    <row r="1461" spans="1:17" x14ac:dyDescent="0.3">
      <c r="A1461" t="s">
        <v>17</v>
      </c>
      <c r="B1461" t="str">
        <f>"603719"</f>
        <v>603719</v>
      </c>
      <c r="C1461" t="s">
        <v>3226</v>
      </c>
      <c r="D1461" t="s">
        <v>3194</v>
      </c>
      <c r="F1461">
        <v>39665624</v>
      </c>
      <c r="G1461">
        <v>33716957</v>
      </c>
      <c r="H1461">
        <v>27362988</v>
      </c>
      <c r="I1461">
        <v>20808809</v>
      </c>
      <c r="J1461">
        <v>20145307</v>
      </c>
      <c r="K1461">
        <v>25504377</v>
      </c>
      <c r="P1461">
        <v>715</v>
      </c>
      <c r="Q1461" t="s">
        <v>3227</v>
      </c>
    </row>
    <row r="1462" spans="1:17" x14ac:dyDescent="0.3">
      <c r="A1462" t="s">
        <v>17</v>
      </c>
      <c r="B1462" t="str">
        <f>"603721"</f>
        <v>603721</v>
      </c>
      <c r="C1462" t="s">
        <v>3228</v>
      </c>
      <c r="D1462" t="s">
        <v>113</v>
      </c>
      <c r="F1462">
        <v>7556639</v>
      </c>
      <c r="G1462">
        <v>10183611</v>
      </c>
      <c r="H1462">
        <v>15881278</v>
      </c>
      <c r="I1462">
        <v>11886397</v>
      </c>
      <c r="P1462">
        <v>89</v>
      </c>
      <c r="Q1462" t="s">
        <v>3229</v>
      </c>
    </row>
    <row r="1463" spans="1:17" x14ac:dyDescent="0.3">
      <c r="A1463" t="s">
        <v>17</v>
      </c>
      <c r="B1463" t="str">
        <f>"603722"</f>
        <v>603722</v>
      </c>
      <c r="C1463" t="s">
        <v>3230</v>
      </c>
      <c r="D1463" t="s">
        <v>1192</v>
      </c>
      <c r="F1463">
        <v>35746203</v>
      </c>
      <c r="G1463">
        <v>21742978</v>
      </c>
      <c r="H1463">
        <v>17423660</v>
      </c>
      <c r="I1463">
        <v>14349131</v>
      </c>
      <c r="P1463">
        <v>83</v>
      </c>
      <c r="Q1463" t="s">
        <v>3231</v>
      </c>
    </row>
    <row r="1464" spans="1:17" x14ac:dyDescent="0.3">
      <c r="A1464" t="s">
        <v>17</v>
      </c>
      <c r="B1464" t="str">
        <f>"603725"</f>
        <v>603725</v>
      </c>
      <c r="C1464" t="s">
        <v>3232</v>
      </c>
      <c r="D1464" t="s">
        <v>386</v>
      </c>
      <c r="F1464">
        <v>93464716</v>
      </c>
      <c r="G1464">
        <v>35813308</v>
      </c>
      <c r="H1464">
        <v>31601003</v>
      </c>
      <c r="I1464">
        <v>40216826</v>
      </c>
      <c r="P1464">
        <v>74</v>
      </c>
      <c r="Q1464" t="s">
        <v>3233</v>
      </c>
    </row>
    <row r="1465" spans="1:17" x14ac:dyDescent="0.3">
      <c r="A1465" t="s">
        <v>17</v>
      </c>
      <c r="B1465" t="str">
        <f>"603726"</f>
        <v>603726</v>
      </c>
      <c r="C1465" t="s">
        <v>3234</v>
      </c>
      <c r="D1465" t="s">
        <v>1253</v>
      </c>
      <c r="F1465">
        <v>89858424</v>
      </c>
      <c r="G1465">
        <v>71465004</v>
      </c>
      <c r="H1465">
        <v>80145970</v>
      </c>
      <c r="I1465">
        <v>64972095</v>
      </c>
      <c r="P1465">
        <v>123</v>
      </c>
      <c r="Q1465" t="s">
        <v>3235</v>
      </c>
    </row>
    <row r="1466" spans="1:17" x14ac:dyDescent="0.3">
      <c r="A1466" t="s">
        <v>17</v>
      </c>
      <c r="B1466" t="str">
        <f>"603727"</f>
        <v>603727</v>
      </c>
      <c r="C1466" t="s">
        <v>3236</v>
      </c>
      <c r="D1466" t="s">
        <v>762</v>
      </c>
      <c r="F1466">
        <v>190317909</v>
      </c>
      <c r="G1466">
        <v>125590350</v>
      </c>
      <c r="H1466">
        <v>58851469</v>
      </c>
      <c r="I1466">
        <v>31239241</v>
      </c>
      <c r="P1466">
        <v>123</v>
      </c>
      <c r="Q1466" t="s">
        <v>3237</v>
      </c>
    </row>
    <row r="1467" spans="1:17" x14ac:dyDescent="0.3">
      <c r="A1467" t="s">
        <v>17</v>
      </c>
      <c r="B1467" t="str">
        <f>"603728"</f>
        <v>603728</v>
      </c>
      <c r="C1467" t="s">
        <v>3238</v>
      </c>
      <c r="D1467" t="s">
        <v>1171</v>
      </c>
      <c r="F1467">
        <v>186259427</v>
      </c>
      <c r="G1467">
        <v>152011182</v>
      </c>
      <c r="H1467">
        <v>134963524</v>
      </c>
      <c r="I1467">
        <v>93861687</v>
      </c>
      <c r="P1467">
        <v>310</v>
      </c>
      <c r="Q1467" t="s">
        <v>3239</v>
      </c>
    </row>
    <row r="1468" spans="1:17" x14ac:dyDescent="0.3">
      <c r="A1468" t="s">
        <v>17</v>
      </c>
      <c r="B1468" t="str">
        <f>"603729"</f>
        <v>603729</v>
      </c>
      <c r="C1468" t="s">
        <v>3240</v>
      </c>
      <c r="D1468" t="s">
        <v>207</v>
      </c>
      <c r="F1468">
        <v>0</v>
      </c>
      <c r="G1468">
        <v>0</v>
      </c>
      <c r="P1468">
        <v>51</v>
      </c>
      <c r="Q1468" t="s">
        <v>3241</v>
      </c>
    </row>
    <row r="1469" spans="1:17" x14ac:dyDescent="0.3">
      <c r="A1469" t="s">
        <v>17</v>
      </c>
      <c r="B1469" t="str">
        <f>"603730"</f>
        <v>603730</v>
      </c>
      <c r="C1469" t="s">
        <v>3242</v>
      </c>
      <c r="D1469" t="s">
        <v>191</v>
      </c>
      <c r="F1469">
        <v>187204338</v>
      </c>
      <c r="G1469">
        <v>151382219</v>
      </c>
      <c r="H1469">
        <v>180105778</v>
      </c>
      <c r="I1469">
        <v>144437869</v>
      </c>
      <c r="P1469">
        <v>522</v>
      </c>
      <c r="Q1469" t="s">
        <v>3243</v>
      </c>
    </row>
    <row r="1470" spans="1:17" x14ac:dyDescent="0.3">
      <c r="A1470" t="s">
        <v>17</v>
      </c>
      <c r="B1470" t="str">
        <f>"603733"</f>
        <v>603733</v>
      </c>
      <c r="C1470" t="s">
        <v>3244</v>
      </c>
      <c r="D1470" t="s">
        <v>244</v>
      </c>
      <c r="F1470">
        <v>158093835</v>
      </c>
      <c r="G1470">
        <v>122654096</v>
      </c>
      <c r="H1470">
        <v>105967723</v>
      </c>
      <c r="I1470">
        <v>88182834</v>
      </c>
      <c r="J1470">
        <v>66799940</v>
      </c>
      <c r="P1470">
        <v>233</v>
      </c>
      <c r="Q1470" t="s">
        <v>3245</v>
      </c>
    </row>
    <row r="1471" spans="1:17" x14ac:dyDescent="0.3">
      <c r="A1471" t="s">
        <v>17</v>
      </c>
      <c r="B1471" t="str">
        <f>"603737"</f>
        <v>603737</v>
      </c>
      <c r="C1471" t="s">
        <v>3246</v>
      </c>
      <c r="D1471" t="s">
        <v>2903</v>
      </c>
      <c r="F1471">
        <v>271084530</v>
      </c>
      <c r="G1471">
        <v>207034433</v>
      </c>
      <c r="H1471">
        <v>130326643</v>
      </c>
      <c r="I1471">
        <v>92590695</v>
      </c>
      <c r="P1471">
        <v>1048</v>
      </c>
      <c r="Q1471" t="s">
        <v>3247</v>
      </c>
    </row>
    <row r="1472" spans="1:17" x14ac:dyDescent="0.3">
      <c r="A1472" t="s">
        <v>17</v>
      </c>
      <c r="B1472" t="str">
        <f>"603738"</f>
        <v>603738</v>
      </c>
      <c r="C1472" t="s">
        <v>3248</v>
      </c>
      <c r="D1472" t="s">
        <v>546</v>
      </c>
      <c r="F1472">
        <v>57944281</v>
      </c>
      <c r="G1472">
        <v>27609492</v>
      </c>
      <c r="H1472">
        <v>21580598</v>
      </c>
      <c r="I1472">
        <v>20202210</v>
      </c>
      <c r="P1472">
        <v>246</v>
      </c>
      <c r="Q1472" t="s">
        <v>3249</v>
      </c>
    </row>
    <row r="1473" spans="1:17" x14ac:dyDescent="0.3">
      <c r="A1473" t="s">
        <v>17</v>
      </c>
      <c r="B1473" t="str">
        <f>"603739"</f>
        <v>603739</v>
      </c>
      <c r="C1473" t="s">
        <v>3250</v>
      </c>
      <c r="D1473" t="s">
        <v>453</v>
      </c>
      <c r="F1473">
        <v>100936653</v>
      </c>
      <c r="G1473">
        <v>79913467</v>
      </c>
      <c r="H1473">
        <v>74997960</v>
      </c>
      <c r="I1473">
        <v>69693177</v>
      </c>
      <c r="J1473">
        <v>70615521</v>
      </c>
      <c r="K1473">
        <v>77478363</v>
      </c>
      <c r="L1473">
        <v>83258835</v>
      </c>
      <c r="P1473">
        <v>123</v>
      </c>
      <c r="Q1473" t="s">
        <v>3251</v>
      </c>
    </row>
    <row r="1474" spans="1:17" x14ac:dyDescent="0.3">
      <c r="A1474" t="s">
        <v>17</v>
      </c>
      <c r="B1474" t="str">
        <f>"603755"</f>
        <v>603755</v>
      </c>
      <c r="C1474" t="s">
        <v>3252</v>
      </c>
      <c r="D1474" t="s">
        <v>433</v>
      </c>
      <c r="F1474">
        <v>11346076</v>
      </c>
      <c r="G1474">
        <v>9540070</v>
      </c>
      <c r="H1474">
        <v>9612502</v>
      </c>
      <c r="I1474">
        <v>7680814</v>
      </c>
      <c r="J1474">
        <v>7418105</v>
      </c>
      <c r="K1474">
        <v>7201435</v>
      </c>
      <c r="P1474">
        <v>370</v>
      </c>
      <c r="Q1474" t="s">
        <v>3253</v>
      </c>
    </row>
    <row r="1475" spans="1:17" x14ac:dyDescent="0.3">
      <c r="A1475" t="s">
        <v>17</v>
      </c>
      <c r="B1475" t="str">
        <f>"603757"</f>
        <v>603757</v>
      </c>
      <c r="C1475" t="s">
        <v>3254</v>
      </c>
      <c r="D1475" t="s">
        <v>560</v>
      </c>
      <c r="F1475">
        <v>61827620</v>
      </c>
      <c r="G1475">
        <v>57195753</v>
      </c>
      <c r="H1475">
        <v>45770043</v>
      </c>
      <c r="I1475">
        <v>41514949</v>
      </c>
      <c r="P1475">
        <v>523</v>
      </c>
      <c r="Q1475" t="s">
        <v>3255</v>
      </c>
    </row>
    <row r="1476" spans="1:17" x14ac:dyDescent="0.3">
      <c r="A1476" t="s">
        <v>17</v>
      </c>
      <c r="B1476" t="str">
        <f>"603758"</f>
        <v>603758</v>
      </c>
      <c r="C1476" t="s">
        <v>3256</v>
      </c>
      <c r="D1476" t="s">
        <v>348</v>
      </c>
      <c r="F1476">
        <v>26043828</v>
      </c>
      <c r="G1476">
        <v>31635797</v>
      </c>
      <c r="H1476">
        <v>36556808</v>
      </c>
      <c r="I1476">
        <v>30537578</v>
      </c>
      <c r="P1476">
        <v>133</v>
      </c>
      <c r="Q1476" t="s">
        <v>3257</v>
      </c>
    </row>
    <row r="1477" spans="1:17" x14ac:dyDescent="0.3">
      <c r="A1477" t="s">
        <v>17</v>
      </c>
      <c r="B1477" t="str">
        <f>"603759"</f>
        <v>603759</v>
      </c>
      <c r="C1477" t="s">
        <v>3258</v>
      </c>
      <c r="D1477" t="s">
        <v>33</v>
      </c>
      <c r="F1477">
        <v>5059531</v>
      </c>
      <c r="G1477">
        <v>3640422</v>
      </c>
      <c r="H1477">
        <v>3746208</v>
      </c>
      <c r="I1477">
        <v>3181380</v>
      </c>
      <c r="J1477">
        <v>1317662</v>
      </c>
      <c r="P1477">
        <v>48</v>
      </c>
      <c r="Q1477" t="s">
        <v>3259</v>
      </c>
    </row>
    <row r="1478" spans="1:17" x14ac:dyDescent="0.3">
      <c r="A1478" t="s">
        <v>17</v>
      </c>
      <c r="B1478" t="str">
        <f>"603766"</f>
        <v>603766</v>
      </c>
      <c r="C1478" t="s">
        <v>3260</v>
      </c>
      <c r="D1478" t="s">
        <v>1656</v>
      </c>
      <c r="F1478">
        <v>383979535</v>
      </c>
      <c r="G1478">
        <v>305768878</v>
      </c>
      <c r="H1478">
        <v>307090492</v>
      </c>
      <c r="I1478">
        <v>242855704</v>
      </c>
      <c r="P1478">
        <v>460</v>
      </c>
      <c r="Q1478" t="s">
        <v>3261</v>
      </c>
    </row>
    <row r="1479" spans="1:17" x14ac:dyDescent="0.3">
      <c r="A1479" t="s">
        <v>17</v>
      </c>
      <c r="B1479" t="str">
        <f>"603767"</f>
        <v>603767</v>
      </c>
      <c r="C1479" t="s">
        <v>3262</v>
      </c>
      <c r="D1479" t="s">
        <v>348</v>
      </c>
      <c r="F1479">
        <v>41903118</v>
      </c>
      <c r="G1479">
        <v>36322223</v>
      </c>
      <c r="H1479">
        <v>32405429</v>
      </c>
      <c r="I1479">
        <v>35367205</v>
      </c>
      <c r="P1479">
        <v>80</v>
      </c>
      <c r="Q1479" t="s">
        <v>3263</v>
      </c>
    </row>
    <row r="1480" spans="1:17" x14ac:dyDescent="0.3">
      <c r="A1480" t="s">
        <v>17</v>
      </c>
      <c r="B1480" t="str">
        <f>"603768"</f>
        <v>603768</v>
      </c>
      <c r="C1480" t="s">
        <v>3264</v>
      </c>
      <c r="D1480" t="s">
        <v>985</v>
      </c>
      <c r="F1480">
        <v>79455631</v>
      </c>
      <c r="G1480">
        <v>60872489</v>
      </c>
      <c r="H1480">
        <v>53180370</v>
      </c>
      <c r="I1480">
        <v>49598622</v>
      </c>
      <c r="P1480">
        <v>58</v>
      </c>
      <c r="Q1480" t="s">
        <v>3265</v>
      </c>
    </row>
    <row r="1481" spans="1:17" x14ac:dyDescent="0.3">
      <c r="A1481" t="s">
        <v>17</v>
      </c>
      <c r="B1481" t="str">
        <f>"603773"</f>
        <v>603773</v>
      </c>
      <c r="C1481" t="s">
        <v>3266</v>
      </c>
      <c r="D1481" t="s">
        <v>1117</v>
      </c>
      <c r="F1481">
        <v>51223961</v>
      </c>
      <c r="G1481">
        <v>31914518</v>
      </c>
      <c r="H1481">
        <v>23670957</v>
      </c>
      <c r="I1481">
        <v>20521537</v>
      </c>
      <c r="J1481">
        <v>21709265</v>
      </c>
      <c r="P1481">
        <v>141</v>
      </c>
      <c r="Q1481" t="s">
        <v>3267</v>
      </c>
    </row>
    <row r="1482" spans="1:17" x14ac:dyDescent="0.3">
      <c r="A1482" t="s">
        <v>17</v>
      </c>
      <c r="B1482" t="str">
        <f>"603776"</f>
        <v>603776</v>
      </c>
      <c r="C1482" t="s">
        <v>3268</v>
      </c>
      <c r="D1482" t="s">
        <v>1656</v>
      </c>
      <c r="F1482">
        <v>40968534</v>
      </c>
      <c r="G1482">
        <v>38258088</v>
      </c>
      <c r="H1482">
        <v>43704807</v>
      </c>
      <c r="I1482">
        <v>44511369</v>
      </c>
      <c r="P1482">
        <v>189</v>
      </c>
      <c r="Q1482" t="s">
        <v>3269</v>
      </c>
    </row>
    <row r="1483" spans="1:17" x14ac:dyDescent="0.3">
      <c r="A1483" t="s">
        <v>17</v>
      </c>
      <c r="B1483" t="str">
        <f>"603777"</f>
        <v>603777</v>
      </c>
      <c r="C1483" t="s">
        <v>3270</v>
      </c>
      <c r="D1483" t="s">
        <v>3194</v>
      </c>
      <c r="F1483">
        <v>5031064</v>
      </c>
      <c r="G1483">
        <v>15789687</v>
      </c>
      <c r="H1483">
        <v>24072394</v>
      </c>
      <c r="P1483">
        <v>259</v>
      </c>
      <c r="Q1483" t="s">
        <v>3271</v>
      </c>
    </row>
    <row r="1484" spans="1:17" x14ac:dyDescent="0.3">
      <c r="A1484" t="s">
        <v>17</v>
      </c>
      <c r="B1484" t="str">
        <f>"603778"</f>
        <v>603778</v>
      </c>
      <c r="C1484" t="s">
        <v>3272</v>
      </c>
      <c r="D1484" t="s">
        <v>2417</v>
      </c>
      <c r="F1484">
        <v>10802595</v>
      </c>
      <c r="G1484">
        <v>11514624</v>
      </c>
      <c r="H1484">
        <v>11707169</v>
      </c>
      <c r="I1484">
        <v>7615489</v>
      </c>
      <c r="P1484">
        <v>72</v>
      </c>
      <c r="Q1484" t="s">
        <v>3273</v>
      </c>
    </row>
    <row r="1485" spans="1:17" x14ac:dyDescent="0.3">
      <c r="A1485" t="s">
        <v>17</v>
      </c>
      <c r="B1485" t="str">
        <f>"603779"</f>
        <v>603779</v>
      </c>
      <c r="C1485" t="s">
        <v>3274</v>
      </c>
      <c r="D1485" t="s">
        <v>134</v>
      </c>
      <c r="F1485">
        <v>1348531</v>
      </c>
      <c r="G1485">
        <v>3612958</v>
      </c>
      <c r="H1485">
        <v>4386887</v>
      </c>
      <c r="I1485">
        <v>2972397</v>
      </c>
      <c r="P1485">
        <v>101</v>
      </c>
      <c r="Q1485" t="s">
        <v>3275</v>
      </c>
    </row>
    <row r="1486" spans="1:17" x14ac:dyDescent="0.3">
      <c r="A1486" t="s">
        <v>17</v>
      </c>
      <c r="B1486" t="str">
        <f>"603786"</f>
        <v>603786</v>
      </c>
      <c r="C1486" t="s">
        <v>3276</v>
      </c>
      <c r="D1486" t="s">
        <v>1415</v>
      </c>
      <c r="F1486">
        <v>304015820</v>
      </c>
      <c r="G1486">
        <v>240475007</v>
      </c>
      <c r="H1486">
        <v>191622441</v>
      </c>
      <c r="I1486">
        <v>169693230</v>
      </c>
      <c r="J1486">
        <v>140717017</v>
      </c>
      <c r="K1486">
        <v>103445059</v>
      </c>
      <c r="P1486">
        <v>345</v>
      </c>
      <c r="Q1486" t="s">
        <v>3277</v>
      </c>
    </row>
    <row r="1487" spans="1:17" x14ac:dyDescent="0.3">
      <c r="A1487" t="s">
        <v>17</v>
      </c>
      <c r="B1487" t="str">
        <f>"603787"</f>
        <v>603787</v>
      </c>
      <c r="C1487" t="s">
        <v>3278</v>
      </c>
      <c r="D1487" t="s">
        <v>1656</v>
      </c>
      <c r="F1487">
        <v>92171028</v>
      </c>
      <c r="G1487">
        <v>63792049</v>
      </c>
      <c r="H1487">
        <v>64712537</v>
      </c>
      <c r="I1487">
        <v>53772429</v>
      </c>
      <c r="P1487">
        <v>103</v>
      </c>
      <c r="Q1487" t="s">
        <v>3279</v>
      </c>
    </row>
    <row r="1488" spans="1:17" x14ac:dyDescent="0.3">
      <c r="A1488" t="s">
        <v>17</v>
      </c>
      <c r="B1488" t="str">
        <f>"603788"</f>
        <v>603788</v>
      </c>
      <c r="C1488" t="s">
        <v>3280</v>
      </c>
      <c r="D1488" t="s">
        <v>348</v>
      </c>
      <c r="F1488">
        <v>51392325</v>
      </c>
      <c r="G1488">
        <v>41158590</v>
      </c>
      <c r="H1488">
        <v>40861549</v>
      </c>
      <c r="I1488">
        <v>54573664</v>
      </c>
      <c r="P1488">
        <v>330</v>
      </c>
      <c r="Q1488" t="s">
        <v>3281</v>
      </c>
    </row>
    <row r="1489" spans="1:17" x14ac:dyDescent="0.3">
      <c r="A1489" t="s">
        <v>17</v>
      </c>
      <c r="B1489" t="str">
        <f>"603789"</f>
        <v>603789</v>
      </c>
      <c r="C1489" t="s">
        <v>3282</v>
      </c>
      <c r="D1489" t="s">
        <v>1985</v>
      </c>
      <c r="F1489">
        <v>32271077</v>
      </c>
      <c r="G1489">
        <v>29117474</v>
      </c>
      <c r="H1489">
        <v>34857881</v>
      </c>
      <c r="I1489">
        <v>28089088</v>
      </c>
      <c r="P1489">
        <v>64</v>
      </c>
      <c r="Q1489" t="s">
        <v>3283</v>
      </c>
    </row>
    <row r="1490" spans="1:17" x14ac:dyDescent="0.3">
      <c r="A1490" t="s">
        <v>17</v>
      </c>
      <c r="B1490" t="str">
        <f>"603790"</f>
        <v>603790</v>
      </c>
      <c r="C1490" t="s">
        <v>3284</v>
      </c>
      <c r="D1490" t="s">
        <v>779</v>
      </c>
      <c r="F1490">
        <v>46684884</v>
      </c>
      <c r="G1490">
        <v>35848592</v>
      </c>
      <c r="H1490">
        <v>42442133</v>
      </c>
      <c r="I1490">
        <v>37849138</v>
      </c>
      <c r="J1490">
        <v>35114179</v>
      </c>
      <c r="K1490">
        <v>38292029</v>
      </c>
      <c r="L1490">
        <v>29948286</v>
      </c>
      <c r="P1490">
        <v>64</v>
      </c>
      <c r="Q1490" t="s">
        <v>3285</v>
      </c>
    </row>
    <row r="1491" spans="1:17" x14ac:dyDescent="0.3">
      <c r="A1491" t="s">
        <v>17</v>
      </c>
      <c r="B1491" t="str">
        <f>"603797"</f>
        <v>603797</v>
      </c>
      <c r="C1491" t="s">
        <v>3286</v>
      </c>
      <c r="D1491" t="s">
        <v>33</v>
      </c>
      <c r="F1491">
        <v>1212994</v>
      </c>
      <c r="G1491">
        <v>1047258</v>
      </c>
      <c r="H1491">
        <v>1019571</v>
      </c>
      <c r="I1491">
        <v>942905</v>
      </c>
      <c r="P1491">
        <v>243</v>
      </c>
      <c r="Q1491" t="s">
        <v>3287</v>
      </c>
    </row>
    <row r="1492" spans="1:17" x14ac:dyDescent="0.3">
      <c r="A1492" t="s">
        <v>17</v>
      </c>
      <c r="B1492" t="str">
        <f>"603798"</f>
        <v>603798</v>
      </c>
      <c r="C1492" t="s">
        <v>3288</v>
      </c>
      <c r="D1492" t="s">
        <v>1617</v>
      </c>
      <c r="F1492">
        <v>39147652</v>
      </c>
      <c r="G1492">
        <v>27865406</v>
      </c>
      <c r="H1492">
        <v>30394992</v>
      </c>
      <c r="I1492">
        <v>25517681</v>
      </c>
      <c r="P1492">
        <v>141</v>
      </c>
      <c r="Q1492" t="s">
        <v>3289</v>
      </c>
    </row>
    <row r="1493" spans="1:17" x14ac:dyDescent="0.3">
      <c r="A1493" t="s">
        <v>17</v>
      </c>
      <c r="B1493" t="str">
        <f>"603799"</f>
        <v>603799</v>
      </c>
      <c r="C1493" t="s">
        <v>3290</v>
      </c>
      <c r="D1493" t="s">
        <v>1440</v>
      </c>
      <c r="F1493">
        <v>816270207</v>
      </c>
      <c r="G1493">
        <v>370784129</v>
      </c>
      <c r="H1493">
        <v>267610712</v>
      </c>
      <c r="I1493">
        <v>380223496</v>
      </c>
      <c r="P1493">
        <v>1518</v>
      </c>
      <c r="Q1493" t="s">
        <v>3291</v>
      </c>
    </row>
    <row r="1494" spans="1:17" x14ac:dyDescent="0.3">
      <c r="A1494" t="s">
        <v>17</v>
      </c>
      <c r="B1494" t="str">
        <f>"603800"</f>
        <v>603800</v>
      </c>
      <c r="C1494" t="s">
        <v>3292</v>
      </c>
      <c r="D1494" t="s">
        <v>395</v>
      </c>
      <c r="F1494">
        <v>36379352</v>
      </c>
      <c r="G1494">
        <v>31481236</v>
      </c>
      <c r="H1494">
        <v>54196615</v>
      </c>
      <c r="I1494">
        <v>41154916</v>
      </c>
      <c r="P1494">
        <v>75</v>
      </c>
      <c r="Q1494" t="s">
        <v>3293</v>
      </c>
    </row>
    <row r="1495" spans="1:17" x14ac:dyDescent="0.3">
      <c r="A1495" t="s">
        <v>17</v>
      </c>
      <c r="B1495" t="str">
        <f>"603801"</f>
        <v>603801</v>
      </c>
      <c r="C1495" t="s">
        <v>3294</v>
      </c>
      <c r="D1495" t="s">
        <v>2664</v>
      </c>
      <c r="F1495">
        <v>281506217</v>
      </c>
      <c r="G1495">
        <v>225756216</v>
      </c>
      <c r="H1495">
        <v>134422945</v>
      </c>
      <c r="I1495">
        <v>92491751</v>
      </c>
      <c r="P1495">
        <v>770</v>
      </c>
      <c r="Q1495" t="s">
        <v>3295</v>
      </c>
    </row>
    <row r="1496" spans="1:17" x14ac:dyDescent="0.3">
      <c r="A1496" t="s">
        <v>17</v>
      </c>
      <c r="B1496" t="str">
        <f>"603803"</f>
        <v>603803</v>
      </c>
      <c r="C1496" t="s">
        <v>3296</v>
      </c>
      <c r="D1496" t="s">
        <v>786</v>
      </c>
      <c r="F1496">
        <v>271128167</v>
      </c>
      <c r="G1496">
        <v>262196904</v>
      </c>
      <c r="H1496">
        <v>274023884</v>
      </c>
      <c r="I1496">
        <v>291258087</v>
      </c>
      <c r="P1496">
        <v>153</v>
      </c>
      <c r="Q1496" t="s">
        <v>3297</v>
      </c>
    </row>
    <row r="1497" spans="1:17" x14ac:dyDescent="0.3">
      <c r="A1497" t="s">
        <v>17</v>
      </c>
      <c r="B1497" t="str">
        <f>"603806"</f>
        <v>603806</v>
      </c>
      <c r="C1497" t="s">
        <v>3298</v>
      </c>
      <c r="D1497" t="s">
        <v>478</v>
      </c>
      <c r="F1497">
        <v>453587982</v>
      </c>
      <c r="G1497">
        <v>309081215</v>
      </c>
      <c r="H1497">
        <v>202875712</v>
      </c>
      <c r="I1497">
        <v>179478184</v>
      </c>
      <c r="P1497">
        <v>1029</v>
      </c>
      <c r="Q1497" t="s">
        <v>3299</v>
      </c>
    </row>
    <row r="1498" spans="1:17" x14ac:dyDescent="0.3">
      <c r="A1498" t="s">
        <v>17</v>
      </c>
      <c r="B1498" t="str">
        <f>"603808"</f>
        <v>603808</v>
      </c>
      <c r="C1498" t="s">
        <v>3300</v>
      </c>
      <c r="D1498" t="s">
        <v>255</v>
      </c>
      <c r="F1498">
        <v>56723705</v>
      </c>
      <c r="G1498">
        <v>58874521</v>
      </c>
      <c r="H1498">
        <v>91619895</v>
      </c>
      <c r="I1498">
        <v>79439045</v>
      </c>
      <c r="P1498">
        <v>479</v>
      </c>
      <c r="Q1498" t="s">
        <v>3301</v>
      </c>
    </row>
    <row r="1499" spans="1:17" x14ac:dyDescent="0.3">
      <c r="A1499" t="s">
        <v>17</v>
      </c>
      <c r="B1499" t="str">
        <f>"603809"</f>
        <v>603809</v>
      </c>
      <c r="C1499" t="s">
        <v>3302</v>
      </c>
      <c r="D1499" t="s">
        <v>348</v>
      </c>
      <c r="F1499">
        <v>80459676</v>
      </c>
      <c r="G1499">
        <v>56326102</v>
      </c>
      <c r="H1499">
        <v>44925663</v>
      </c>
      <c r="I1499">
        <v>35005656</v>
      </c>
      <c r="P1499">
        <v>137</v>
      </c>
      <c r="Q1499" t="s">
        <v>3303</v>
      </c>
    </row>
    <row r="1500" spans="1:17" x14ac:dyDescent="0.3">
      <c r="A1500" t="s">
        <v>17</v>
      </c>
      <c r="B1500" t="str">
        <f>"603810"</f>
        <v>603810</v>
      </c>
      <c r="C1500" t="s">
        <v>3304</v>
      </c>
      <c r="D1500" t="s">
        <v>853</v>
      </c>
      <c r="F1500">
        <v>44129971</v>
      </c>
      <c r="G1500">
        <v>47709545</v>
      </c>
      <c r="H1500">
        <v>43362598</v>
      </c>
      <c r="I1500">
        <v>41481672</v>
      </c>
      <c r="J1500">
        <v>33464544</v>
      </c>
      <c r="K1500">
        <v>36339202</v>
      </c>
      <c r="L1500">
        <v>32525405</v>
      </c>
      <c r="P1500">
        <v>79</v>
      </c>
      <c r="Q1500" t="s">
        <v>3305</v>
      </c>
    </row>
    <row r="1501" spans="1:17" x14ac:dyDescent="0.3">
      <c r="A1501" t="s">
        <v>17</v>
      </c>
      <c r="B1501" t="str">
        <f>"603811"</f>
        <v>603811</v>
      </c>
      <c r="C1501" t="s">
        <v>3306</v>
      </c>
      <c r="D1501" t="s">
        <v>143</v>
      </c>
      <c r="F1501">
        <v>39715209</v>
      </c>
      <c r="G1501">
        <v>31793542</v>
      </c>
      <c r="H1501">
        <v>29570758</v>
      </c>
      <c r="I1501">
        <v>26260085</v>
      </c>
      <c r="P1501">
        <v>327</v>
      </c>
      <c r="Q1501" t="s">
        <v>3307</v>
      </c>
    </row>
    <row r="1502" spans="1:17" x14ac:dyDescent="0.3">
      <c r="A1502" t="s">
        <v>17</v>
      </c>
      <c r="B1502" t="str">
        <f>"603813"</f>
        <v>603813</v>
      </c>
      <c r="C1502" t="s">
        <v>3308</v>
      </c>
      <c r="D1502" t="s">
        <v>2503</v>
      </c>
      <c r="F1502">
        <v>14449502</v>
      </c>
      <c r="G1502">
        <v>14407882</v>
      </c>
      <c r="H1502">
        <v>18220385</v>
      </c>
      <c r="I1502">
        <v>14735961</v>
      </c>
      <c r="P1502">
        <v>59</v>
      </c>
      <c r="Q1502" t="s">
        <v>3309</v>
      </c>
    </row>
    <row r="1503" spans="1:17" x14ac:dyDescent="0.3">
      <c r="A1503" t="s">
        <v>17</v>
      </c>
      <c r="B1503" t="str">
        <f>"603815"</f>
        <v>603815</v>
      </c>
      <c r="C1503" t="s">
        <v>3310</v>
      </c>
      <c r="D1503" t="s">
        <v>101</v>
      </c>
      <c r="F1503">
        <v>1616131</v>
      </c>
      <c r="G1503">
        <v>0</v>
      </c>
      <c r="P1503">
        <v>85</v>
      </c>
      <c r="Q1503" t="s">
        <v>3311</v>
      </c>
    </row>
    <row r="1504" spans="1:17" x14ac:dyDescent="0.3">
      <c r="A1504" t="s">
        <v>17</v>
      </c>
      <c r="B1504" t="str">
        <f>"603816"</f>
        <v>603816</v>
      </c>
      <c r="C1504" t="s">
        <v>3312</v>
      </c>
      <c r="D1504" t="s">
        <v>757</v>
      </c>
      <c r="F1504">
        <v>302463681</v>
      </c>
      <c r="G1504">
        <v>206785813</v>
      </c>
      <c r="H1504">
        <v>197963484</v>
      </c>
      <c r="I1504">
        <v>136897208</v>
      </c>
      <c r="P1504">
        <v>1965</v>
      </c>
      <c r="Q1504" t="s">
        <v>3313</v>
      </c>
    </row>
    <row r="1505" spans="1:17" x14ac:dyDescent="0.3">
      <c r="A1505" t="s">
        <v>17</v>
      </c>
      <c r="B1505" t="str">
        <f>"603817"</f>
        <v>603817</v>
      </c>
      <c r="C1505" t="s">
        <v>3314</v>
      </c>
      <c r="D1505" t="s">
        <v>33</v>
      </c>
      <c r="F1505">
        <v>21243146</v>
      </c>
      <c r="G1505">
        <v>17285722</v>
      </c>
      <c r="H1505">
        <v>12695076</v>
      </c>
      <c r="I1505">
        <v>7889085</v>
      </c>
      <c r="P1505">
        <v>121</v>
      </c>
      <c r="Q1505" t="s">
        <v>3315</v>
      </c>
    </row>
    <row r="1506" spans="1:17" x14ac:dyDescent="0.3">
      <c r="A1506" t="s">
        <v>17</v>
      </c>
      <c r="B1506" t="str">
        <f>"603818"</f>
        <v>603818</v>
      </c>
      <c r="C1506" t="s">
        <v>3316</v>
      </c>
      <c r="D1506" t="s">
        <v>757</v>
      </c>
      <c r="F1506">
        <v>101269536</v>
      </c>
      <c r="G1506">
        <v>90897025</v>
      </c>
      <c r="H1506">
        <v>90782308</v>
      </c>
      <c r="I1506">
        <v>79328271</v>
      </c>
      <c r="P1506">
        <v>202</v>
      </c>
      <c r="Q1506" t="s">
        <v>3317</v>
      </c>
    </row>
    <row r="1507" spans="1:17" x14ac:dyDescent="0.3">
      <c r="A1507" t="s">
        <v>17</v>
      </c>
      <c r="B1507" t="str">
        <f>"603819"</f>
        <v>603819</v>
      </c>
      <c r="C1507" t="s">
        <v>3318</v>
      </c>
      <c r="D1507" t="s">
        <v>1171</v>
      </c>
      <c r="F1507">
        <v>9833160</v>
      </c>
      <c r="G1507">
        <v>8780958</v>
      </c>
      <c r="H1507">
        <v>7011327</v>
      </c>
      <c r="I1507">
        <v>4358641</v>
      </c>
      <c r="P1507">
        <v>74</v>
      </c>
      <c r="Q1507" t="s">
        <v>3319</v>
      </c>
    </row>
    <row r="1508" spans="1:17" x14ac:dyDescent="0.3">
      <c r="A1508" t="s">
        <v>17</v>
      </c>
      <c r="B1508" t="str">
        <f>"603822"</f>
        <v>603822</v>
      </c>
      <c r="C1508" t="s">
        <v>3320</v>
      </c>
      <c r="D1508" t="s">
        <v>386</v>
      </c>
      <c r="F1508">
        <v>56543673</v>
      </c>
      <c r="G1508">
        <v>42671168</v>
      </c>
      <c r="H1508">
        <v>28818772</v>
      </c>
      <c r="I1508">
        <v>25893816</v>
      </c>
      <c r="P1508">
        <v>124</v>
      </c>
      <c r="Q1508" t="s">
        <v>3321</v>
      </c>
    </row>
    <row r="1509" spans="1:17" x14ac:dyDescent="0.3">
      <c r="A1509" t="s">
        <v>17</v>
      </c>
      <c r="B1509" t="str">
        <f>"603823"</f>
        <v>603823</v>
      </c>
      <c r="C1509" t="s">
        <v>3322</v>
      </c>
      <c r="D1509" t="s">
        <v>2585</v>
      </c>
      <c r="F1509">
        <v>94380625</v>
      </c>
      <c r="G1509">
        <v>76234848</v>
      </c>
      <c r="H1509">
        <v>82343655</v>
      </c>
      <c r="I1509">
        <v>76231485</v>
      </c>
      <c r="P1509">
        <v>142</v>
      </c>
      <c r="Q1509" t="s">
        <v>3323</v>
      </c>
    </row>
    <row r="1510" spans="1:17" x14ac:dyDescent="0.3">
      <c r="A1510" t="s">
        <v>17</v>
      </c>
      <c r="B1510" t="str">
        <f>"603825"</f>
        <v>603825</v>
      </c>
      <c r="C1510" t="s">
        <v>3324</v>
      </c>
      <c r="D1510" t="s">
        <v>207</v>
      </c>
      <c r="F1510">
        <v>317772124</v>
      </c>
      <c r="G1510">
        <v>218996100</v>
      </c>
      <c r="H1510">
        <v>259846750</v>
      </c>
      <c r="I1510">
        <v>274430222</v>
      </c>
      <c r="P1510">
        <v>158</v>
      </c>
      <c r="Q1510" t="s">
        <v>3325</v>
      </c>
    </row>
    <row r="1511" spans="1:17" x14ac:dyDescent="0.3">
      <c r="A1511" t="s">
        <v>17</v>
      </c>
      <c r="B1511" t="str">
        <f>"603826"</f>
        <v>603826</v>
      </c>
      <c r="C1511" t="s">
        <v>3326</v>
      </c>
      <c r="D1511" t="s">
        <v>2762</v>
      </c>
      <c r="F1511">
        <v>36134139</v>
      </c>
      <c r="G1511">
        <v>26795014</v>
      </c>
      <c r="H1511">
        <v>20200146</v>
      </c>
      <c r="I1511">
        <v>21296448</v>
      </c>
      <c r="P1511">
        <v>265</v>
      </c>
      <c r="Q1511" t="s">
        <v>3327</v>
      </c>
    </row>
    <row r="1512" spans="1:17" x14ac:dyDescent="0.3">
      <c r="A1512" t="s">
        <v>17</v>
      </c>
      <c r="B1512" t="str">
        <f>"603828"</f>
        <v>603828</v>
      </c>
      <c r="C1512" t="s">
        <v>3328</v>
      </c>
      <c r="D1512" t="s">
        <v>450</v>
      </c>
      <c r="F1512">
        <v>116919427</v>
      </c>
      <c r="G1512">
        <v>92188420</v>
      </c>
      <c r="H1512">
        <v>72259843</v>
      </c>
      <c r="I1512">
        <v>85357841</v>
      </c>
      <c r="P1512">
        <v>66</v>
      </c>
      <c r="Q1512" t="s">
        <v>3329</v>
      </c>
    </row>
    <row r="1513" spans="1:17" x14ac:dyDescent="0.3">
      <c r="A1513" t="s">
        <v>17</v>
      </c>
      <c r="B1513" t="str">
        <f>"603829"</f>
        <v>603829</v>
      </c>
      <c r="C1513" t="s">
        <v>3330</v>
      </c>
      <c r="D1513" t="s">
        <v>657</v>
      </c>
      <c r="F1513">
        <v>55831835</v>
      </c>
      <c r="G1513">
        <v>38069150</v>
      </c>
      <c r="H1513">
        <v>22445108</v>
      </c>
      <c r="I1513">
        <v>19105854</v>
      </c>
      <c r="P1513">
        <v>50</v>
      </c>
      <c r="Q1513" t="s">
        <v>3331</v>
      </c>
    </row>
    <row r="1514" spans="1:17" x14ac:dyDescent="0.3">
      <c r="A1514" t="s">
        <v>17</v>
      </c>
      <c r="B1514" t="str">
        <f>"603833"</f>
        <v>603833</v>
      </c>
      <c r="C1514" t="s">
        <v>3332</v>
      </c>
      <c r="D1514" t="s">
        <v>2664</v>
      </c>
      <c r="F1514">
        <v>907758167</v>
      </c>
      <c r="G1514">
        <v>699106860</v>
      </c>
      <c r="H1514">
        <v>641972254</v>
      </c>
      <c r="I1514">
        <v>632171978</v>
      </c>
      <c r="P1514">
        <v>2566</v>
      </c>
      <c r="Q1514" t="s">
        <v>3333</v>
      </c>
    </row>
    <row r="1515" spans="1:17" x14ac:dyDescent="0.3">
      <c r="A1515" t="s">
        <v>17</v>
      </c>
      <c r="B1515" t="str">
        <f>"603836"</f>
        <v>603836</v>
      </c>
      <c r="C1515" t="s">
        <v>3334</v>
      </c>
      <c r="D1515" t="s">
        <v>287</v>
      </c>
      <c r="F1515">
        <v>1957258</v>
      </c>
      <c r="G1515">
        <v>5801002</v>
      </c>
      <c r="H1515">
        <v>1719317</v>
      </c>
      <c r="I1515">
        <v>1487841</v>
      </c>
      <c r="J1515">
        <v>1384930</v>
      </c>
      <c r="P1515">
        <v>29</v>
      </c>
      <c r="Q1515" t="s">
        <v>3335</v>
      </c>
    </row>
    <row r="1516" spans="1:17" x14ac:dyDescent="0.3">
      <c r="A1516" t="s">
        <v>17</v>
      </c>
      <c r="B1516" t="str">
        <f>"603838"</f>
        <v>603838</v>
      </c>
      <c r="C1516" t="s">
        <v>3336</v>
      </c>
      <c r="D1516" t="s">
        <v>2445</v>
      </c>
      <c r="F1516">
        <v>17206697</v>
      </c>
      <c r="G1516">
        <v>9904978</v>
      </c>
      <c r="H1516">
        <v>27840331</v>
      </c>
      <c r="I1516">
        <v>23833999</v>
      </c>
      <c r="P1516">
        <v>49</v>
      </c>
      <c r="Q1516" t="s">
        <v>3337</v>
      </c>
    </row>
    <row r="1517" spans="1:17" x14ac:dyDescent="0.3">
      <c r="A1517" t="s">
        <v>17</v>
      </c>
      <c r="B1517" t="str">
        <f>"603839"</f>
        <v>603839</v>
      </c>
      <c r="C1517" t="s">
        <v>3338</v>
      </c>
      <c r="D1517" t="s">
        <v>255</v>
      </c>
      <c r="F1517">
        <v>70792466</v>
      </c>
      <c r="G1517">
        <v>70929032</v>
      </c>
      <c r="H1517">
        <v>80465229</v>
      </c>
      <c r="I1517">
        <v>74619896</v>
      </c>
      <c r="P1517">
        <v>136</v>
      </c>
      <c r="Q1517" t="s">
        <v>3339</v>
      </c>
    </row>
    <row r="1518" spans="1:17" x14ac:dyDescent="0.3">
      <c r="A1518" t="s">
        <v>17</v>
      </c>
      <c r="B1518" t="str">
        <f>"603843"</f>
        <v>603843</v>
      </c>
      <c r="C1518" t="s">
        <v>3340</v>
      </c>
      <c r="D1518" t="s">
        <v>101</v>
      </c>
      <c r="F1518">
        <v>4595271</v>
      </c>
      <c r="G1518">
        <v>2079009</v>
      </c>
      <c r="H1518">
        <v>6451785</v>
      </c>
      <c r="I1518">
        <v>645474</v>
      </c>
      <c r="P1518">
        <v>90</v>
      </c>
      <c r="Q1518" t="s">
        <v>3341</v>
      </c>
    </row>
    <row r="1519" spans="1:17" x14ac:dyDescent="0.3">
      <c r="A1519" t="s">
        <v>17</v>
      </c>
      <c r="B1519" t="str">
        <f>"603848"</f>
        <v>603848</v>
      </c>
      <c r="C1519" t="s">
        <v>3342</v>
      </c>
      <c r="D1519" t="s">
        <v>757</v>
      </c>
      <c r="F1519">
        <v>48638591</v>
      </c>
      <c r="G1519">
        <v>45325244</v>
      </c>
      <c r="H1519">
        <v>52895381</v>
      </c>
      <c r="I1519">
        <v>42967401</v>
      </c>
      <c r="P1519">
        <v>415</v>
      </c>
      <c r="Q1519" t="s">
        <v>3343</v>
      </c>
    </row>
    <row r="1520" spans="1:17" x14ac:dyDescent="0.3">
      <c r="A1520" t="s">
        <v>17</v>
      </c>
      <c r="B1520" t="str">
        <f>"603855"</f>
        <v>603855</v>
      </c>
      <c r="C1520" t="s">
        <v>3344</v>
      </c>
      <c r="D1520" t="s">
        <v>741</v>
      </c>
      <c r="F1520">
        <v>111258581</v>
      </c>
      <c r="G1520">
        <v>80928097</v>
      </c>
      <c r="H1520">
        <v>69718671</v>
      </c>
      <c r="I1520">
        <v>53974267</v>
      </c>
      <c r="P1520">
        <v>222</v>
      </c>
      <c r="Q1520" t="s">
        <v>3345</v>
      </c>
    </row>
    <row r="1521" spans="1:17" x14ac:dyDescent="0.3">
      <c r="A1521" t="s">
        <v>17</v>
      </c>
      <c r="B1521" t="str">
        <f>"603856"</f>
        <v>603856</v>
      </c>
      <c r="C1521" t="s">
        <v>3346</v>
      </c>
      <c r="D1521" t="s">
        <v>3347</v>
      </c>
      <c r="F1521">
        <v>53554878</v>
      </c>
      <c r="G1521">
        <v>61862915</v>
      </c>
      <c r="H1521">
        <v>53396552</v>
      </c>
      <c r="I1521">
        <v>43126780</v>
      </c>
      <c r="P1521">
        <v>138</v>
      </c>
      <c r="Q1521" t="s">
        <v>3348</v>
      </c>
    </row>
    <row r="1522" spans="1:17" x14ac:dyDescent="0.3">
      <c r="A1522" t="s">
        <v>17</v>
      </c>
      <c r="B1522" t="str">
        <f>"603858"</f>
        <v>603858</v>
      </c>
      <c r="C1522" t="s">
        <v>3349</v>
      </c>
      <c r="D1522" t="s">
        <v>188</v>
      </c>
      <c r="F1522">
        <v>408603447</v>
      </c>
      <c r="G1522">
        <v>533416890</v>
      </c>
      <c r="H1522">
        <v>505360730</v>
      </c>
      <c r="I1522">
        <v>480238191</v>
      </c>
      <c r="P1522">
        <v>828</v>
      </c>
      <c r="Q1522" t="s">
        <v>3350</v>
      </c>
    </row>
    <row r="1523" spans="1:17" x14ac:dyDescent="0.3">
      <c r="A1523" t="s">
        <v>17</v>
      </c>
      <c r="B1523" t="str">
        <f>"603859"</f>
        <v>603859</v>
      </c>
      <c r="C1523" t="s">
        <v>3351</v>
      </c>
      <c r="D1523" t="s">
        <v>2432</v>
      </c>
      <c r="F1523">
        <v>115331871</v>
      </c>
      <c r="G1523">
        <v>94334876</v>
      </c>
      <c r="H1523">
        <v>68939696</v>
      </c>
      <c r="I1523">
        <v>47070637</v>
      </c>
      <c r="P1523">
        <v>205</v>
      </c>
      <c r="Q1523" t="s">
        <v>3352</v>
      </c>
    </row>
    <row r="1524" spans="1:17" x14ac:dyDescent="0.3">
      <c r="A1524" t="s">
        <v>17</v>
      </c>
      <c r="B1524" t="str">
        <f>"603860"</f>
        <v>603860</v>
      </c>
      <c r="C1524" t="s">
        <v>3353</v>
      </c>
      <c r="D1524" t="s">
        <v>1272</v>
      </c>
      <c r="F1524">
        <v>12725710</v>
      </c>
      <c r="G1524">
        <v>13170481</v>
      </c>
      <c r="H1524">
        <v>15025950</v>
      </c>
      <c r="I1524">
        <v>16155042</v>
      </c>
      <c r="P1524">
        <v>58</v>
      </c>
      <c r="Q1524" t="s">
        <v>3354</v>
      </c>
    </row>
    <row r="1525" spans="1:17" x14ac:dyDescent="0.3">
      <c r="A1525" t="s">
        <v>17</v>
      </c>
      <c r="B1525" t="str">
        <f>"603861"</f>
        <v>603861</v>
      </c>
      <c r="C1525" t="s">
        <v>3355</v>
      </c>
      <c r="D1525" t="s">
        <v>657</v>
      </c>
      <c r="F1525">
        <v>126073127</v>
      </c>
      <c r="G1525">
        <v>96746427</v>
      </c>
      <c r="H1525">
        <v>99159960</v>
      </c>
      <c r="I1525">
        <v>91560993</v>
      </c>
      <c r="P1525">
        <v>109</v>
      </c>
      <c r="Q1525" t="s">
        <v>3356</v>
      </c>
    </row>
    <row r="1526" spans="1:17" x14ac:dyDescent="0.3">
      <c r="A1526" t="s">
        <v>17</v>
      </c>
      <c r="B1526" t="str">
        <f>"603863"</f>
        <v>603863</v>
      </c>
      <c r="C1526" t="s">
        <v>3357</v>
      </c>
      <c r="D1526" t="s">
        <v>694</v>
      </c>
      <c r="F1526">
        <v>20519142</v>
      </c>
      <c r="G1526">
        <v>16893236</v>
      </c>
      <c r="H1526">
        <v>18605575</v>
      </c>
      <c r="I1526">
        <v>18636747</v>
      </c>
      <c r="J1526">
        <v>14128640</v>
      </c>
      <c r="K1526">
        <v>12127830</v>
      </c>
      <c r="P1526">
        <v>51</v>
      </c>
      <c r="Q1526" t="s">
        <v>3358</v>
      </c>
    </row>
    <row r="1527" spans="1:17" x14ac:dyDescent="0.3">
      <c r="A1527" t="s">
        <v>17</v>
      </c>
      <c r="B1527" t="str">
        <f>"603866"</f>
        <v>603866</v>
      </c>
      <c r="C1527" t="s">
        <v>3359</v>
      </c>
      <c r="D1527" t="s">
        <v>2488</v>
      </c>
      <c r="F1527">
        <v>20645747</v>
      </c>
      <c r="G1527">
        <v>11295700</v>
      </c>
      <c r="H1527">
        <v>8842772</v>
      </c>
      <c r="I1527">
        <v>5650645</v>
      </c>
      <c r="P1527">
        <v>7676</v>
      </c>
      <c r="Q1527" t="s">
        <v>3360</v>
      </c>
    </row>
    <row r="1528" spans="1:17" x14ac:dyDescent="0.3">
      <c r="A1528" t="s">
        <v>17</v>
      </c>
      <c r="B1528" t="str">
        <f>"603867"</f>
        <v>603867</v>
      </c>
      <c r="C1528" t="s">
        <v>3361</v>
      </c>
      <c r="D1528" t="s">
        <v>386</v>
      </c>
      <c r="F1528">
        <v>80990710</v>
      </c>
      <c r="G1528">
        <v>84901484</v>
      </c>
      <c r="H1528">
        <v>58361187</v>
      </c>
      <c r="I1528">
        <v>62812115</v>
      </c>
      <c r="J1528">
        <v>58562690</v>
      </c>
      <c r="K1528">
        <v>53381572</v>
      </c>
      <c r="P1528">
        <v>88</v>
      </c>
      <c r="Q1528" t="s">
        <v>3362</v>
      </c>
    </row>
    <row r="1529" spans="1:17" x14ac:dyDescent="0.3">
      <c r="A1529" t="s">
        <v>17</v>
      </c>
      <c r="B1529" t="str">
        <f>"603868"</f>
        <v>603868</v>
      </c>
      <c r="C1529" t="s">
        <v>3363</v>
      </c>
      <c r="D1529" t="s">
        <v>3364</v>
      </c>
      <c r="F1529">
        <v>131935228</v>
      </c>
      <c r="G1529">
        <v>74071905</v>
      </c>
      <c r="H1529">
        <v>84889973</v>
      </c>
      <c r="I1529">
        <v>52886644</v>
      </c>
      <c r="P1529">
        <v>4433</v>
      </c>
      <c r="Q1529" t="s">
        <v>3365</v>
      </c>
    </row>
    <row r="1530" spans="1:17" x14ac:dyDescent="0.3">
      <c r="A1530" t="s">
        <v>17</v>
      </c>
      <c r="B1530" t="str">
        <f>"603869"</f>
        <v>603869</v>
      </c>
      <c r="C1530" t="s">
        <v>3366</v>
      </c>
      <c r="D1530" t="s">
        <v>316</v>
      </c>
      <c r="F1530">
        <v>122199374</v>
      </c>
      <c r="G1530">
        <v>134392903</v>
      </c>
      <c r="H1530">
        <v>164712299</v>
      </c>
      <c r="I1530">
        <v>194968558</v>
      </c>
      <c r="J1530">
        <v>114947960</v>
      </c>
      <c r="P1530">
        <v>143</v>
      </c>
      <c r="Q1530" t="s">
        <v>3367</v>
      </c>
    </row>
    <row r="1531" spans="1:17" x14ac:dyDescent="0.3">
      <c r="A1531" t="s">
        <v>17</v>
      </c>
      <c r="B1531" t="str">
        <f>"603871"</f>
        <v>603871</v>
      </c>
      <c r="C1531" t="s">
        <v>3368</v>
      </c>
      <c r="D1531" t="s">
        <v>287</v>
      </c>
      <c r="F1531">
        <v>13626035</v>
      </c>
      <c r="G1531">
        <v>16389238</v>
      </c>
      <c r="H1531">
        <v>15937649</v>
      </c>
      <c r="I1531">
        <v>15308111</v>
      </c>
      <c r="P1531">
        <v>324</v>
      </c>
      <c r="Q1531" t="s">
        <v>3369</v>
      </c>
    </row>
    <row r="1532" spans="1:17" x14ac:dyDescent="0.3">
      <c r="A1532" t="s">
        <v>17</v>
      </c>
      <c r="B1532" t="str">
        <f>"603876"</f>
        <v>603876</v>
      </c>
      <c r="C1532" t="s">
        <v>3370</v>
      </c>
      <c r="D1532" t="s">
        <v>504</v>
      </c>
      <c r="F1532">
        <v>621696483</v>
      </c>
      <c r="G1532">
        <v>432292269</v>
      </c>
      <c r="H1532">
        <v>396022892</v>
      </c>
      <c r="I1532">
        <v>56632678</v>
      </c>
      <c r="J1532">
        <v>52818775</v>
      </c>
      <c r="P1532">
        <v>143</v>
      </c>
      <c r="Q1532" t="s">
        <v>3371</v>
      </c>
    </row>
    <row r="1533" spans="1:17" x14ac:dyDescent="0.3">
      <c r="A1533" t="s">
        <v>17</v>
      </c>
      <c r="B1533" t="str">
        <f>"603877"</f>
        <v>603877</v>
      </c>
      <c r="C1533" t="s">
        <v>3372</v>
      </c>
      <c r="D1533" t="s">
        <v>255</v>
      </c>
      <c r="F1533">
        <v>152052086</v>
      </c>
      <c r="G1533">
        <v>116304837</v>
      </c>
      <c r="H1533">
        <v>107897897</v>
      </c>
      <c r="I1533">
        <v>112747950</v>
      </c>
      <c r="P1533">
        <v>366</v>
      </c>
      <c r="Q1533" t="s">
        <v>3373</v>
      </c>
    </row>
    <row r="1534" spans="1:17" x14ac:dyDescent="0.3">
      <c r="A1534" t="s">
        <v>17</v>
      </c>
      <c r="B1534" t="str">
        <f>"603878"</f>
        <v>603878</v>
      </c>
      <c r="C1534" t="s">
        <v>3374</v>
      </c>
      <c r="D1534" t="s">
        <v>2238</v>
      </c>
      <c r="F1534">
        <v>35198710</v>
      </c>
      <c r="G1534">
        <v>31695875</v>
      </c>
      <c r="H1534">
        <v>40464579</v>
      </c>
      <c r="I1534">
        <v>39362221</v>
      </c>
      <c r="P1534">
        <v>142</v>
      </c>
      <c r="Q1534" t="s">
        <v>3375</v>
      </c>
    </row>
    <row r="1535" spans="1:17" x14ac:dyDescent="0.3">
      <c r="A1535" t="s">
        <v>17</v>
      </c>
      <c r="B1535" t="str">
        <f>"603879"</f>
        <v>603879</v>
      </c>
      <c r="C1535" t="s">
        <v>3376</v>
      </c>
      <c r="D1535" t="s">
        <v>3377</v>
      </c>
      <c r="F1535">
        <v>13659993</v>
      </c>
      <c r="G1535">
        <v>13922698</v>
      </c>
      <c r="H1535">
        <v>13434156</v>
      </c>
      <c r="I1535">
        <v>21892991</v>
      </c>
      <c r="P1535">
        <v>55</v>
      </c>
      <c r="Q1535" t="s">
        <v>3378</v>
      </c>
    </row>
    <row r="1536" spans="1:17" x14ac:dyDescent="0.3">
      <c r="A1536" t="s">
        <v>17</v>
      </c>
      <c r="B1536" t="str">
        <f>"603880"</f>
        <v>603880</v>
      </c>
      <c r="C1536" t="s">
        <v>3379</v>
      </c>
      <c r="D1536" t="s">
        <v>1077</v>
      </c>
      <c r="F1536">
        <v>30623037</v>
      </c>
      <c r="G1536">
        <v>33962758</v>
      </c>
      <c r="H1536">
        <v>22299856</v>
      </c>
      <c r="I1536">
        <v>20089361</v>
      </c>
      <c r="P1536">
        <v>125</v>
      </c>
      <c r="Q1536" t="s">
        <v>3380</v>
      </c>
    </row>
    <row r="1537" spans="1:17" x14ac:dyDescent="0.3">
      <c r="A1537" t="s">
        <v>17</v>
      </c>
      <c r="B1537" t="str">
        <f>"603881"</f>
        <v>603881</v>
      </c>
      <c r="C1537" t="s">
        <v>3381</v>
      </c>
      <c r="D1537" t="s">
        <v>316</v>
      </c>
      <c r="F1537">
        <v>53147539</v>
      </c>
      <c r="G1537">
        <v>40020702</v>
      </c>
      <c r="H1537">
        <v>26684183</v>
      </c>
      <c r="I1537">
        <v>22835752</v>
      </c>
      <c r="P1537">
        <v>486</v>
      </c>
      <c r="Q1537" t="s">
        <v>3382</v>
      </c>
    </row>
    <row r="1538" spans="1:17" x14ac:dyDescent="0.3">
      <c r="A1538" t="s">
        <v>17</v>
      </c>
      <c r="B1538" t="str">
        <f>"603882"</f>
        <v>603882</v>
      </c>
      <c r="C1538" t="s">
        <v>3383</v>
      </c>
      <c r="D1538" t="s">
        <v>2580</v>
      </c>
      <c r="F1538">
        <v>517928366</v>
      </c>
      <c r="G1538">
        <v>397169628</v>
      </c>
      <c r="H1538">
        <v>324022662</v>
      </c>
      <c r="I1538">
        <v>290846931</v>
      </c>
      <c r="P1538">
        <v>1844</v>
      </c>
      <c r="Q1538" t="s">
        <v>3384</v>
      </c>
    </row>
    <row r="1539" spans="1:17" x14ac:dyDescent="0.3">
      <c r="A1539" t="s">
        <v>17</v>
      </c>
      <c r="B1539" t="str">
        <f>"603883"</f>
        <v>603883</v>
      </c>
      <c r="C1539" t="s">
        <v>3385</v>
      </c>
      <c r="D1539" t="s">
        <v>1686</v>
      </c>
      <c r="F1539">
        <v>0</v>
      </c>
      <c r="G1539">
        <v>150000</v>
      </c>
      <c r="H1539">
        <v>1355885</v>
      </c>
      <c r="I1539">
        <v>6232239</v>
      </c>
      <c r="P1539">
        <v>868</v>
      </c>
      <c r="Q1539" t="s">
        <v>3386</v>
      </c>
    </row>
    <row r="1540" spans="1:17" x14ac:dyDescent="0.3">
      <c r="A1540" t="s">
        <v>17</v>
      </c>
      <c r="B1540" t="str">
        <f>"603885"</f>
        <v>603885</v>
      </c>
      <c r="C1540" t="s">
        <v>3387</v>
      </c>
      <c r="D1540" t="s">
        <v>77</v>
      </c>
      <c r="F1540">
        <v>79081439</v>
      </c>
      <c r="G1540">
        <v>48539275</v>
      </c>
      <c r="H1540">
        <v>55284149</v>
      </c>
      <c r="I1540">
        <v>6607501</v>
      </c>
      <c r="P1540">
        <v>475</v>
      </c>
      <c r="Q1540" t="s">
        <v>3388</v>
      </c>
    </row>
    <row r="1541" spans="1:17" x14ac:dyDescent="0.3">
      <c r="A1541" t="s">
        <v>17</v>
      </c>
      <c r="B1541" t="str">
        <f>"603886"</f>
        <v>603886</v>
      </c>
      <c r="C1541" t="s">
        <v>3389</v>
      </c>
      <c r="D1541" t="s">
        <v>2488</v>
      </c>
      <c r="F1541">
        <v>17249410</v>
      </c>
      <c r="G1541">
        <v>17015806</v>
      </c>
      <c r="H1541">
        <v>14875080</v>
      </c>
      <c r="I1541">
        <v>13520544</v>
      </c>
      <c r="P1541">
        <v>3081</v>
      </c>
      <c r="Q1541" t="s">
        <v>3390</v>
      </c>
    </row>
    <row r="1542" spans="1:17" x14ac:dyDescent="0.3">
      <c r="A1542" t="s">
        <v>17</v>
      </c>
      <c r="B1542" t="str">
        <f>"603887"</f>
        <v>603887</v>
      </c>
      <c r="C1542" t="s">
        <v>3391</v>
      </c>
      <c r="D1542" t="s">
        <v>316</v>
      </c>
      <c r="F1542">
        <v>121927839</v>
      </c>
      <c r="G1542">
        <v>157913698</v>
      </c>
      <c r="H1542">
        <v>107399662</v>
      </c>
      <c r="I1542">
        <v>41934659</v>
      </c>
      <c r="P1542">
        <v>241</v>
      </c>
      <c r="Q1542" t="s">
        <v>3392</v>
      </c>
    </row>
    <row r="1543" spans="1:17" x14ac:dyDescent="0.3">
      <c r="A1543" t="s">
        <v>17</v>
      </c>
      <c r="B1543" t="str">
        <f>"603888"</f>
        <v>603888</v>
      </c>
      <c r="C1543" t="s">
        <v>3393</v>
      </c>
      <c r="D1543" t="s">
        <v>522</v>
      </c>
      <c r="F1543">
        <v>67414846</v>
      </c>
      <c r="G1543">
        <v>72352129</v>
      </c>
      <c r="H1543">
        <v>71606075</v>
      </c>
      <c r="I1543">
        <v>56587848</v>
      </c>
      <c r="P1543">
        <v>227</v>
      </c>
      <c r="Q1543" t="s">
        <v>3394</v>
      </c>
    </row>
    <row r="1544" spans="1:17" x14ac:dyDescent="0.3">
      <c r="A1544" t="s">
        <v>17</v>
      </c>
      <c r="B1544" t="str">
        <f>"603889"</f>
        <v>603889</v>
      </c>
      <c r="C1544" t="s">
        <v>3395</v>
      </c>
      <c r="D1544" t="s">
        <v>366</v>
      </c>
      <c r="F1544">
        <v>95794453</v>
      </c>
      <c r="G1544">
        <v>72066527</v>
      </c>
      <c r="H1544">
        <v>81548950</v>
      </c>
      <c r="I1544">
        <v>72213560</v>
      </c>
      <c r="P1544">
        <v>121</v>
      </c>
      <c r="Q1544" t="s">
        <v>3396</v>
      </c>
    </row>
    <row r="1545" spans="1:17" x14ac:dyDescent="0.3">
      <c r="A1545" t="s">
        <v>17</v>
      </c>
      <c r="B1545" t="str">
        <f>"603890"</f>
        <v>603890</v>
      </c>
      <c r="C1545" t="s">
        <v>3397</v>
      </c>
      <c r="D1545" t="s">
        <v>313</v>
      </c>
      <c r="F1545">
        <v>139827564</v>
      </c>
      <c r="G1545">
        <v>126760884</v>
      </c>
      <c r="H1545">
        <v>94610260</v>
      </c>
      <c r="I1545">
        <v>74576330</v>
      </c>
      <c r="P1545">
        <v>155</v>
      </c>
      <c r="Q1545" t="s">
        <v>3398</v>
      </c>
    </row>
    <row r="1546" spans="1:17" x14ac:dyDescent="0.3">
      <c r="A1546" t="s">
        <v>17</v>
      </c>
      <c r="B1546" t="str">
        <f>"603893"</f>
        <v>603893</v>
      </c>
      <c r="C1546" t="s">
        <v>3399</v>
      </c>
      <c r="D1546" t="s">
        <v>461</v>
      </c>
      <c r="F1546">
        <v>560859121</v>
      </c>
      <c r="G1546">
        <v>376327453</v>
      </c>
      <c r="H1546">
        <v>310080076</v>
      </c>
      <c r="I1546">
        <v>254976773</v>
      </c>
      <c r="J1546">
        <v>247202827</v>
      </c>
      <c r="K1546">
        <v>267112216</v>
      </c>
      <c r="P1546">
        <v>444</v>
      </c>
      <c r="Q1546" t="s">
        <v>3400</v>
      </c>
    </row>
    <row r="1547" spans="1:17" x14ac:dyDescent="0.3">
      <c r="A1547" t="s">
        <v>17</v>
      </c>
      <c r="B1547" t="str">
        <f>"603895"</f>
        <v>603895</v>
      </c>
      <c r="C1547" t="s">
        <v>3401</v>
      </c>
      <c r="D1547" t="s">
        <v>741</v>
      </c>
      <c r="F1547">
        <v>57641548</v>
      </c>
      <c r="G1547">
        <v>48087150</v>
      </c>
      <c r="H1547">
        <v>39024390</v>
      </c>
      <c r="I1547">
        <v>34977793</v>
      </c>
      <c r="P1547">
        <v>65</v>
      </c>
      <c r="Q1547" t="s">
        <v>3402</v>
      </c>
    </row>
    <row r="1548" spans="1:17" x14ac:dyDescent="0.3">
      <c r="A1548" t="s">
        <v>17</v>
      </c>
      <c r="B1548" t="str">
        <f>"603896"</f>
        <v>603896</v>
      </c>
      <c r="C1548" t="s">
        <v>3403</v>
      </c>
      <c r="D1548" t="s">
        <v>188</v>
      </c>
      <c r="F1548">
        <v>50824604</v>
      </c>
      <c r="G1548">
        <v>48485007</v>
      </c>
      <c r="H1548">
        <v>39419481</v>
      </c>
      <c r="I1548">
        <v>33666929</v>
      </c>
      <c r="P1548">
        <v>230</v>
      </c>
      <c r="Q1548" t="s">
        <v>3404</v>
      </c>
    </row>
    <row r="1549" spans="1:17" x14ac:dyDescent="0.3">
      <c r="A1549" t="s">
        <v>17</v>
      </c>
      <c r="B1549" t="str">
        <f>"603897"</f>
        <v>603897</v>
      </c>
      <c r="C1549" t="s">
        <v>3405</v>
      </c>
      <c r="D1549" t="s">
        <v>1164</v>
      </c>
      <c r="F1549">
        <v>164079249</v>
      </c>
      <c r="G1549">
        <v>151644204</v>
      </c>
      <c r="H1549">
        <v>102437387</v>
      </c>
      <c r="I1549">
        <v>100155806</v>
      </c>
      <c r="J1549">
        <v>73231285</v>
      </c>
      <c r="P1549">
        <v>137</v>
      </c>
      <c r="Q1549" t="s">
        <v>3406</v>
      </c>
    </row>
    <row r="1550" spans="1:17" x14ac:dyDescent="0.3">
      <c r="A1550" t="s">
        <v>17</v>
      </c>
      <c r="B1550" t="str">
        <f>"603898"</f>
        <v>603898</v>
      </c>
      <c r="C1550" t="s">
        <v>3407</v>
      </c>
      <c r="D1550" t="s">
        <v>2664</v>
      </c>
      <c r="F1550">
        <v>164090083</v>
      </c>
      <c r="G1550">
        <v>103302849</v>
      </c>
      <c r="H1550">
        <v>87147443</v>
      </c>
      <c r="I1550">
        <v>53412164</v>
      </c>
      <c r="P1550">
        <v>835</v>
      </c>
      <c r="Q1550" t="s">
        <v>3408</v>
      </c>
    </row>
    <row r="1551" spans="1:17" x14ac:dyDescent="0.3">
      <c r="A1551" t="s">
        <v>17</v>
      </c>
      <c r="B1551" t="str">
        <f>"603899"</f>
        <v>603899</v>
      </c>
      <c r="C1551" t="s">
        <v>3409</v>
      </c>
      <c r="D1551" t="s">
        <v>3410</v>
      </c>
      <c r="F1551">
        <v>188758216</v>
      </c>
      <c r="G1551">
        <v>160178942</v>
      </c>
      <c r="H1551">
        <v>160403363</v>
      </c>
      <c r="I1551">
        <v>114388917</v>
      </c>
      <c r="P1551">
        <v>25826</v>
      </c>
      <c r="Q1551" t="s">
        <v>3411</v>
      </c>
    </row>
    <row r="1552" spans="1:17" x14ac:dyDescent="0.3">
      <c r="A1552" t="s">
        <v>17</v>
      </c>
      <c r="B1552" t="str">
        <f>"603900"</f>
        <v>603900</v>
      </c>
      <c r="C1552" t="s">
        <v>3412</v>
      </c>
      <c r="D1552" t="s">
        <v>1238</v>
      </c>
      <c r="F1552">
        <v>737159</v>
      </c>
      <c r="G1552">
        <v>728077</v>
      </c>
      <c r="H1552">
        <v>57040</v>
      </c>
      <c r="I1552">
        <v>1888808</v>
      </c>
      <c r="P1552">
        <v>137</v>
      </c>
      <c r="Q1552" t="s">
        <v>3413</v>
      </c>
    </row>
    <row r="1553" spans="1:17" x14ac:dyDescent="0.3">
      <c r="A1553" t="s">
        <v>17</v>
      </c>
      <c r="B1553" t="str">
        <f>"603901"</f>
        <v>603901</v>
      </c>
      <c r="C1553" t="s">
        <v>3414</v>
      </c>
      <c r="D1553" t="s">
        <v>3415</v>
      </c>
      <c r="F1553">
        <v>164028783</v>
      </c>
      <c r="G1553">
        <v>119883984</v>
      </c>
      <c r="H1553">
        <v>101726876</v>
      </c>
      <c r="I1553">
        <v>91103442</v>
      </c>
      <c r="P1553">
        <v>140</v>
      </c>
      <c r="Q1553" t="s">
        <v>3416</v>
      </c>
    </row>
    <row r="1554" spans="1:17" x14ac:dyDescent="0.3">
      <c r="A1554" t="s">
        <v>17</v>
      </c>
      <c r="B1554" t="str">
        <f>"603903"</f>
        <v>603903</v>
      </c>
      <c r="C1554" t="s">
        <v>3417</v>
      </c>
      <c r="D1554" t="s">
        <v>33</v>
      </c>
      <c r="F1554">
        <v>49998986</v>
      </c>
      <c r="G1554">
        <v>55726572</v>
      </c>
      <c r="H1554">
        <v>41786625</v>
      </c>
      <c r="I1554">
        <v>33290375</v>
      </c>
      <c r="P1554">
        <v>119</v>
      </c>
      <c r="Q1554" t="s">
        <v>3418</v>
      </c>
    </row>
    <row r="1555" spans="1:17" x14ac:dyDescent="0.3">
      <c r="A1555" t="s">
        <v>17</v>
      </c>
      <c r="B1555" t="str">
        <f>"603906"</f>
        <v>603906</v>
      </c>
      <c r="C1555" t="s">
        <v>3419</v>
      </c>
      <c r="D1555" t="s">
        <v>386</v>
      </c>
      <c r="F1555">
        <v>207952595</v>
      </c>
      <c r="G1555">
        <v>72261808</v>
      </c>
      <c r="H1555">
        <v>66979441</v>
      </c>
      <c r="I1555">
        <v>53528600</v>
      </c>
      <c r="P1555">
        <v>187</v>
      </c>
      <c r="Q1555" t="s">
        <v>3420</v>
      </c>
    </row>
    <row r="1556" spans="1:17" x14ac:dyDescent="0.3">
      <c r="A1556" t="s">
        <v>17</v>
      </c>
      <c r="B1556" t="str">
        <f>"603908"</f>
        <v>603908</v>
      </c>
      <c r="C1556" t="s">
        <v>3421</v>
      </c>
      <c r="D1556" t="s">
        <v>330</v>
      </c>
      <c r="F1556">
        <v>25404719</v>
      </c>
      <c r="G1556">
        <v>21393734</v>
      </c>
      <c r="H1556">
        <v>7709714</v>
      </c>
      <c r="I1556">
        <v>9254058</v>
      </c>
      <c r="P1556">
        <v>114</v>
      </c>
      <c r="Q1556" t="s">
        <v>3422</v>
      </c>
    </row>
    <row r="1557" spans="1:17" x14ac:dyDescent="0.3">
      <c r="A1557" t="s">
        <v>17</v>
      </c>
      <c r="B1557" t="str">
        <f>"603909"</f>
        <v>603909</v>
      </c>
      <c r="C1557" t="s">
        <v>3423</v>
      </c>
      <c r="D1557" t="s">
        <v>1272</v>
      </c>
      <c r="F1557">
        <v>31249807</v>
      </c>
      <c r="G1557">
        <v>28124775</v>
      </c>
      <c r="H1557">
        <v>25514945</v>
      </c>
      <c r="I1557">
        <v>19356881</v>
      </c>
      <c r="P1557">
        <v>65</v>
      </c>
      <c r="Q1557" t="s">
        <v>3424</v>
      </c>
    </row>
    <row r="1558" spans="1:17" x14ac:dyDescent="0.3">
      <c r="A1558" t="s">
        <v>17</v>
      </c>
      <c r="B1558" t="str">
        <f>"603912"</f>
        <v>603912</v>
      </c>
      <c r="C1558" t="s">
        <v>3425</v>
      </c>
      <c r="D1558" t="s">
        <v>988</v>
      </c>
      <c r="F1558">
        <v>31844672</v>
      </c>
      <c r="G1558">
        <v>32751965</v>
      </c>
      <c r="H1558">
        <v>29173414</v>
      </c>
      <c r="I1558">
        <v>22788620</v>
      </c>
      <c r="P1558">
        <v>286</v>
      </c>
      <c r="Q1558" t="s">
        <v>3426</v>
      </c>
    </row>
    <row r="1559" spans="1:17" x14ac:dyDescent="0.3">
      <c r="A1559" t="s">
        <v>17</v>
      </c>
      <c r="B1559" t="str">
        <f>"603915"</f>
        <v>603915</v>
      </c>
      <c r="C1559" t="s">
        <v>3427</v>
      </c>
      <c r="D1559" t="s">
        <v>274</v>
      </c>
      <c r="F1559">
        <v>112527441</v>
      </c>
      <c r="G1559">
        <v>78286471</v>
      </c>
      <c r="H1559">
        <v>66784417</v>
      </c>
      <c r="I1559">
        <v>60955121</v>
      </c>
      <c r="J1559">
        <v>50452803</v>
      </c>
      <c r="K1559">
        <v>39367373</v>
      </c>
      <c r="P1559">
        <v>162</v>
      </c>
      <c r="Q1559" t="s">
        <v>3428</v>
      </c>
    </row>
    <row r="1560" spans="1:17" x14ac:dyDescent="0.3">
      <c r="A1560" t="s">
        <v>17</v>
      </c>
      <c r="B1560" t="str">
        <f>"603916"</f>
        <v>603916</v>
      </c>
      <c r="C1560" t="s">
        <v>3429</v>
      </c>
      <c r="D1560" t="s">
        <v>386</v>
      </c>
      <c r="F1560">
        <v>219589445</v>
      </c>
      <c r="G1560">
        <v>175910604</v>
      </c>
      <c r="H1560">
        <v>171062964</v>
      </c>
      <c r="I1560">
        <v>118618654</v>
      </c>
      <c r="P1560">
        <v>275</v>
      </c>
      <c r="Q1560" t="s">
        <v>3430</v>
      </c>
    </row>
    <row r="1561" spans="1:17" x14ac:dyDescent="0.3">
      <c r="A1561" t="s">
        <v>17</v>
      </c>
      <c r="B1561" t="str">
        <f>"603917"</f>
        <v>603917</v>
      </c>
      <c r="C1561" t="s">
        <v>3431</v>
      </c>
      <c r="D1561" t="s">
        <v>985</v>
      </c>
      <c r="F1561">
        <v>33127331</v>
      </c>
      <c r="G1561">
        <v>20866301</v>
      </c>
      <c r="H1561">
        <v>20429851</v>
      </c>
      <c r="I1561">
        <v>17653374</v>
      </c>
      <c r="P1561">
        <v>73</v>
      </c>
      <c r="Q1561" t="s">
        <v>3432</v>
      </c>
    </row>
    <row r="1562" spans="1:17" x14ac:dyDescent="0.3">
      <c r="A1562" t="s">
        <v>17</v>
      </c>
      <c r="B1562" t="str">
        <f>"603918"</f>
        <v>603918</v>
      </c>
      <c r="C1562" t="s">
        <v>3433</v>
      </c>
      <c r="D1562" t="s">
        <v>316</v>
      </c>
      <c r="F1562">
        <v>34925810</v>
      </c>
      <c r="G1562">
        <v>46551502</v>
      </c>
      <c r="H1562">
        <v>55599834</v>
      </c>
      <c r="I1562">
        <v>28947284</v>
      </c>
      <c r="P1562">
        <v>142</v>
      </c>
      <c r="Q1562" t="s">
        <v>3434</v>
      </c>
    </row>
    <row r="1563" spans="1:17" x14ac:dyDescent="0.3">
      <c r="A1563" t="s">
        <v>17</v>
      </c>
      <c r="B1563" t="str">
        <f>"603919"</f>
        <v>603919</v>
      </c>
      <c r="C1563" t="s">
        <v>3435</v>
      </c>
      <c r="D1563" t="s">
        <v>458</v>
      </c>
      <c r="F1563">
        <v>46972533</v>
      </c>
      <c r="G1563">
        <v>40121941</v>
      </c>
      <c r="H1563">
        <v>28644834</v>
      </c>
      <c r="I1563">
        <v>7880646</v>
      </c>
      <c r="P1563">
        <v>446</v>
      </c>
      <c r="Q1563" t="s">
        <v>3436</v>
      </c>
    </row>
    <row r="1564" spans="1:17" x14ac:dyDescent="0.3">
      <c r="A1564" t="s">
        <v>17</v>
      </c>
      <c r="B1564" t="str">
        <f>"603920"</f>
        <v>603920</v>
      </c>
      <c r="C1564" t="s">
        <v>3437</v>
      </c>
      <c r="D1564" t="s">
        <v>425</v>
      </c>
      <c r="F1564">
        <v>132993838</v>
      </c>
      <c r="G1564">
        <v>98333654</v>
      </c>
      <c r="H1564">
        <v>86133316</v>
      </c>
      <c r="I1564">
        <v>72837269</v>
      </c>
      <c r="P1564">
        <v>267</v>
      </c>
      <c r="Q1564" t="s">
        <v>3438</v>
      </c>
    </row>
    <row r="1565" spans="1:17" x14ac:dyDescent="0.3">
      <c r="A1565" t="s">
        <v>17</v>
      </c>
      <c r="B1565" t="str">
        <f>"603922"</f>
        <v>603922</v>
      </c>
      <c r="C1565" t="s">
        <v>3439</v>
      </c>
      <c r="D1565" t="s">
        <v>985</v>
      </c>
      <c r="F1565">
        <v>24641724</v>
      </c>
      <c r="G1565">
        <v>21135368</v>
      </c>
      <c r="H1565">
        <v>29566962</v>
      </c>
      <c r="I1565">
        <v>38509879</v>
      </c>
      <c r="P1565">
        <v>54</v>
      </c>
      <c r="Q1565" t="s">
        <v>3440</v>
      </c>
    </row>
    <row r="1566" spans="1:17" x14ac:dyDescent="0.3">
      <c r="A1566" t="s">
        <v>17</v>
      </c>
      <c r="B1566" t="str">
        <f>"603926"</f>
        <v>603926</v>
      </c>
      <c r="C1566" t="s">
        <v>3441</v>
      </c>
      <c r="D1566" t="s">
        <v>348</v>
      </c>
      <c r="F1566">
        <v>57979089</v>
      </c>
      <c r="G1566">
        <v>44607474</v>
      </c>
      <c r="H1566">
        <v>43861359</v>
      </c>
      <c r="I1566">
        <v>34258326</v>
      </c>
      <c r="P1566">
        <v>104</v>
      </c>
      <c r="Q1566" t="s">
        <v>3442</v>
      </c>
    </row>
    <row r="1567" spans="1:17" x14ac:dyDescent="0.3">
      <c r="A1567" t="s">
        <v>17</v>
      </c>
      <c r="B1567" t="str">
        <f>"603927"</f>
        <v>603927</v>
      </c>
      <c r="C1567" t="s">
        <v>3443</v>
      </c>
      <c r="D1567" t="s">
        <v>945</v>
      </c>
      <c r="F1567">
        <v>843205695</v>
      </c>
      <c r="G1567">
        <v>774599618</v>
      </c>
      <c r="H1567">
        <v>618068708</v>
      </c>
      <c r="I1567">
        <v>439516673</v>
      </c>
      <c r="J1567">
        <v>369187868</v>
      </c>
      <c r="K1567">
        <v>289501802</v>
      </c>
      <c r="P1567">
        <v>821</v>
      </c>
      <c r="Q1567" t="s">
        <v>3444</v>
      </c>
    </row>
    <row r="1568" spans="1:17" x14ac:dyDescent="0.3">
      <c r="A1568" t="s">
        <v>17</v>
      </c>
      <c r="B1568" t="str">
        <f>"603928"</f>
        <v>603928</v>
      </c>
      <c r="C1568" t="s">
        <v>3445</v>
      </c>
      <c r="D1568" t="s">
        <v>3377</v>
      </c>
      <c r="F1568">
        <v>62141095</v>
      </c>
      <c r="G1568">
        <v>45904624</v>
      </c>
      <c r="H1568">
        <v>43582241</v>
      </c>
      <c r="I1568">
        <v>47362230</v>
      </c>
      <c r="P1568">
        <v>102</v>
      </c>
      <c r="Q1568" t="s">
        <v>3446</v>
      </c>
    </row>
    <row r="1569" spans="1:17" x14ac:dyDescent="0.3">
      <c r="A1569" t="s">
        <v>17</v>
      </c>
      <c r="B1569" t="str">
        <f>"603929"</f>
        <v>603929</v>
      </c>
      <c r="C1569" t="s">
        <v>3447</v>
      </c>
      <c r="D1569" t="s">
        <v>1992</v>
      </c>
      <c r="F1569">
        <v>27298462</v>
      </c>
      <c r="G1569">
        <v>19801163</v>
      </c>
      <c r="H1569">
        <v>21163267</v>
      </c>
      <c r="I1569">
        <v>22949354</v>
      </c>
      <c r="P1569">
        <v>109</v>
      </c>
      <c r="Q1569" t="s">
        <v>3448</v>
      </c>
    </row>
    <row r="1570" spans="1:17" x14ac:dyDescent="0.3">
      <c r="A1570" t="s">
        <v>17</v>
      </c>
      <c r="B1570" t="str">
        <f>"603931"</f>
        <v>603931</v>
      </c>
      <c r="C1570" t="s">
        <v>3449</v>
      </c>
      <c r="D1570" t="s">
        <v>2408</v>
      </c>
      <c r="F1570">
        <v>28223580</v>
      </c>
      <c r="G1570">
        <v>21154884</v>
      </c>
      <c r="H1570">
        <v>20825200</v>
      </c>
      <c r="I1570">
        <v>19061713</v>
      </c>
      <c r="J1570">
        <v>14685812</v>
      </c>
      <c r="P1570">
        <v>88</v>
      </c>
      <c r="Q1570" t="s">
        <v>3450</v>
      </c>
    </row>
    <row r="1571" spans="1:17" x14ac:dyDescent="0.3">
      <c r="A1571" t="s">
        <v>17</v>
      </c>
      <c r="B1571" t="str">
        <f>"603933"</f>
        <v>603933</v>
      </c>
      <c r="C1571" t="s">
        <v>3451</v>
      </c>
      <c r="D1571" t="s">
        <v>651</v>
      </c>
      <c r="F1571">
        <v>88258080</v>
      </c>
      <c r="G1571">
        <v>52586164</v>
      </c>
      <c r="H1571">
        <v>54164396</v>
      </c>
      <c r="I1571">
        <v>48314564</v>
      </c>
      <c r="P1571">
        <v>122</v>
      </c>
      <c r="Q1571" t="s">
        <v>3452</v>
      </c>
    </row>
    <row r="1572" spans="1:17" x14ac:dyDescent="0.3">
      <c r="A1572" t="s">
        <v>17</v>
      </c>
      <c r="B1572" t="str">
        <f>"603936"</f>
        <v>603936</v>
      </c>
      <c r="C1572" t="s">
        <v>3453</v>
      </c>
      <c r="D1572" t="s">
        <v>425</v>
      </c>
      <c r="F1572">
        <v>142791945</v>
      </c>
      <c r="G1572">
        <v>119691225</v>
      </c>
      <c r="H1572">
        <v>108074017</v>
      </c>
      <c r="I1572">
        <v>93957875</v>
      </c>
      <c r="P1572">
        <v>222</v>
      </c>
      <c r="Q1572" t="s">
        <v>3454</v>
      </c>
    </row>
    <row r="1573" spans="1:17" x14ac:dyDescent="0.3">
      <c r="A1573" t="s">
        <v>17</v>
      </c>
      <c r="B1573" t="str">
        <f>"603937"</f>
        <v>603937</v>
      </c>
      <c r="C1573" t="s">
        <v>3455</v>
      </c>
      <c r="D1573" t="s">
        <v>504</v>
      </c>
      <c r="F1573">
        <v>28428183</v>
      </c>
      <c r="G1573">
        <v>18236362</v>
      </c>
      <c r="H1573">
        <v>21237350</v>
      </c>
      <c r="I1573">
        <v>19809463</v>
      </c>
      <c r="P1573">
        <v>61</v>
      </c>
      <c r="Q1573" t="s">
        <v>3456</v>
      </c>
    </row>
    <row r="1574" spans="1:17" x14ac:dyDescent="0.3">
      <c r="A1574" t="s">
        <v>17</v>
      </c>
      <c r="B1574" t="str">
        <f>"603938"</f>
        <v>603938</v>
      </c>
      <c r="C1574" t="s">
        <v>3457</v>
      </c>
      <c r="D1574" t="s">
        <v>3458</v>
      </c>
      <c r="F1574">
        <v>70134573</v>
      </c>
      <c r="G1574">
        <v>43107748</v>
      </c>
      <c r="H1574">
        <v>47832439</v>
      </c>
      <c r="I1574">
        <v>38339941</v>
      </c>
      <c r="P1574">
        <v>104</v>
      </c>
      <c r="Q1574" t="s">
        <v>3459</v>
      </c>
    </row>
    <row r="1575" spans="1:17" x14ac:dyDescent="0.3">
      <c r="A1575" t="s">
        <v>17</v>
      </c>
      <c r="B1575" t="str">
        <f>"603939"</f>
        <v>603939</v>
      </c>
      <c r="C1575" t="s">
        <v>3460</v>
      </c>
      <c r="D1575" t="s">
        <v>1686</v>
      </c>
      <c r="F1575">
        <v>15642534</v>
      </c>
      <c r="G1575">
        <v>8310035</v>
      </c>
      <c r="H1575">
        <v>5372876</v>
      </c>
      <c r="P1575">
        <v>1482</v>
      </c>
      <c r="Q1575" t="s">
        <v>3461</v>
      </c>
    </row>
    <row r="1576" spans="1:17" x14ac:dyDescent="0.3">
      <c r="A1576" t="s">
        <v>17</v>
      </c>
      <c r="B1576" t="str">
        <f>"603948"</f>
        <v>603948</v>
      </c>
      <c r="C1576" t="s">
        <v>3462</v>
      </c>
      <c r="D1576" t="s">
        <v>386</v>
      </c>
      <c r="F1576">
        <v>96212125</v>
      </c>
      <c r="G1576">
        <v>55963028</v>
      </c>
      <c r="H1576">
        <v>53996381</v>
      </c>
      <c r="I1576">
        <v>64147919</v>
      </c>
      <c r="J1576">
        <v>59359362</v>
      </c>
      <c r="P1576">
        <v>60</v>
      </c>
      <c r="Q1576" t="s">
        <v>3463</v>
      </c>
    </row>
    <row r="1577" spans="1:17" x14ac:dyDescent="0.3">
      <c r="A1577" t="s">
        <v>17</v>
      </c>
      <c r="B1577" t="str">
        <f>"603949"</f>
        <v>603949</v>
      </c>
      <c r="C1577" t="s">
        <v>3464</v>
      </c>
      <c r="D1577" t="s">
        <v>348</v>
      </c>
      <c r="F1577">
        <v>21961324</v>
      </c>
      <c r="G1577">
        <v>19639113</v>
      </c>
      <c r="H1577">
        <v>14433447</v>
      </c>
      <c r="I1577">
        <v>12894285</v>
      </c>
      <c r="J1577">
        <v>12927135</v>
      </c>
      <c r="K1577">
        <v>11476652</v>
      </c>
      <c r="P1577">
        <v>158</v>
      </c>
      <c r="Q1577" t="s">
        <v>3465</v>
      </c>
    </row>
    <row r="1578" spans="1:17" x14ac:dyDescent="0.3">
      <c r="A1578" t="s">
        <v>17</v>
      </c>
      <c r="B1578" t="str">
        <f>"603950"</f>
        <v>603950</v>
      </c>
      <c r="C1578" t="s">
        <v>3466</v>
      </c>
      <c r="D1578" t="s">
        <v>348</v>
      </c>
      <c r="F1578">
        <v>85777709</v>
      </c>
      <c r="G1578">
        <v>84542853</v>
      </c>
      <c r="H1578">
        <v>62017073</v>
      </c>
      <c r="I1578">
        <v>53097634</v>
      </c>
      <c r="J1578">
        <v>46289900</v>
      </c>
      <c r="P1578">
        <v>97</v>
      </c>
      <c r="Q1578" t="s">
        <v>3467</v>
      </c>
    </row>
    <row r="1579" spans="1:17" x14ac:dyDescent="0.3">
      <c r="A1579" t="s">
        <v>17</v>
      </c>
      <c r="B1579" t="str">
        <f>"603955"</f>
        <v>603955</v>
      </c>
      <c r="C1579" t="s">
        <v>3468</v>
      </c>
      <c r="D1579" t="s">
        <v>2417</v>
      </c>
      <c r="F1579">
        <v>22458777</v>
      </c>
      <c r="G1579">
        <v>36401395</v>
      </c>
      <c r="H1579">
        <v>36379879</v>
      </c>
      <c r="I1579">
        <v>14126736</v>
      </c>
      <c r="P1579">
        <v>60</v>
      </c>
      <c r="Q1579" t="s">
        <v>3469</v>
      </c>
    </row>
    <row r="1580" spans="1:17" x14ac:dyDescent="0.3">
      <c r="A1580" t="s">
        <v>17</v>
      </c>
      <c r="B1580" t="str">
        <f>"603956"</f>
        <v>603956</v>
      </c>
      <c r="C1580" t="s">
        <v>3470</v>
      </c>
      <c r="D1580" t="s">
        <v>741</v>
      </c>
      <c r="F1580">
        <v>94294555</v>
      </c>
      <c r="G1580">
        <v>74338739</v>
      </c>
      <c r="H1580">
        <v>65921817</v>
      </c>
      <c r="I1580">
        <v>41984771</v>
      </c>
      <c r="J1580">
        <v>35085120</v>
      </c>
      <c r="K1580">
        <v>27954223</v>
      </c>
      <c r="L1580">
        <v>19774696</v>
      </c>
      <c r="P1580">
        <v>181</v>
      </c>
      <c r="Q1580" t="s">
        <v>3471</v>
      </c>
    </row>
    <row r="1581" spans="1:17" x14ac:dyDescent="0.3">
      <c r="A1581" t="s">
        <v>17</v>
      </c>
      <c r="B1581" t="str">
        <f>"603958"</f>
        <v>603958</v>
      </c>
      <c r="C1581" t="s">
        <v>3472</v>
      </c>
      <c r="D1581" t="s">
        <v>330</v>
      </c>
      <c r="F1581">
        <v>588540</v>
      </c>
      <c r="G1581">
        <v>4362226</v>
      </c>
      <c r="H1581">
        <v>12772162</v>
      </c>
      <c r="I1581">
        <v>13862000</v>
      </c>
      <c r="P1581">
        <v>67</v>
      </c>
      <c r="Q1581" t="s">
        <v>3473</v>
      </c>
    </row>
    <row r="1582" spans="1:17" x14ac:dyDescent="0.3">
      <c r="A1582" t="s">
        <v>17</v>
      </c>
      <c r="B1582" t="str">
        <f>"603959"</f>
        <v>603959</v>
      </c>
      <c r="C1582" t="s">
        <v>3474</v>
      </c>
      <c r="D1582" t="s">
        <v>2025</v>
      </c>
      <c r="F1582">
        <v>64989724</v>
      </c>
      <c r="G1582">
        <v>71037849</v>
      </c>
      <c r="H1582">
        <v>62503221</v>
      </c>
      <c r="I1582">
        <v>49612249</v>
      </c>
      <c r="P1582">
        <v>80</v>
      </c>
      <c r="Q1582" t="s">
        <v>3475</v>
      </c>
    </row>
    <row r="1583" spans="1:17" x14ac:dyDescent="0.3">
      <c r="A1583" t="s">
        <v>17</v>
      </c>
      <c r="B1583" t="str">
        <f>"603960"</f>
        <v>603960</v>
      </c>
      <c r="C1583" t="s">
        <v>3476</v>
      </c>
      <c r="D1583" t="s">
        <v>3477</v>
      </c>
      <c r="F1583">
        <v>53176455</v>
      </c>
      <c r="G1583">
        <v>44189041</v>
      </c>
      <c r="H1583">
        <v>49714324</v>
      </c>
      <c r="I1583">
        <v>31014687</v>
      </c>
      <c r="P1583">
        <v>383</v>
      </c>
      <c r="Q1583" t="s">
        <v>3478</v>
      </c>
    </row>
    <row r="1584" spans="1:17" x14ac:dyDescent="0.3">
      <c r="A1584" t="s">
        <v>17</v>
      </c>
      <c r="B1584" t="str">
        <f>"603963"</f>
        <v>603963</v>
      </c>
      <c r="C1584" t="s">
        <v>3479</v>
      </c>
      <c r="D1584" t="s">
        <v>188</v>
      </c>
      <c r="F1584">
        <v>1440863</v>
      </c>
      <c r="G1584">
        <v>2828883</v>
      </c>
      <c r="H1584">
        <v>2230466</v>
      </c>
      <c r="I1584">
        <v>2238805</v>
      </c>
      <c r="P1584">
        <v>109</v>
      </c>
      <c r="Q1584" t="s">
        <v>3480</v>
      </c>
    </row>
    <row r="1585" spans="1:17" x14ac:dyDescent="0.3">
      <c r="A1585" t="s">
        <v>17</v>
      </c>
      <c r="B1585" t="str">
        <f>"603966"</f>
        <v>603966</v>
      </c>
      <c r="C1585" t="s">
        <v>3481</v>
      </c>
      <c r="D1585" t="s">
        <v>395</v>
      </c>
      <c r="F1585">
        <v>101851578</v>
      </c>
      <c r="G1585">
        <v>75276808</v>
      </c>
      <c r="H1585">
        <v>36535287</v>
      </c>
      <c r="I1585">
        <v>26498846</v>
      </c>
      <c r="P1585">
        <v>122</v>
      </c>
      <c r="Q1585" t="s">
        <v>3482</v>
      </c>
    </row>
    <row r="1586" spans="1:17" x14ac:dyDescent="0.3">
      <c r="A1586" t="s">
        <v>17</v>
      </c>
      <c r="B1586" t="str">
        <f>"603967"</f>
        <v>603967</v>
      </c>
      <c r="C1586" t="s">
        <v>3483</v>
      </c>
      <c r="D1586" t="s">
        <v>287</v>
      </c>
      <c r="F1586">
        <v>3233131</v>
      </c>
      <c r="G1586">
        <v>2871638</v>
      </c>
      <c r="H1586">
        <v>3369483</v>
      </c>
      <c r="I1586">
        <v>2919335</v>
      </c>
      <c r="P1586">
        <v>85</v>
      </c>
      <c r="Q1586" t="s">
        <v>3484</v>
      </c>
    </row>
    <row r="1587" spans="1:17" x14ac:dyDescent="0.3">
      <c r="A1587" t="s">
        <v>17</v>
      </c>
      <c r="B1587" t="str">
        <f>"603968"</f>
        <v>603968</v>
      </c>
      <c r="C1587" t="s">
        <v>3485</v>
      </c>
      <c r="D1587" t="s">
        <v>677</v>
      </c>
      <c r="F1587">
        <v>88134196</v>
      </c>
      <c r="G1587">
        <v>73866887</v>
      </c>
      <c r="H1587">
        <v>66395767</v>
      </c>
      <c r="I1587">
        <v>36524788</v>
      </c>
      <c r="P1587">
        <v>243</v>
      </c>
      <c r="Q1587" t="s">
        <v>3486</v>
      </c>
    </row>
    <row r="1588" spans="1:17" x14ac:dyDescent="0.3">
      <c r="A1588" t="s">
        <v>17</v>
      </c>
      <c r="B1588" t="str">
        <f>"603969"</f>
        <v>603969</v>
      </c>
      <c r="C1588" t="s">
        <v>3487</v>
      </c>
      <c r="D1588" t="s">
        <v>274</v>
      </c>
      <c r="F1588">
        <v>66472814</v>
      </c>
      <c r="G1588">
        <v>61240733</v>
      </c>
      <c r="H1588">
        <v>74168745</v>
      </c>
      <c r="I1588">
        <v>65372057</v>
      </c>
      <c r="P1588">
        <v>94</v>
      </c>
      <c r="Q1588" t="s">
        <v>3488</v>
      </c>
    </row>
    <row r="1589" spans="1:17" x14ac:dyDescent="0.3">
      <c r="A1589" t="s">
        <v>17</v>
      </c>
      <c r="B1589" t="str">
        <f>"603970"</f>
        <v>603970</v>
      </c>
      <c r="C1589" t="s">
        <v>3489</v>
      </c>
      <c r="D1589" t="s">
        <v>853</v>
      </c>
      <c r="F1589">
        <v>37527549</v>
      </c>
      <c r="G1589">
        <v>34038713</v>
      </c>
      <c r="H1589">
        <v>30808818</v>
      </c>
      <c r="I1589">
        <v>12382191</v>
      </c>
      <c r="P1589">
        <v>90</v>
      </c>
      <c r="Q1589" t="s">
        <v>3490</v>
      </c>
    </row>
    <row r="1590" spans="1:17" x14ac:dyDescent="0.3">
      <c r="A1590" t="s">
        <v>17</v>
      </c>
      <c r="B1590" t="str">
        <f>"603976"</f>
        <v>603976</v>
      </c>
      <c r="C1590" t="s">
        <v>3491</v>
      </c>
      <c r="D1590" t="s">
        <v>1077</v>
      </c>
      <c r="F1590">
        <v>12078212</v>
      </c>
      <c r="G1590">
        <v>8253801</v>
      </c>
      <c r="H1590">
        <v>5273354</v>
      </c>
      <c r="I1590">
        <v>2898714</v>
      </c>
      <c r="P1590">
        <v>216</v>
      </c>
      <c r="Q1590" t="s">
        <v>3492</v>
      </c>
    </row>
    <row r="1591" spans="1:17" x14ac:dyDescent="0.3">
      <c r="A1591" t="s">
        <v>17</v>
      </c>
      <c r="B1591" t="str">
        <f>"603977"</f>
        <v>603977</v>
      </c>
      <c r="C1591" t="s">
        <v>3493</v>
      </c>
      <c r="D1591" t="s">
        <v>2736</v>
      </c>
      <c r="F1591">
        <v>104114033</v>
      </c>
      <c r="G1591">
        <v>90224304</v>
      </c>
      <c r="H1591">
        <v>74923558</v>
      </c>
      <c r="I1591">
        <v>41976837</v>
      </c>
      <c r="P1591">
        <v>87</v>
      </c>
      <c r="Q1591" t="s">
        <v>3494</v>
      </c>
    </row>
    <row r="1592" spans="1:17" x14ac:dyDescent="0.3">
      <c r="A1592" t="s">
        <v>17</v>
      </c>
      <c r="B1592" t="str">
        <f>"603978"</f>
        <v>603978</v>
      </c>
      <c r="C1592" t="s">
        <v>3495</v>
      </c>
      <c r="D1592" t="s">
        <v>581</v>
      </c>
      <c r="F1592">
        <v>57338741</v>
      </c>
      <c r="G1592">
        <v>45703033</v>
      </c>
      <c r="H1592">
        <v>48415406</v>
      </c>
      <c r="I1592">
        <v>48322022</v>
      </c>
      <c r="P1592">
        <v>112</v>
      </c>
      <c r="Q1592" t="s">
        <v>3496</v>
      </c>
    </row>
    <row r="1593" spans="1:17" x14ac:dyDescent="0.3">
      <c r="A1593" t="s">
        <v>17</v>
      </c>
      <c r="B1593" t="str">
        <f>"603979"</f>
        <v>603979</v>
      </c>
      <c r="C1593" t="s">
        <v>3497</v>
      </c>
      <c r="D1593" t="s">
        <v>1992</v>
      </c>
      <c r="F1593">
        <v>78680947</v>
      </c>
      <c r="G1593">
        <v>75864069</v>
      </c>
      <c r="H1593">
        <v>71294068</v>
      </c>
      <c r="I1593">
        <v>55660692</v>
      </c>
      <c r="P1593">
        <v>122</v>
      </c>
      <c r="Q1593" t="s">
        <v>3498</v>
      </c>
    </row>
    <row r="1594" spans="1:17" x14ac:dyDescent="0.3">
      <c r="A1594" t="s">
        <v>17</v>
      </c>
      <c r="B1594" t="str">
        <f>"603980"</f>
        <v>603980</v>
      </c>
      <c r="C1594" t="s">
        <v>3499</v>
      </c>
      <c r="D1594" t="s">
        <v>779</v>
      </c>
      <c r="F1594">
        <v>107860313</v>
      </c>
      <c r="G1594">
        <v>97084083</v>
      </c>
      <c r="H1594">
        <v>111215310</v>
      </c>
      <c r="I1594">
        <v>126602898</v>
      </c>
      <c r="P1594">
        <v>195</v>
      </c>
      <c r="Q1594" t="s">
        <v>3500</v>
      </c>
    </row>
    <row r="1595" spans="1:17" x14ac:dyDescent="0.3">
      <c r="A1595" t="s">
        <v>17</v>
      </c>
      <c r="B1595" t="str">
        <f>"603982"</f>
        <v>603982</v>
      </c>
      <c r="C1595" t="s">
        <v>3501</v>
      </c>
      <c r="D1595" t="s">
        <v>348</v>
      </c>
      <c r="F1595">
        <v>124710895</v>
      </c>
      <c r="G1595">
        <v>82558908</v>
      </c>
      <c r="H1595">
        <v>79536547</v>
      </c>
      <c r="I1595">
        <v>82361714</v>
      </c>
      <c r="J1595">
        <v>66312396</v>
      </c>
      <c r="K1595">
        <v>45498241</v>
      </c>
      <c r="P1595">
        <v>122</v>
      </c>
      <c r="Q1595" t="s">
        <v>3502</v>
      </c>
    </row>
    <row r="1596" spans="1:17" x14ac:dyDescent="0.3">
      <c r="A1596" t="s">
        <v>17</v>
      </c>
      <c r="B1596" t="str">
        <f>"603983"</f>
        <v>603983</v>
      </c>
      <c r="C1596" t="s">
        <v>3503</v>
      </c>
      <c r="D1596" t="s">
        <v>709</v>
      </c>
      <c r="F1596">
        <v>50488238</v>
      </c>
      <c r="G1596">
        <v>50154240</v>
      </c>
      <c r="H1596">
        <v>44868561</v>
      </c>
      <c r="I1596">
        <v>33822260</v>
      </c>
      <c r="J1596">
        <v>28296222</v>
      </c>
      <c r="K1596">
        <v>24795712</v>
      </c>
      <c r="P1596">
        <v>898</v>
      </c>
      <c r="Q1596" t="s">
        <v>3504</v>
      </c>
    </row>
    <row r="1597" spans="1:17" x14ac:dyDescent="0.3">
      <c r="A1597" t="s">
        <v>17</v>
      </c>
      <c r="B1597" t="str">
        <f>"603985"</f>
        <v>603985</v>
      </c>
      <c r="C1597" t="s">
        <v>3505</v>
      </c>
      <c r="D1597" t="s">
        <v>274</v>
      </c>
      <c r="F1597">
        <v>88239206</v>
      </c>
      <c r="G1597">
        <v>99117524</v>
      </c>
      <c r="H1597">
        <v>59508756</v>
      </c>
      <c r="I1597">
        <v>46584404</v>
      </c>
      <c r="P1597">
        <v>220</v>
      </c>
      <c r="Q1597" t="s">
        <v>3506</v>
      </c>
    </row>
    <row r="1598" spans="1:17" x14ac:dyDescent="0.3">
      <c r="A1598" t="s">
        <v>17</v>
      </c>
      <c r="B1598" t="str">
        <f>"603986"</f>
        <v>603986</v>
      </c>
      <c r="C1598" t="s">
        <v>3507</v>
      </c>
      <c r="D1598" t="s">
        <v>461</v>
      </c>
      <c r="F1598">
        <v>842036678</v>
      </c>
      <c r="G1598">
        <v>497899708</v>
      </c>
      <c r="H1598">
        <v>363326992</v>
      </c>
      <c r="I1598">
        <v>208054889</v>
      </c>
      <c r="P1598">
        <v>2706</v>
      </c>
      <c r="Q1598" t="s">
        <v>3508</v>
      </c>
    </row>
    <row r="1599" spans="1:17" x14ac:dyDescent="0.3">
      <c r="A1599" t="s">
        <v>17</v>
      </c>
      <c r="B1599" t="str">
        <f>"603987"</f>
        <v>603987</v>
      </c>
      <c r="C1599" t="s">
        <v>3509</v>
      </c>
      <c r="D1599" t="s">
        <v>1077</v>
      </c>
      <c r="F1599">
        <v>165431714</v>
      </c>
      <c r="G1599">
        <v>124240010</v>
      </c>
      <c r="H1599">
        <v>89126164</v>
      </c>
      <c r="I1599">
        <v>73572872</v>
      </c>
      <c r="P1599">
        <v>266</v>
      </c>
      <c r="Q1599" t="s">
        <v>3510</v>
      </c>
    </row>
    <row r="1600" spans="1:17" x14ac:dyDescent="0.3">
      <c r="A1600" t="s">
        <v>17</v>
      </c>
      <c r="B1600" t="str">
        <f>"603988"</f>
        <v>603988</v>
      </c>
      <c r="C1600" t="s">
        <v>3511</v>
      </c>
      <c r="D1600" t="s">
        <v>1171</v>
      </c>
      <c r="F1600">
        <v>26820633</v>
      </c>
      <c r="G1600">
        <v>29121081</v>
      </c>
      <c r="H1600">
        <v>20971181</v>
      </c>
      <c r="I1600">
        <v>14139069</v>
      </c>
      <c r="P1600">
        <v>192</v>
      </c>
      <c r="Q1600" t="s">
        <v>3512</v>
      </c>
    </row>
    <row r="1601" spans="1:17" x14ac:dyDescent="0.3">
      <c r="A1601" t="s">
        <v>17</v>
      </c>
      <c r="B1601" t="str">
        <f>"603989"</f>
        <v>603989</v>
      </c>
      <c r="C1601" t="s">
        <v>3513</v>
      </c>
      <c r="D1601" t="s">
        <v>546</v>
      </c>
      <c r="F1601">
        <v>174057131</v>
      </c>
      <c r="G1601">
        <v>141985194</v>
      </c>
      <c r="H1601">
        <v>121347437</v>
      </c>
      <c r="I1601">
        <v>82699722</v>
      </c>
      <c r="P1601">
        <v>12175</v>
      </c>
      <c r="Q1601" t="s">
        <v>3514</v>
      </c>
    </row>
    <row r="1602" spans="1:17" x14ac:dyDescent="0.3">
      <c r="A1602" t="s">
        <v>17</v>
      </c>
      <c r="B1602" t="str">
        <f>"603990"</f>
        <v>603990</v>
      </c>
      <c r="C1602" t="s">
        <v>3515</v>
      </c>
      <c r="D1602" t="s">
        <v>945</v>
      </c>
      <c r="F1602">
        <v>48004978</v>
      </c>
      <c r="G1602">
        <v>43032348</v>
      </c>
      <c r="H1602">
        <v>57687263</v>
      </c>
      <c r="I1602">
        <v>57247654</v>
      </c>
      <c r="P1602">
        <v>143</v>
      </c>
      <c r="Q1602" t="s">
        <v>3516</v>
      </c>
    </row>
    <row r="1603" spans="1:17" x14ac:dyDescent="0.3">
      <c r="A1603" t="s">
        <v>17</v>
      </c>
      <c r="B1603" t="str">
        <f>"603991"</f>
        <v>603991</v>
      </c>
      <c r="C1603" t="s">
        <v>3517</v>
      </c>
      <c r="D1603" t="s">
        <v>1192</v>
      </c>
      <c r="F1603">
        <v>6804648</v>
      </c>
      <c r="G1603">
        <v>15699401</v>
      </c>
      <c r="H1603">
        <v>26212017</v>
      </c>
      <c r="I1603">
        <v>21972122</v>
      </c>
      <c r="P1603">
        <v>96</v>
      </c>
      <c r="Q1603" t="s">
        <v>3518</v>
      </c>
    </row>
    <row r="1604" spans="1:17" x14ac:dyDescent="0.3">
      <c r="A1604" t="s">
        <v>17</v>
      </c>
      <c r="B1604" t="str">
        <f>"603992"</f>
        <v>603992</v>
      </c>
      <c r="C1604" t="s">
        <v>3519</v>
      </c>
      <c r="D1604" t="s">
        <v>2912</v>
      </c>
      <c r="F1604">
        <v>169568194</v>
      </c>
      <c r="G1604">
        <v>128793932</v>
      </c>
      <c r="H1604">
        <v>117088401</v>
      </c>
      <c r="I1604">
        <v>95834684</v>
      </c>
      <c r="J1604">
        <v>95713724</v>
      </c>
      <c r="K1604">
        <v>85098170</v>
      </c>
      <c r="P1604">
        <v>120</v>
      </c>
      <c r="Q1604" t="s">
        <v>3520</v>
      </c>
    </row>
    <row r="1605" spans="1:17" x14ac:dyDescent="0.3">
      <c r="A1605" t="s">
        <v>17</v>
      </c>
      <c r="B1605" t="str">
        <f>"603993"</f>
        <v>603993</v>
      </c>
      <c r="C1605" t="s">
        <v>3521</v>
      </c>
      <c r="D1605" t="s">
        <v>2363</v>
      </c>
      <c r="F1605">
        <v>272384715</v>
      </c>
      <c r="G1605">
        <v>173582899</v>
      </c>
      <c r="H1605">
        <v>268320901</v>
      </c>
      <c r="I1605">
        <v>254356012</v>
      </c>
      <c r="P1605">
        <v>1125</v>
      </c>
      <c r="Q1605" t="s">
        <v>3522</v>
      </c>
    </row>
    <row r="1606" spans="1:17" x14ac:dyDescent="0.3">
      <c r="A1606" t="s">
        <v>17</v>
      </c>
      <c r="B1606" t="str">
        <f>"603995"</f>
        <v>603995</v>
      </c>
      <c r="C1606" t="s">
        <v>3523</v>
      </c>
      <c r="D1606" t="s">
        <v>281</v>
      </c>
      <c r="F1606">
        <v>554649598</v>
      </c>
      <c r="G1606">
        <v>217744912</v>
      </c>
      <c r="H1606">
        <v>222609401</v>
      </c>
      <c r="I1606">
        <v>219412203</v>
      </c>
      <c r="J1606">
        <v>160001650</v>
      </c>
      <c r="K1606">
        <v>152288284</v>
      </c>
      <c r="P1606">
        <v>128</v>
      </c>
      <c r="Q1606" t="s">
        <v>3524</v>
      </c>
    </row>
    <row r="1607" spans="1:17" x14ac:dyDescent="0.3">
      <c r="A1607" t="s">
        <v>17</v>
      </c>
      <c r="B1607" t="str">
        <f>"603996"</f>
        <v>603996</v>
      </c>
      <c r="C1607" t="s">
        <v>3525</v>
      </c>
      <c r="D1607" t="s">
        <v>3526</v>
      </c>
      <c r="F1607">
        <v>0</v>
      </c>
      <c r="G1607">
        <v>0</v>
      </c>
      <c r="H1607">
        <v>81028348</v>
      </c>
      <c r="I1607">
        <v>246058218</v>
      </c>
      <c r="P1607">
        <v>71</v>
      </c>
      <c r="Q1607" t="s">
        <v>3527</v>
      </c>
    </row>
    <row r="1608" spans="1:17" x14ac:dyDescent="0.3">
      <c r="A1608" t="s">
        <v>17</v>
      </c>
      <c r="B1608" t="str">
        <f>"603997"</f>
        <v>603997</v>
      </c>
      <c r="C1608" t="s">
        <v>3528</v>
      </c>
      <c r="D1608" t="s">
        <v>191</v>
      </c>
      <c r="F1608">
        <v>321375210</v>
      </c>
      <c r="G1608">
        <v>255603819</v>
      </c>
      <c r="H1608">
        <v>268702488</v>
      </c>
      <c r="I1608">
        <v>66265548</v>
      </c>
      <c r="P1608">
        <v>248</v>
      </c>
      <c r="Q1608" t="s">
        <v>3529</v>
      </c>
    </row>
    <row r="1609" spans="1:17" x14ac:dyDescent="0.3">
      <c r="A1609" t="s">
        <v>17</v>
      </c>
      <c r="B1609" t="str">
        <f>"603998"</f>
        <v>603998</v>
      </c>
      <c r="C1609" t="s">
        <v>3530</v>
      </c>
      <c r="D1609" t="s">
        <v>188</v>
      </c>
      <c r="F1609">
        <v>51399984</v>
      </c>
      <c r="G1609">
        <v>53616016</v>
      </c>
      <c r="H1609">
        <v>41233027</v>
      </c>
      <c r="I1609">
        <v>42347818</v>
      </c>
      <c r="P1609">
        <v>126</v>
      </c>
      <c r="Q1609" t="s">
        <v>3531</v>
      </c>
    </row>
    <row r="1610" spans="1:17" x14ac:dyDescent="0.3">
      <c r="A1610" t="s">
        <v>17</v>
      </c>
      <c r="B1610" t="str">
        <f>"603999"</f>
        <v>603999</v>
      </c>
      <c r="C1610" t="s">
        <v>3532</v>
      </c>
      <c r="D1610" t="s">
        <v>525</v>
      </c>
      <c r="F1610">
        <v>2050152</v>
      </c>
      <c r="G1610">
        <v>8151418</v>
      </c>
      <c r="H1610">
        <v>13031176</v>
      </c>
      <c r="I1610">
        <v>3616765</v>
      </c>
      <c r="P1610">
        <v>85</v>
      </c>
      <c r="Q1610" t="s">
        <v>3533</v>
      </c>
    </row>
    <row r="1611" spans="1:17" x14ac:dyDescent="0.3">
      <c r="A1611" t="s">
        <v>17</v>
      </c>
      <c r="B1611" t="str">
        <f>"605001"</f>
        <v>605001</v>
      </c>
      <c r="C1611" t="s">
        <v>3534</v>
      </c>
      <c r="D1611" t="s">
        <v>1012</v>
      </c>
      <c r="F1611">
        <v>63140215</v>
      </c>
      <c r="G1611">
        <v>60022728</v>
      </c>
      <c r="H1611">
        <v>72073277</v>
      </c>
      <c r="I1611">
        <v>75188532</v>
      </c>
      <c r="J1611">
        <v>52725301</v>
      </c>
      <c r="P1611">
        <v>48</v>
      </c>
      <c r="Q1611" t="s">
        <v>3535</v>
      </c>
    </row>
    <row r="1612" spans="1:17" x14ac:dyDescent="0.3">
      <c r="A1612" t="s">
        <v>17</v>
      </c>
      <c r="B1612" t="str">
        <f>"605003"</f>
        <v>605003</v>
      </c>
      <c r="C1612" t="s">
        <v>3536</v>
      </c>
      <c r="D1612" t="s">
        <v>2889</v>
      </c>
      <c r="F1612">
        <v>20213834</v>
      </c>
      <c r="G1612">
        <v>17511907</v>
      </c>
      <c r="H1612">
        <v>20643834</v>
      </c>
      <c r="I1612">
        <v>19540180</v>
      </c>
      <c r="J1612">
        <v>21389722</v>
      </c>
      <c r="P1612">
        <v>75</v>
      </c>
      <c r="Q1612" t="s">
        <v>3537</v>
      </c>
    </row>
    <row r="1613" spans="1:17" x14ac:dyDescent="0.3">
      <c r="A1613" t="s">
        <v>17</v>
      </c>
      <c r="B1613" t="str">
        <f>"605005"</f>
        <v>605005</v>
      </c>
      <c r="C1613" t="s">
        <v>3538</v>
      </c>
      <c r="D1613" t="s">
        <v>1415</v>
      </c>
      <c r="F1613">
        <v>71495668</v>
      </c>
      <c r="G1613">
        <v>59866789</v>
      </c>
      <c r="H1613">
        <v>54355368</v>
      </c>
      <c r="I1613">
        <v>58432708</v>
      </c>
      <c r="J1613">
        <v>42627051</v>
      </c>
      <c r="P1613">
        <v>62</v>
      </c>
      <c r="Q1613" t="s">
        <v>3539</v>
      </c>
    </row>
    <row r="1614" spans="1:17" x14ac:dyDescent="0.3">
      <c r="A1614" t="s">
        <v>17</v>
      </c>
      <c r="B1614" t="str">
        <f>"605006"</f>
        <v>605006</v>
      </c>
      <c r="C1614" t="s">
        <v>3540</v>
      </c>
      <c r="D1614" t="s">
        <v>411</v>
      </c>
      <c r="F1614">
        <v>97354202</v>
      </c>
      <c r="G1614">
        <v>76022040</v>
      </c>
      <c r="H1614">
        <v>64356571</v>
      </c>
      <c r="I1614">
        <v>56580166</v>
      </c>
      <c r="J1614">
        <v>48567284</v>
      </c>
      <c r="P1614">
        <v>123</v>
      </c>
      <c r="Q1614" t="s">
        <v>3541</v>
      </c>
    </row>
    <row r="1615" spans="1:17" x14ac:dyDescent="0.3">
      <c r="A1615" t="s">
        <v>17</v>
      </c>
      <c r="B1615" t="str">
        <f>"605007"</f>
        <v>605007</v>
      </c>
      <c r="C1615" t="s">
        <v>3542</v>
      </c>
      <c r="D1615" t="s">
        <v>244</v>
      </c>
      <c r="F1615">
        <v>53839882</v>
      </c>
      <c r="G1615">
        <v>11143608</v>
      </c>
      <c r="H1615">
        <v>11277615</v>
      </c>
      <c r="I1615">
        <v>11427185</v>
      </c>
      <c r="J1615">
        <v>9214128</v>
      </c>
      <c r="K1615">
        <v>5675900</v>
      </c>
      <c r="P1615">
        <v>81</v>
      </c>
      <c r="Q1615" t="s">
        <v>3543</v>
      </c>
    </row>
    <row r="1616" spans="1:17" x14ac:dyDescent="0.3">
      <c r="A1616" t="s">
        <v>17</v>
      </c>
      <c r="B1616" t="str">
        <f>"605008"</f>
        <v>605008</v>
      </c>
      <c r="C1616" t="s">
        <v>3544</v>
      </c>
      <c r="D1616" t="s">
        <v>1192</v>
      </c>
      <c r="F1616">
        <v>57466359</v>
      </c>
      <c r="G1616">
        <v>41499715</v>
      </c>
      <c r="H1616">
        <v>45549055</v>
      </c>
      <c r="I1616">
        <v>37568271</v>
      </c>
      <c r="J1616">
        <v>16650154</v>
      </c>
      <c r="P1616">
        <v>66</v>
      </c>
      <c r="Q1616" t="s">
        <v>3545</v>
      </c>
    </row>
    <row r="1617" spans="1:17" x14ac:dyDescent="0.3">
      <c r="A1617" t="s">
        <v>17</v>
      </c>
      <c r="B1617" t="str">
        <f>"605009"</f>
        <v>605009</v>
      </c>
      <c r="C1617" t="s">
        <v>3546</v>
      </c>
      <c r="D1617" t="s">
        <v>2751</v>
      </c>
      <c r="F1617">
        <v>91146793</v>
      </c>
      <c r="G1617">
        <v>86271501</v>
      </c>
      <c r="H1617">
        <v>66437571</v>
      </c>
      <c r="I1617">
        <v>48814242</v>
      </c>
      <c r="J1617">
        <v>28624109</v>
      </c>
      <c r="P1617">
        <v>355</v>
      </c>
      <c r="Q1617" t="s">
        <v>3547</v>
      </c>
    </row>
    <row r="1618" spans="1:17" x14ac:dyDescent="0.3">
      <c r="A1618" t="s">
        <v>17</v>
      </c>
      <c r="B1618" t="str">
        <f>"605011"</f>
        <v>605011</v>
      </c>
      <c r="C1618" t="s">
        <v>3548</v>
      </c>
      <c r="D1618" t="s">
        <v>351</v>
      </c>
      <c r="F1618">
        <v>2333650</v>
      </c>
      <c r="G1618">
        <v>3209959</v>
      </c>
      <c r="H1618">
        <v>2861708</v>
      </c>
      <c r="I1618">
        <v>2882160</v>
      </c>
      <c r="J1618">
        <v>899423</v>
      </c>
      <c r="P1618">
        <v>27</v>
      </c>
      <c r="Q1618" t="s">
        <v>3549</v>
      </c>
    </row>
    <row r="1619" spans="1:17" x14ac:dyDescent="0.3">
      <c r="A1619" t="s">
        <v>17</v>
      </c>
      <c r="B1619" t="str">
        <f>"605016"</f>
        <v>605016</v>
      </c>
      <c r="C1619" t="s">
        <v>3550</v>
      </c>
      <c r="D1619" t="s">
        <v>677</v>
      </c>
      <c r="F1619">
        <v>23263721</v>
      </c>
      <c r="G1619">
        <v>15369833</v>
      </c>
      <c r="H1619">
        <v>15023683</v>
      </c>
      <c r="I1619">
        <v>11077191</v>
      </c>
      <c r="J1619">
        <v>10358500</v>
      </c>
      <c r="P1619">
        <v>65</v>
      </c>
      <c r="Q1619" t="s">
        <v>3551</v>
      </c>
    </row>
    <row r="1620" spans="1:17" x14ac:dyDescent="0.3">
      <c r="A1620" t="s">
        <v>17</v>
      </c>
      <c r="B1620" t="str">
        <f>"605018"</f>
        <v>605018</v>
      </c>
      <c r="C1620" t="s">
        <v>3552</v>
      </c>
      <c r="D1620" t="s">
        <v>985</v>
      </c>
      <c r="F1620">
        <v>81547974</v>
      </c>
      <c r="G1620">
        <v>71875190</v>
      </c>
      <c r="H1620">
        <v>72960656</v>
      </c>
      <c r="I1620">
        <v>53650100</v>
      </c>
      <c r="J1620">
        <v>45445807</v>
      </c>
      <c r="P1620">
        <v>48</v>
      </c>
      <c r="Q1620" t="s">
        <v>3553</v>
      </c>
    </row>
    <row r="1621" spans="1:17" x14ac:dyDescent="0.3">
      <c r="A1621" t="s">
        <v>17</v>
      </c>
      <c r="B1621" t="str">
        <f>"605020"</f>
        <v>605020</v>
      </c>
      <c r="C1621" t="s">
        <v>3554</v>
      </c>
      <c r="D1621" t="s">
        <v>375</v>
      </c>
      <c r="F1621">
        <v>28781369</v>
      </c>
      <c r="G1621">
        <v>16377063</v>
      </c>
      <c r="H1621">
        <v>21390858</v>
      </c>
      <c r="I1621">
        <v>26029755</v>
      </c>
      <c r="J1621">
        <v>21164798</v>
      </c>
      <c r="P1621">
        <v>33</v>
      </c>
      <c r="Q1621" t="s">
        <v>3555</v>
      </c>
    </row>
    <row r="1622" spans="1:17" x14ac:dyDescent="0.3">
      <c r="A1622" t="s">
        <v>17</v>
      </c>
      <c r="B1622" t="str">
        <f>"605028"</f>
        <v>605028</v>
      </c>
      <c r="C1622" t="s">
        <v>3556</v>
      </c>
      <c r="D1622" t="s">
        <v>351</v>
      </c>
      <c r="F1622">
        <v>13122912</v>
      </c>
      <c r="G1622">
        <v>9947626</v>
      </c>
      <c r="H1622">
        <v>9370948</v>
      </c>
      <c r="I1622">
        <v>8424611</v>
      </c>
      <c r="J1622">
        <v>9768667</v>
      </c>
      <c r="P1622">
        <v>46</v>
      </c>
      <c r="Q1622" t="s">
        <v>3557</v>
      </c>
    </row>
    <row r="1623" spans="1:17" x14ac:dyDescent="0.3">
      <c r="A1623" t="s">
        <v>17</v>
      </c>
      <c r="B1623" t="str">
        <f>"605033"</f>
        <v>605033</v>
      </c>
      <c r="C1623" t="s">
        <v>3558</v>
      </c>
      <c r="D1623" t="s">
        <v>853</v>
      </c>
      <c r="F1623">
        <v>63807137</v>
      </c>
      <c r="G1623">
        <v>51364610</v>
      </c>
      <c r="H1623">
        <v>39517449</v>
      </c>
      <c r="I1623">
        <v>26932060</v>
      </c>
      <c r="J1623">
        <v>26352985</v>
      </c>
      <c r="P1623">
        <v>14</v>
      </c>
      <c r="Q1623" t="s">
        <v>3559</v>
      </c>
    </row>
    <row r="1624" spans="1:17" x14ac:dyDescent="0.3">
      <c r="A1624" t="s">
        <v>17</v>
      </c>
      <c r="B1624" t="str">
        <f>"605050"</f>
        <v>605050</v>
      </c>
      <c r="C1624" t="s">
        <v>3560</v>
      </c>
      <c r="D1624" t="s">
        <v>128</v>
      </c>
      <c r="F1624">
        <v>1099379</v>
      </c>
      <c r="G1624">
        <v>1481510</v>
      </c>
      <c r="H1624">
        <v>651170</v>
      </c>
      <c r="I1624">
        <v>0</v>
      </c>
      <c r="J1624">
        <v>0</v>
      </c>
      <c r="P1624">
        <v>37</v>
      </c>
      <c r="Q1624" t="s">
        <v>3561</v>
      </c>
    </row>
    <row r="1625" spans="1:17" x14ac:dyDescent="0.3">
      <c r="A1625" t="s">
        <v>17</v>
      </c>
      <c r="B1625" t="str">
        <f>"605055"</f>
        <v>605055</v>
      </c>
      <c r="C1625" t="s">
        <v>3562</v>
      </c>
      <c r="D1625" t="s">
        <v>817</v>
      </c>
      <c r="F1625">
        <v>50096527</v>
      </c>
      <c r="G1625">
        <v>31710912</v>
      </c>
      <c r="H1625">
        <v>36505789</v>
      </c>
      <c r="I1625">
        <v>39218830</v>
      </c>
      <c r="J1625">
        <v>36087723</v>
      </c>
      <c r="K1625">
        <v>25790349</v>
      </c>
      <c r="P1625">
        <v>38</v>
      </c>
      <c r="Q1625" t="s">
        <v>3563</v>
      </c>
    </row>
    <row r="1626" spans="1:17" x14ac:dyDescent="0.3">
      <c r="A1626" t="s">
        <v>17</v>
      </c>
      <c r="B1626" t="str">
        <f>"605056"</f>
        <v>605056</v>
      </c>
      <c r="C1626" t="s">
        <v>3564</v>
      </c>
      <c r="D1626" t="s">
        <v>2566</v>
      </c>
      <c r="F1626">
        <v>33655018</v>
      </c>
      <c r="G1626">
        <v>27910326</v>
      </c>
      <c r="H1626">
        <v>28694949</v>
      </c>
      <c r="I1626">
        <v>26989433</v>
      </c>
      <c r="J1626">
        <v>19288437</v>
      </c>
      <c r="P1626">
        <v>21</v>
      </c>
      <c r="Q1626" t="s">
        <v>3565</v>
      </c>
    </row>
    <row r="1627" spans="1:17" x14ac:dyDescent="0.3">
      <c r="A1627" t="s">
        <v>17</v>
      </c>
      <c r="B1627" t="str">
        <f>"605058"</f>
        <v>605058</v>
      </c>
      <c r="C1627" t="s">
        <v>3566</v>
      </c>
      <c r="D1627" t="s">
        <v>425</v>
      </c>
      <c r="F1627">
        <v>51023511</v>
      </c>
      <c r="G1627">
        <v>45049448</v>
      </c>
      <c r="H1627">
        <v>41205665</v>
      </c>
      <c r="I1627">
        <v>40893858</v>
      </c>
      <c r="J1627">
        <v>41253154</v>
      </c>
      <c r="K1627">
        <v>38767630</v>
      </c>
      <c r="P1627">
        <v>48</v>
      </c>
      <c r="Q1627" t="s">
        <v>3567</v>
      </c>
    </row>
    <row r="1628" spans="1:17" x14ac:dyDescent="0.3">
      <c r="A1628" t="s">
        <v>17</v>
      </c>
      <c r="B1628" t="str">
        <f>"605060"</f>
        <v>605060</v>
      </c>
      <c r="C1628" t="s">
        <v>3568</v>
      </c>
      <c r="D1628" t="s">
        <v>560</v>
      </c>
      <c r="F1628">
        <v>52305774</v>
      </c>
      <c r="G1628">
        <v>40706353</v>
      </c>
      <c r="H1628">
        <v>36329251</v>
      </c>
      <c r="I1628">
        <v>38563453</v>
      </c>
      <c r="J1628">
        <v>27168198</v>
      </c>
      <c r="P1628">
        <v>43</v>
      </c>
      <c r="Q1628" t="s">
        <v>3569</v>
      </c>
    </row>
    <row r="1629" spans="1:17" x14ac:dyDescent="0.3">
      <c r="A1629" t="s">
        <v>17</v>
      </c>
      <c r="B1629" t="str">
        <f>"605066"</f>
        <v>605066</v>
      </c>
      <c r="C1629" t="s">
        <v>3570</v>
      </c>
      <c r="D1629" t="s">
        <v>657</v>
      </c>
      <c r="F1629">
        <v>131793158</v>
      </c>
      <c r="G1629">
        <v>94209522</v>
      </c>
      <c r="H1629">
        <v>82726085</v>
      </c>
      <c r="I1629">
        <v>87469502</v>
      </c>
      <c r="J1629">
        <v>84455199</v>
      </c>
      <c r="P1629">
        <v>54</v>
      </c>
      <c r="Q1629" t="s">
        <v>3571</v>
      </c>
    </row>
    <row r="1630" spans="1:17" x14ac:dyDescent="0.3">
      <c r="A1630" t="s">
        <v>17</v>
      </c>
      <c r="B1630" t="str">
        <f>"605068"</f>
        <v>605068</v>
      </c>
      <c r="C1630" t="s">
        <v>3572</v>
      </c>
      <c r="D1630" t="s">
        <v>191</v>
      </c>
      <c r="F1630">
        <v>86113228</v>
      </c>
      <c r="G1630">
        <v>69982902</v>
      </c>
      <c r="H1630">
        <v>41773758</v>
      </c>
      <c r="I1630">
        <v>41174832</v>
      </c>
      <c r="J1630">
        <v>32624916</v>
      </c>
      <c r="K1630">
        <v>27082279</v>
      </c>
      <c r="P1630">
        <v>89</v>
      </c>
      <c r="Q1630" t="s">
        <v>3573</v>
      </c>
    </row>
    <row r="1631" spans="1:17" x14ac:dyDescent="0.3">
      <c r="A1631" t="s">
        <v>17</v>
      </c>
      <c r="B1631" t="str">
        <f>"605069"</f>
        <v>605069</v>
      </c>
      <c r="C1631" t="s">
        <v>3574</v>
      </c>
      <c r="D1631" t="s">
        <v>3575</v>
      </c>
      <c r="F1631">
        <v>45973402</v>
      </c>
      <c r="G1631">
        <v>48600893</v>
      </c>
      <c r="H1631">
        <v>51016048</v>
      </c>
      <c r="I1631">
        <v>48710594</v>
      </c>
      <c r="J1631">
        <v>25831400</v>
      </c>
      <c r="P1631">
        <v>16</v>
      </c>
      <c r="Q1631" t="s">
        <v>3576</v>
      </c>
    </row>
    <row r="1632" spans="1:17" x14ac:dyDescent="0.3">
      <c r="A1632" t="s">
        <v>17</v>
      </c>
      <c r="B1632" t="str">
        <f>"605077"</f>
        <v>605077</v>
      </c>
      <c r="C1632" t="s">
        <v>3577</v>
      </c>
      <c r="D1632" t="s">
        <v>677</v>
      </c>
      <c r="F1632">
        <v>84229443</v>
      </c>
      <c r="G1632">
        <v>65033607</v>
      </c>
      <c r="H1632">
        <v>53794966</v>
      </c>
      <c r="I1632">
        <v>43918752</v>
      </c>
      <c r="J1632">
        <v>28118846</v>
      </c>
      <c r="P1632">
        <v>88</v>
      </c>
      <c r="Q1632" t="s">
        <v>3578</v>
      </c>
    </row>
    <row r="1633" spans="1:17" x14ac:dyDescent="0.3">
      <c r="A1633" t="s">
        <v>17</v>
      </c>
      <c r="B1633" t="str">
        <f>"605080"</f>
        <v>605080</v>
      </c>
      <c r="C1633" t="s">
        <v>3579</v>
      </c>
      <c r="D1633" t="s">
        <v>2931</v>
      </c>
      <c r="F1633">
        <v>29620676</v>
      </c>
      <c r="G1633">
        <v>20799839</v>
      </c>
      <c r="H1633">
        <v>19624858</v>
      </c>
      <c r="I1633">
        <v>18419935</v>
      </c>
      <c r="J1633">
        <v>15190482</v>
      </c>
      <c r="P1633">
        <v>47</v>
      </c>
      <c r="Q1633" t="s">
        <v>3580</v>
      </c>
    </row>
    <row r="1634" spans="1:17" x14ac:dyDescent="0.3">
      <c r="A1634" t="s">
        <v>17</v>
      </c>
      <c r="B1634" t="str">
        <f>"605081"</f>
        <v>605081</v>
      </c>
      <c r="C1634" t="s">
        <v>3581</v>
      </c>
      <c r="D1634" t="s">
        <v>33</v>
      </c>
      <c r="F1634">
        <v>24957819</v>
      </c>
      <c r="G1634">
        <v>22775971</v>
      </c>
      <c r="H1634">
        <v>23599221</v>
      </c>
      <c r="I1634">
        <v>15647087</v>
      </c>
      <c r="J1634">
        <v>11023236</v>
      </c>
      <c r="K1634">
        <v>9992944</v>
      </c>
      <c r="P1634">
        <v>30</v>
      </c>
      <c r="Q1634" t="s">
        <v>3582</v>
      </c>
    </row>
    <row r="1635" spans="1:17" x14ac:dyDescent="0.3">
      <c r="A1635" t="s">
        <v>17</v>
      </c>
      <c r="B1635" t="str">
        <f>"605086"</f>
        <v>605086</v>
      </c>
      <c r="C1635" t="s">
        <v>3583</v>
      </c>
      <c r="D1635" t="s">
        <v>2762</v>
      </c>
      <c r="F1635">
        <v>8802317</v>
      </c>
      <c r="G1635">
        <v>6182000</v>
      </c>
      <c r="H1635">
        <v>6447512</v>
      </c>
      <c r="I1635">
        <v>5756660</v>
      </c>
      <c r="J1635">
        <v>4658088</v>
      </c>
      <c r="P1635">
        <v>29</v>
      </c>
      <c r="Q1635" t="s">
        <v>3584</v>
      </c>
    </row>
    <row r="1636" spans="1:17" x14ac:dyDescent="0.3">
      <c r="A1636" t="s">
        <v>17</v>
      </c>
      <c r="B1636" t="str">
        <f>"605088"</f>
        <v>605088</v>
      </c>
      <c r="C1636" t="s">
        <v>3585</v>
      </c>
      <c r="D1636" t="s">
        <v>348</v>
      </c>
      <c r="F1636">
        <v>93229318</v>
      </c>
      <c r="G1636">
        <v>74809227</v>
      </c>
      <c r="H1636">
        <v>70460045</v>
      </c>
      <c r="I1636">
        <v>68216067</v>
      </c>
      <c r="J1636">
        <v>65838798</v>
      </c>
      <c r="P1636">
        <v>47</v>
      </c>
      <c r="Q1636" t="s">
        <v>3586</v>
      </c>
    </row>
    <row r="1637" spans="1:17" x14ac:dyDescent="0.3">
      <c r="A1637" t="s">
        <v>17</v>
      </c>
      <c r="B1637" t="str">
        <f>"605089"</f>
        <v>605089</v>
      </c>
      <c r="C1637" t="s">
        <v>3587</v>
      </c>
      <c r="D1637" t="s">
        <v>2865</v>
      </c>
      <c r="F1637">
        <v>2250035</v>
      </c>
      <c r="G1637">
        <v>1252330</v>
      </c>
      <c r="H1637">
        <v>948781</v>
      </c>
      <c r="I1637">
        <v>873663</v>
      </c>
      <c r="J1637">
        <v>864333</v>
      </c>
      <c r="P1637">
        <v>131</v>
      </c>
      <c r="Q1637" t="s">
        <v>3588</v>
      </c>
    </row>
    <row r="1638" spans="1:17" x14ac:dyDescent="0.3">
      <c r="A1638" t="s">
        <v>17</v>
      </c>
      <c r="B1638" t="str">
        <f>"605090"</f>
        <v>605090</v>
      </c>
      <c r="C1638" t="s">
        <v>3589</v>
      </c>
      <c r="D1638" t="s">
        <v>749</v>
      </c>
      <c r="F1638">
        <v>0</v>
      </c>
      <c r="G1638">
        <v>0</v>
      </c>
      <c r="P1638">
        <v>51</v>
      </c>
      <c r="Q1638" t="s">
        <v>3590</v>
      </c>
    </row>
    <row r="1639" spans="1:17" x14ac:dyDescent="0.3">
      <c r="A1639" t="s">
        <v>17</v>
      </c>
      <c r="B1639" t="str">
        <f>"605098"</f>
        <v>605098</v>
      </c>
      <c r="C1639" t="s">
        <v>3591</v>
      </c>
      <c r="D1639" t="s">
        <v>1336</v>
      </c>
      <c r="F1639">
        <v>32577264</v>
      </c>
      <c r="G1639">
        <v>17733871</v>
      </c>
      <c r="H1639">
        <v>17210202</v>
      </c>
      <c r="I1639">
        <v>17016090</v>
      </c>
      <c r="J1639">
        <v>12920158</v>
      </c>
      <c r="P1639">
        <v>53</v>
      </c>
      <c r="Q1639" t="s">
        <v>3592</v>
      </c>
    </row>
    <row r="1640" spans="1:17" x14ac:dyDescent="0.3">
      <c r="A1640" t="s">
        <v>17</v>
      </c>
      <c r="B1640" t="str">
        <f>"605099"</f>
        <v>605099</v>
      </c>
      <c r="C1640" t="s">
        <v>3593</v>
      </c>
      <c r="D1640" t="s">
        <v>2445</v>
      </c>
      <c r="F1640">
        <v>74230265</v>
      </c>
      <c r="G1640">
        <v>58366521</v>
      </c>
      <c r="H1640">
        <v>55942306</v>
      </c>
      <c r="I1640">
        <v>47832207</v>
      </c>
      <c r="J1640">
        <v>43971433</v>
      </c>
      <c r="P1640">
        <v>166</v>
      </c>
      <c r="Q1640" t="s">
        <v>3594</v>
      </c>
    </row>
    <row r="1641" spans="1:17" x14ac:dyDescent="0.3">
      <c r="A1641" t="s">
        <v>17</v>
      </c>
      <c r="B1641" t="str">
        <f>"605100"</f>
        <v>605100</v>
      </c>
      <c r="C1641" t="s">
        <v>3595</v>
      </c>
      <c r="D1641" t="s">
        <v>274</v>
      </c>
      <c r="F1641">
        <v>44757899</v>
      </c>
      <c r="G1641">
        <v>49323493</v>
      </c>
      <c r="H1641">
        <v>37335455</v>
      </c>
      <c r="I1641">
        <v>26948397</v>
      </c>
      <c r="J1641">
        <v>22185151</v>
      </c>
      <c r="P1641">
        <v>60</v>
      </c>
      <c r="Q1641" t="s">
        <v>3596</v>
      </c>
    </row>
    <row r="1642" spans="1:17" x14ac:dyDescent="0.3">
      <c r="A1642" t="s">
        <v>17</v>
      </c>
      <c r="B1642" t="str">
        <f>"605108"</f>
        <v>605108</v>
      </c>
      <c r="C1642" t="s">
        <v>3597</v>
      </c>
      <c r="D1642" t="s">
        <v>3598</v>
      </c>
      <c r="F1642">
        <v>1945081</v>
      </c>
      <c r="G1642">
        <v>388706</v>
      </c>
      <c r="H1642">
        <v>954435</v>
      </c>
      <c r="I1642">
        <v>1133336</v>
      </c>
      <c r="J1642">
        <v>1054586</v>
      </c>
      <c r="P1642">
        <v>104</v>
      </c>
      <c r="Q1642" t="s">
        <v>3599</v>
      </c>
    </row>
    <row r="1643" spans="1:17" x14ac:dyDescent="0.3">
      <c r="A1643" t="s">
        <v>17</v>
      </c>
      <c r="B1643" t="str">
        <f>"605111"</f>
        <v>605111</v>
      </c>
      <c r="C1643" t="s">
        <v>3600</v>
      </c>
      <c r="D1643" t="s">
        <v>795</v>
      </c>
      <c r="F1643">
        <v>79689230</v>
      </c>
      <c r="G1643">
        <v>51730367</v>
      </c>
      <c r="H1643">
        <v>34495252</v>
      </c>
      <c r="I1643">
        <v>32838806</v>
      </c>
      <c r="J1643">
        <v>21622682</v>
      </c>
      <c r="K1643">
        <v>21029461</v>
      </c>
      <c r="P1643">
        <v>332</v>
      </c>
      <c r="Q1643" t="s">
        <v>3601</v>
      </c>
    </row>
    <row r="1644" spans="1:17" x14ac:dyDescent="0.3">
      <c r="A1644" t="s">
        <v>17</v>
      </c>
      <c r="B1644" t="str">
        <f>"605116"</f>
        <v>605116</v>
      </c>
      <c r="C1644" t="s">
        <v>3602</v>
      </c>
      <c r="D1644" t="s">
        <v>496</v>
      </c>
      <c r="F1644">
        <v>69350706</v>
      </c>
      <c r="G1644">
        <v>47353172</v>
      </c>
      <c r="H1644">
        <v>35101056</v>
      </c>
      <c r="I1644">
        <v>24654661</v>
      </c>
      <c r="J1644">
        <v>23525641</v>
      </c>
      <c r="K1644">
        <v>17904544</v>
      </c>
      <c r="P1644">
        <v>81</v>
      </c>
      <c r="Q1644" t="s">
        <v>3603</v>
      </c>
    </row>
    <row r="1645" spans="1:17" x14ac:dyDescent="0.3">
      <c r="A1645" t="s">
        <v>17</v>
      </c>
      <c r="B1645" t="str">
        <f>"605117"</f>
        <v>605117</v>
      </c>
      <c r="C1645" t="s">
        <v>3604</v>
      </c>
      <c r="D1645" t="s">
        <v>1253</v>
      </c>
      <c r="F1645">
        <v>133197215</v>
      </c>
      <c r="G1645">
        <v>101700137</v>
      </c>
      <c r="H1645">
        <v>86795454</v>
      </c>
      <c r="I1645">
        <v>70262230</v>
      </c>
      <c r="J1645">
        <v>56928955</v>
      </c>
      <c r="P1645">
        <v>141</v>
      </c>
      <c r="Q1645" t="s">
        <v>3605</v>
      </c>
    </row>
    <row r="1646" spans="1:17" x14ac:dyDescent="0.3">
      <c r="A1646" t="s">
        <v>17</v>
      </c>
      <c r="B1646" t="str">
        <f>"605118"</f>
        <v>605118</v>
      </c>
      <c r="C1646" t="s">
        <v>3606</v>
      </c>
      <c r="D1646" t="s">
        <v>2980</v>
      </c>
      <c r="F1646">
        <v>37162307</v>
      </c>
      <c r="G1646">
        <v>26615791</v>
      </c>
      <c r="H1646">
        <v>19564895</v>
      </c>
      <c r="I1646">
        <v>18409509</v>
      </c>
      <c r="J1646">
        <v>15225809</v>
      </c>
      <c r="P1646">
        <v>114</v>
      </c>
      <c r="Q1646" t="s">
        <v>3607</v>
      </c>
    </row>
    <row r="1647" spans="1:17" x14ac:dyDescent="0.3">
      <c r="A1647" t="s">
        <v>17</v>
      </c>
      <c r="B1647" t="str">
        <f>"605122"</f>
        <v>605122</v>
      </c>
      <c r="C1647" t="s">
        <v>3608</v>
      </c>
      <c r="D1647" t="s">
        <v>3098</v>
      </c>
      <c r="F1647">
        <v>6303262</v>
      </c>
      <c r="G1647">
        <v>2409773</v>
      </c>
      <c r="H1647">
        <v>2325172</v>
      </c>
      <c r="I1647">
        <v>1992375</v>
      </c>
      <c r="J1647">
        <v>1533169</v>
      </c>
      <c r="K1647">
        <v>1325014</v>
      </c>
      <c r="P1647">
        <v>36</v>
      </c>
      <c r="Q1647" t="s">
        <v>3609</v>
      </c>
    </row>
    <row r="1648" spans="1:17" x14ac:dyDescent="0.3">
      <c r="A1648" t="s">
        <v>17</v>
      </c>
      <c r="B1648" t="str">
        <f>"605123"</f>
        <v>605123</v>
      </c>
      <c r="C1648" t="s">
        <v>3610</v>
      </c>
      <c r="D1648" t="s">
        <v>98</v>
      </c>
      <c r="F1648">
        <v>78787414</v>
      </c>
      <c r="G1648">
        <v>42916015</v>
      </c>
      <c r="H1648">
        <v>31075180</v>
      </c>
      <c r="I1648">
        <v>23582460</v>
      </c>
      <c r="J1648">
        <v>18146958</v>
      </c>
      <c r="P1648">
        <v>143</v>
      </c>
      <c r="Q1648" t="s">
        <v>3611</v>
      </c>
    </row>
    <row r="1649" spans="1:17" x14ac:dyDescent="0.3">
      <c r="A1649" t="s">
        <v>17</v>
      </c>
      <c r="B1649" t="str">
        <f>"605128"</f>
        <v>605128</v>
      </c>
      <c r="C1649" t="s">
        <v>3612</v>
      </c>
      <c r="D1649" t="s">
        <v>191</v>
      </c>
      <c r="F1649">
        <v>29949841</v>
      </c>
      <c r="G1649">
        <v>23852638</v>
      </c>
      <c r="H1649">
        <v>16249871</v>
      </c>
      <c r="I1649">
        <v>16357001</v>
      </c>
      <c r="J1649">
        <v>21970708</v>
      </c>
      <c r="P1649">
        <v>53</v>
      </c>
      <c r="Q1649" t="s">
        <v>3613</v>
      </c>
    </row>
    <row r="1650" spans="1:17" x14ac:dyDescent="0.3">
      <c r="A1650" t="s">
        <v>17</v>
      </c>
      <c r="B1650" t="str">
        <f>"605133"</f>
        <v>605133</v>
      </c>
      <c r="C1650" t="s">
        <v>3614</v>
      </c>
      <c r="D1650" t="s">
        <v>348</v>
      </c>
      <c r="F1650">
        <v>46778204</v>
      </c>
      <c r="G1650">
        <v>39669916</v>
      </c>
      <c r="H1650">
        <v>37734718</v>
      </c>
      <c r="I1650">
        <v>31589127</v>
      </c>
      <c r="J1650">
        <v>30977006</v>
      </c>
      <c r="P1650">
        <v>36</v>
      </c>
      <c r="Q1650" t="s">
        <v>3615</v>
      </c>
    </row>
    <row r="1651" spans="1:17" x14ac:dyDescent="0.3">
      <c r="A1651" t="s">
        <v>17</v>
      </c>
      <c r="B1651" t="str">
        <f>"605136"</f>
        <v>605136</v>
      </c>
      <c r="C1651" t="s">
        <v>3616</v>
      </c>
      <c r="D1651" t="s">
        <v>3617</v>
      </c>
      <c r="F1651">
        <v>11025386</v>
      </c>
      <c r="G1651">
        <v>11904651</v>
      </c>
      <c r="H1651">
        <v>11023667</v>
      </c>
      <c r="I1651">
        <v>22389686</v>
      </c>
      <c r="J1651">
        <v>19749837</v>
      </c>
      <c r="K1651">
        <v>13550281</v>
      </c>
      <c r="P1651">
        <v>99</v>
      </c>
      <c r="Q1651" t="s">
        <v>3618</v>
      </c>
    </row>
    <row r="1652" spans="1:17" x14ac:dyDescent="0.3">
      <c r="A1652" t="s">
        <v>17</v>
      </c>
      <c r="B1652" t="str">
        <f>"605138"</f>
        <v>605138</v>
      </c>
      <c r="C1652" t="s">
        <v>3619</v>
      </c>
      <c r="D1652" t="s">
        <v>255</v>
      </c>
      <c r="F1652">
        <v>70579064</v>
      </c>
      <c r="G1652">
        <v>53932380</v>
      </c>
      <c r="H1652">
        <v>72973991</v>
      </c>
      <c r="I1652">
        <v>59256080</v>
      </c>
      <c r="J1652">
        <v>50418000</v>
      </c>
      <c r="P1652">
        <v>27</v>
      </c>
      <c r="Q1652" t="s">
        <v>3620</v>
      </c>
    </row>
    <row r="1653" spans="1:17" x14ac:dyDescent="0.3">
      <c r="A1653" t="s">
        <v>17</v>
      </c>
      <c r="B1653" t="str">
        <f>"605151"</f>
        <v>605151</v>
      </c>
      <c r="C1653" t="s">
        <v>3621</v>
      </c>
      <c r="D1653" t="s">
        <v>2368</v>
      </c>
      <c r="F1653">
        <v>44847138</v>
      </c>
      <c r="G1653">
        <v>18426966</v>
      </c>
      <c r="H1653">
        <v>17702602</v>
      </c>
      <c r="I1653">
        <v>19181370</v>
      </c>
      <c r="J1653">
        <v>16607427</v>
      </c>
      <c r="K1653">
        <v>17766500</v>
      </c>
      <c r="P1653">
        <v>55</v>
      </c>
      <c r="Q1653" t="s">
        <v>3622</v>
      </c>
    </row>
    <row r="1654" spans="1:17" x14ac:dyDescent="0.3">
      <c r="A1654" t="s">
        <v>17</v>
      </c>
      <c r="B1654" t="str">
        <f>"605155"</f>
        <v>605155</v>
      </c>
      <c r="C1654" t="s">
        <v>3623</v>
      </c>
      <c r="D1654" t="s">
        <v>2445</v>
      </c>
      <c r="F1654">
        <v>18059471</v>
      </c>
      <c r="G1654">
        <v>13183401</v>
      </c>
      <c r="H1654">
        <v>15023882</v>
      </c>
      <c r="I1654">
        <v>14419021</v>
      </c>
      <c r="J1654">
        <v>14504804</v>
      </c>
      <c r="K1654">
        <v>14780559</v>
      </c>
      <c r="P1654">
        <v>45</v>
      </c>
      <c r="Q1654" t="s">
        <v>3624</v>
      </c>
    </row>
    <row r="1655" spans="1:17" x14ac:dyDescent="0.3">
      <c r="A1655" t="s">
        <v>17</v>
      </c>
      <c r="B1655" t="str">
        <f>"605158"</f>
        <v>605158</v>
      </c>
      <c r="C1655" t="s">
        <v>3625</v>
      </c>
      <c r="D1655" t="s">
        <v>38</v>
      </c>
      <c r="F1655">
        <v>286076753</v>
      </c>
      <c r="G1655">
        <v>203113970</v>
      </c>
      <c r="H1655">
        <v>182868945</v>
      </c>
      <c r="I1655">
        <v>167887276</v>
      </c>
      <c r="J1655">
        <v>130819542</v>
      </c>
      <c r="P1655">
        <v>91</v>
      </c>
      <c r="Q1655" t="s">
        <v>3626</v>
      </c>
    </row>
    <row r="1656" spans="1:17" x14ac:dyDescent="0.3">
      <c r="A1656" t="s">
        <v>17</v>
      </c>
      <c r="B1656" t="str">
        <f>"605162"</f>
        <v>605162</v>
      </c>
      <c r="C1656" t="s">
        <v>3627</v>
      </c>
      <c r="D1656" t="s">
        <v>351</v>
      </c>
      <c r="F1656">
        <v>390028</v>
      </c>
      <c r="G1656">
        <v>7700</v>
      </c>
      <c r="H1656">
        <v>217131</v>
      </c>
      <c r="I1656">
        <v>78328</v>
      </c>
      <c r="J1656">
        <v>0</v>
      </c>
      <c r="P1656">
        <v>27</v>
      </c>
      <c r="Q1656" t="s">
        <v>3628</v>
      </c>
    </row>
    <row r="1657" spans="1:17" x14ac:dyDescent="0.3">
      <c r="A1657" t="s">
        <v>17</v>
      </c>
      <c r="B1657" t="str">
        <f>"605166"</f>
        <v>605166</v>
      </c>
      <c r="C1657" t="s">
        <v>3629</v>
      </c>
      <c r="D1657" t="s">
        <v>1638</v>
      </c>
      <c r="F1657">
        <v>108736847</v>
      </c>
      <c r="G1657">
        <v>78149402</v>
      </c>
      <c r="H1657">
        <v>77425977</v>
      </c>
      <c r="I1657">
        <v>64616043</v>
      </c>
      <c r="J1657">
        <v>42454032</v>
      </c>
      <c r="K1657">
        <v>30819393</v>
      </c>
      <c r="P1657">
        <v>68</v>
      </c>
      <c r="Q1657" t="s">
        <v>3630</v>
      </c>
    </row>
    <row r="1658" spans="1:17" x14ac:dyDescent="0.3">
      <c r="A1658" t="s">
        <v>17</v>
      </c>
      <c r="B1658" t="str">
        <f>"605167"</f>
        <v>605167</v>
      </c>
      <c r="C1658" t="s">
        <v>3631</v>
      </c>
      <c r="D1658" t="s">
        <v>2025</v>
      </c>
      <c r="F1658">
        <v>22562555</v>
      </c>
      <c r="G1658">
        <v>16211205</v>
      </c>
      <c r="H1658">
        <v>17532424</v>
      </c>
      <c r="I1658">
        <v>12461392</v>
      </c>
      <c r="J1658">
        <v>8456382</v>
      </c>
      <c r="P1658">
        <v>22</v>
      </c>
      <c r="Q1658" t="s">
        <v>3632</v>
      </c>
    </row>
    <row r="1659" spans="1:17" x14ac:dyDescent="0.3">
      <c r="A1659" t="s">
        <v>17</v>
      </c>
      <c r="B1659" t="str">
        <f>"605168"</f>
        <v>605168</v>
      </c>
      <c r="C1659" t="s">
        <v>3633</v>
      </c>
      <c r="D1659" t="s">
        <v>207</v>
      </c>
      <c r="F1659">
        <v>31012578</v>
      </c>
      <c r="G1659">
        <v>7539755</v>
      </c>
      <c r="H1659">
        <v>2287687</v>
      </c>
      <c r="I1659">
        <v>3513813</v>
      </c>
      <c r="J1659">
        <v>1855832</v>
      </c>
      <c r="P1659">
        <v>317</v>
      </c>
      <c r="Q1659" t="s">
        <v>3634</v>
      </c>
    </row>
    <row r="1660" spans="1:17" x14ac:dyDescent="0.3">
      <c r="A1660" t="s">
        <v>17</v>
      </c>
      <c r="B1660" t="str">
        <f>"605169"</f>
        <v>605169</v>
      </c>
      <c r="C1660" t="s">
        <v>3635</v>
      </c>
      <c r="D1660" t="s">
        <v>749</v>
      </c>
      <c r="F1660">
        <v>0</v>
      </c>
      <c r="G1660">
        <v>0</v>
      </c>
      <c r="P1660">
        <v>62</v>
      </c>
      <c r="Q1660" t="s">
        <v>3636</v>
      </c>
    </row>
    <row r="1661" spans="1:17" x14ac:dyDescent="0.3">
      <c r="A1661" t="s">
        <v>17</v>
      </c>
      <c r="B1661" t="str">
        <f>"605177"</f>
        <v>605177</v>
      </c>
      <c r="C1661" t="s">
        <v>3637</v>
      </c>
      <c r="D1661" t="s">
        <v>496</v>
      </c>
      <c r="F1661">
        <v>37290483</v>
      </c>
      <c r="G1661">
        <v>38414064</v>
      </c>
      <c r="H1661">
        <v>37194040</v>
      </c>
      <c r="I1661">
        <v>32696743</v>
      </c>
      <c r="J1661">
        <v>31051826</v>
      </c>
      <c r="K1661">
        <v>27010200</v>
      </c>
      <c r="P1661">
        <v>38</v>
      </c>
      <c r="Q1661" t="s">
        <v>3638</v>
      </c>
    </row>
    <row r="1662" spans="1:17" x14ac:dyDescent="0.3">
      <c r="A1662" t="s">
        <v>17</v>
      </c>
      <c r="B1662" t="str">
        <f>"605178"</f>
        <v>605178</v>
      </c>
      <c r="C1662" t="s">
        <v>3639</v>
      </c>
      <c r="D1662" t="s">
        <v>450</v>
      </c>
      <c r="F1662">
        <v>42701941</v>
      </c>
      <c r="G1662">
        <v>35282323</v>
      </c>
      <c r="H1662">
        <v>41174658</v>
      </c>
      <c r="I1662">
        <v>47306301</v>
      </c>
      <c r="J1662">
        <v>29341105</v>
      </c>
      <c r="P1662">
        <v>49</v>
      </c>
      <c r="Q1662" t="s">
        <v>3640</v>
      </c>
    </row>
    <row r="1663" spans="1:17" x14ac:dyDescent="0.3">
      <c r="A1663" t="s">
        <v>17</v>
      </c>
      <c r="B1663" t="str">
        <f>"605179"</f>
        <v>605179</v>
      </c>
      <c r="C1663" t="s">
        <v>3641</v>
      </c>
      <c r="D1663" t="s">
        <v>900</v>
      </c>
      <c r="F1663">
        <v>44842555</v>
      </c>
      <c r="G1663">
        <v>41623570</v>
      </c>
      <c r="H1663">
        <v>41203852</v>
      </c>
      <c r="I1663">
        <v>38127587</v>
      </c>
      <c r="J1663">
        <v>37124940</v>
      </c>
      <c r="P1663">
        <v>84</v>
      </c>
      <c r="Q1663" t="s">
        <v>3642</v>
      </c>
    </row>
    <row r="1664" spans="1:17" x14ac:dyDescent="0.3">
      <c r="A1664" t="s">
        <v>17</v>
      </c>
      <c r="B1664" t="str">
        <f>"605180"</f>
        <v>605180</v>
      </c>
      <c r="C1664" t="s">
        <v>3643</v>
      </c>
      <c r="D1664" t="s">
        <v>366</v>
      </c>
      <c r="F1664">
        <v>22186136</v>
      </c>
      <c r="G1664">
        <v>12274291</v>
      </c>
      <c r="H1664">
        <v>10569616</v>
      </c>
      <c r="I1664">
        <v>11427249</v>
      </c>
      <c r="J1664">
        <v>10765683</v>
      </c>
      <c r="P1664">
        <v>40</v>
      </c>
      <c r="Q1664" t="s">
        <v>3644</v>
      </c>
    </row>
    <row r="1665" spans="1:17" x14ac:dyDescent="0.3">
      <c r="A1665" t="s">
        <v>17</v>
      </c>
      <c r="B1665" t="str">
        <f>"605183"</f>
        <v>605183</v>
      </c>
      <c r="C1665" t="s">
        <v>3645</v>
      </c>
      <c r="D1665" t="s">
        <v>3646</v>
      </c>
      <c r="F1665">
        <v>57344153</v>
      </c>
      <c r="G1665">
        <v>32516900</v>
      </c>
      <c r="H1665">
        <v>48721652</v>
      </c>
      <c r="I1665">
        <v>47597079</v>
      </c>
      <c r="J1665">
        <v>42032103</v>
      </c>
      <c r="P1665">
        <v>63</v>
      </c>
      <c r="Q1665" t="s">
        <v>3647</v>
      </c>
    </row>
    <row r="1666" spans="1:17" x14ac:dyDescent="0.3">
      <c r="A1666" t="s">
        <v>17</v>
      </c>
      <c r="B1666" t="str">
        <f>"605186"</f>
        <v>605186</v>
      </c>
      <c r="C1666" t="s">
        <v>3648</v>
      </c>
      <c r="D1666" t="s">
        <v>3477</v>
      </c>
      <c r="F1666">
        <v>23197510</v>
      </c>
      <c r="G1666">
        <v>16344430</v>
      </c>
      <c r="H1666">
        <v>17763678</v>
      </c>
      <c r="I1666">
        <v>12600899</v>
      </c>
      <c r="J1666">
        <v>12210962</v>
      </c>
      <c r="K1666">
        <v>7635656</v>
      </c>
      <c r="P1666">
        <v>47</v>
      </c>
      <c r="Q1666" t="s">
        <v>3649</v>
      </c>
    </row>
    <row r="1667" spans="1:17" x14ac:dyDescent="0.3">
      <c r="A1667" t="s">
        <v>17</v>
      </c>
      <c r="B1667" t="str">
        <f>"605188"</f>
        <v>605188</v>
      </c>
      <c r="C1667" t="s">
        <v>3650</v>
      </c>
      <c r="D1667" t="s">
        <v>798</v>
      </c>
      <c r="F1667">
        <v>0</v>
      </c>
      <c r="G1667">
        <v>0</v>
      </c>
      <c r="H1667">
        <v>0</v>
      </c>
      <c r="I1667">
        <v>0</v>
      </c>
      <c r="J1667">
        <v>0</v>
      </c>
      <c r="P1667">
        <v>43</v>
      </c>
      <c r="Q1667" t="s">
        <v>3651</v>
      </c>
    </row>
    <row r="1668" spans="1:17" x14ac:dyDescent="0.3">
      <c r="A1668" t="s">
        <v>17</v>
      </c>
      <c r="B1668" t="str">
        <f>"605189"</f>
        <v>605189</v>
      </c>
      <c r="C1668" t="s">
        <v>3652</v>
      </c>
      <c r="D1668" t="s">
        <v>817</v>
      </c>
      <c r="F1668">
        <v>70020749</v>
      </c>
      <c r="G1668">
        <v>51441442</v>
      </c>
      <c r="H1668">
        <v>47706900</v>
      </c>
      <c r="I1668">
        <v>47933350</v>
      </c>
      <c r="J1668">
        <v>45299935</v>
      </c>
      <c r="P1668">
        <v>44</v>
      </c>
      <c r="Q1668" t="s">
        <v>3653</v>
      </c>
    </row>
    <row r="1669" spans="1:17" x14ac:dyDescent="0.3">
      <c r="A1669" t="s">
        <v>17</v>
      </c>
      <c r="B1669" t="str">
        <f>"605196"</f>
        <v>605196</v>
      </c>
      <c r="C1669" t="s">
        <v>3654</v>
      </c>
      <c r="D1669" t="s">
        <v>1164</v>
      </c>
      <c r="F1669">
        <v>158121088</v>
      </c>
      <c r="G1669">
        <v>128278567</v>
      </c>
      <c r="H1669">
        <v>106870949</v>
      </c>
      <c r="I1669">
        <v>103219381</v>
      </c>
      <c r="J1669">
        <v>74172800</v>
      </c>
      <c r="P1669">
        <v>27</v>
      </c>
      <c r="Q1669" t="s">
        <v>3655</v>
      </c>
    </row>
    <row r="1670" spans="1:17" x14ac:dyDescent="0.3">
      <c r="A1670" t="s">
        <v>17</v>
      </c>
      <c r="B1670" t="str">
        <f>"605198"</f>
        <v>605198</v>
      </c>
      <c r="C1670" t="s">
        <v>3656</v>
      </c>
      <c r="D1670" t="s">
        <v>574</v>
      </c>
      <c r="F1670">
        <v>12430587</v>
      </c>
      <c r="G1670">
        <v>7907104</v>
      </c>
      <c r="H1670">
        <v>2416545</v>
      </c>
      <c r="I1670">
        <v>2153292</v>
      </c>
      <c r="J1670">
        <v>1855651</v>
      </c>
      <c r="K1670">
        <v>1424942</v>
      </c>
      <c r="P1670">
        <v>47</v>
      </c>
      <c r="Q1670" t="s">
        <v>3657</v>
      </c>
    </row>
    <row r="1671" spans="1:17" x14ac:dyDescent="0.3">
      <c r="A1671" t="s">
        <v>17</v>
      </c>
      <c r="B1671" t="str">
        <f>"605199"</f>
        <v>605199</v>
      </c>
      <c r="C1671" t="s">
        <v>3658</v>
      </c>
      <c r="D1671" t="s">
        <v>188</v>
      </c>
      <c r="F1671">
        <v>100432110</v>
      </c>
      <c r="G1671">
        <v>51662600</v>
      </c>
      <c r="H1671">
        <v>51660938</v>
      </c>
      <c r="I1671">
        <v>43334913</v>
      </c>
      <c r="J1671">
        <v>19622810</v>
      </c>
      <c r="K1671">
        <v>11198428</v>
      </c>
      <c r="P1671">
        <v>136</v>
      </c>
      <c r="Q1671" t="s">
        <v>3659</v>
      </c>
    </row>
    <row r="1672" spans="1:17" x14ac:dyDescent="0.3">
      <c r="A1672" t="s">
        <v>17</v>
      </c>
      <c r="B1672" t="str">
        <f>"605208"</f>
        <v>605208</v>
      </c>
      <c r="C1672" t="s">
        <v>3660</v>
      </c>
      <c r="D1672" t="s">
        <v>504</v>
      </c>
      <c r="F1672">
        <v>48924350</v>
      </c>
      <c r="G1672">
        <v>39615725</v>
      </c>
      <c r="H1672">
        <v>40402635</v>
      </c>
      <c r="I1672">
        <v>38397720</v>
      </c>
      <c r="J1672">
        <v>37166460</v>
      </c>
      <c r="P1672">
        <v>40</v>
      </c>
      <c r="Q1672" t="s">
        <v>3661</v>
      </c>
    </row>
    <row r="1673" spans="1:17" x14ac:dyDescent="0.3">
      <c r="A1673" t="s">
        <v>17</v>
      </c>
      <c r="B1673" t="str">
        <f>"605218"</f>
        <v>605218</v>
      </c>
      <c r="C1673" t="s">
        <v>3662</v>
      </c>
      <c r="D1673" t="s">
        <v>1117</v>
      </c>
      <c r="F1673">
        <v>82131105</v>
      </c>
      <c r="G1673">
        <v>66422135</v>
      </c>
      <c r="H1673">
        <v>68545392</v>
      </c>
      <c r="I1673">
        <v>62753718</v>
      </c>
      <c r="J1673">
        <v>66072686</v>
      </c>
      <c r="K1673">
        <v>59343209</v>
      </c>
      <c r="P1673">
        <v>56</v>
      </c>
      <c r="Q1673" t="s">
        <v>3663</v>
      </c>
    </row>
    <row r="1674" spans="1:17" x14ac:dyDescent="0.3">
      <c r="A1674" t="s">
        <v>17</v>
      </c>
      <c r="B1674" t="str">
        <f>"605222"</f>
        <v>605222</v>
      </c>
      <c r="C1674" t="s">
        <v>3664</v>
      </c>
      <c r="D1674" t="s">
        <v>1164</v>
      </c>
      <c r="F1674">
        <v>53456414</v>
      </c>
      <c r="G1674">
        <v>36193634</v>
      </c>
      <c r="H1674">
        <v>19181946</v>
      </c>
      <c r="I1674">
        <v>12129067</v>
      </c>
      <c r="J1674">
        <v>6553333</v>
      </c>
      <c r="P1674">
        <v>110</v>
      </c>
      <c r="Q1674" t="s">
        <v>3665</v>
      </c>
    </row>
    <row r="1675" spans="1:17" x14ac:dyDescent="0.3">
      <c r="A1675" t="s">
        <v>17</v>
      </c>
      <c r="B1675" t="str">
        <f>"605228"</f>
        <v>605228</v>
      </c>
      <c r="C1675" t="s">
        <v>3666</v>
      </c>
      <c r="D1675" t="s">
        <v>191</v>
      </c>
      <c r="F1675">
        <v>65009148</v>
      </c>
      <c r="G1675">
        <v>55011745</v>
      </c>
      <c r="H1675">
        <v>70302974</v>
      </c>
      <c r="I1675">
        <v>63281301</v>
      </c>
      <c r="J1675">
        <v>49357270</v>
      </c>
      <c r="P1675">
        <v>30</v>
      </c>
      <c r="Q1675" t="s">
        <v>3667</v>
      </c>
    </row>
    <row r="1676" spans="1:17" x14ac:dyDescent="0.3">
      <c r="A1676" t="s">
        <v>17</v>
      </c>
      <c r="B1676" t="str">
        <f>"605255"</f>
        <v>605255</v>
      </c>
      <c r="C1676" t="s">
        <v>3668</v>
      </c>
      <c r="D1676" t="s">
        <v>348</v>
      </c>
      <c r="F1676">
        <v>26569270</v>
      </c>
      <c r="G1676">
        <v>21965780</v>
      </c>
      <c r="H1676">
        <v>17816051</v>
      </c>
      <c r="I1676">
        <v>15556060</v>
      </c>
      <c r="J1676">
        <v>18023739</v>
      </c>
      <c r="P1676">
        <v>51</v>
      </c>
      <c r="Q1676" t="s">
        <v>3669</v>
      </c>
    </row>
    <row r="1677" spans="1:17" x14ac:dyDescent="0.3">
      <c r="A1677" t="s">
        <v>17</v>
      </c>
      <c r="B1677" t="str">
        <f>"605258"</f>
        <v>605258</v>
      </c>
      <c r="C1677" t="s">
        <v>3670</v>
      </c>
      <c r="D1677" t="s">
        <v>425</v>
      </c>
      <c r="F1677">
        <v>33710019</v>
      </c>
      <c r="G1677">
        <v>28943754</v>
      </c>
      <c r="H1677">
        <v>27070655</v>
      </c>
      <c r="I1677">
        <v>22652847</v>
      </c>
      <c r="J1677">
        <v>17128026</v>
      </c>
      <c r="K1677">
        <v>7761098</v>
      </c>
      <c r="P1677">
        <v>51</v>
      </c>
      <c r="Q1677" t="s">
        <v>3671</v>
      </c>
    </row>
    <row r="1678" spans="1:17" x14ac:dyDescent="0.3">
      <c r="A1678" t="s">
        <v>17</v>
      </c>
      <c r="B1678" t="str">
        <f>"605259"</f>
        <v>605259</v>
      </c>
      <c r="C1678" t="s">
        <v>3672</v>
      </c>
      <c r="D1678" t="s">
        <v>741</v>
      </c>
      <c r="F1678">
        <v>56249385</v>
      </c>
      <c r="G1678">
        <v>40147130</v>
      </c>
      <c r="H1678">
        <v>35582354</v>
      </c>
      <c r="I1678">
        <v>26873085</v>
      </c>
      <c r="J1678">
        <v>25098882</v>
      </c>
      <c r="P1678">
        <v>17</v>
      </c>
      <c r="Q1678" t="s">
        <v>3673</v>
      </c>
    </row>
    <row r="1679" spans="1:17" x14ac:dyDescent="0.3">
      <c r="A1679" t="s">
        <v>17</v>
      </c>
      <c r="B1679" t="str">
        <f>"605266"</f>
        <v>605266</v>
      </c>
      <c r="C1679" t="s">
        <v>3674</v>
      </c>
      <c r="D1679" t="s">
        <v>1686</v>
      </c>
      <c r="F1679">
        <v>0</v>
      </c>
      <c r="G1679">
        <v>0</v>
      </c>
      <c r="H1679">
        <v>0</v>
      </c>
      <c r="I1679">
        <v>0</v>
      </c>
      <c r="J1679">
        <v>0</v>
      </c>
      <c r="P1679">
        <v>105</v>
      </c>
      <c r="Q1679" t="s">
        <v>3675</v>
      </c>
    </row>
    <row r="1680" spans="1:17" x14ac:dyDescent="0.3">
      <c r="A1680" t="s">
        <v>17</v>
      </c>
      <c r="B1680" t="str">
        <f>"605268"</f>
        <v>605268</v>
      </c>
      <c r="C1680" t="s">
        <v>3676</v>
      </c>
      <c r="D1680" t="s">
        <v>2664</v>
      </c>
      <c r="F1680">
        <v>58392225</v>
      </c>
      <c r="G1680">
        <v>54597766</v>
      </c>
      <c r="H1680">
        <v>43040554</v>
      </c>
      <c r="I1680">
        <v>36044840</v>
      </c>
      <c r="J1680">
        <v>52412279</v>
      </c>
      <c r="K1680">
        <v>25149600</v>
      </c>
      <c r="P1680">
        <v>60</v>
      </c>
      <c r="Q1680" t="s">
        <v>3677</v>
      </c>
    </row>
    <row r="1681" spans="1:17" x14ac:dyDescent="0.3">
      <c r="A1681" t="s">
        <v>17</v>
      </c>
      <c r="B1681" t="str">
        <f>"605277"</f>
        <v>605277</v>
      </c>
      <c r="C1681" t="s">
        <v>3678</v>
      </c>
      <c r="D1681" t="s">
        <v>313</v>
      </c>
      <c r="F1681">
        <v>41261218</v>
      </c>
      <c r="G1681">
        <v>19094282</v>
      </c>
      <c r="H1681">
        <v>12504956</v>
      </c>
      <c r="I1681">
        <v>11264646</v>
      </c>
      <c r="J1681">
        <v>6727283</v>
      </c>
      <c r="K1681">
        <v>3078898</v>
      </c>
      <c r="P1681">
        <v>68</v>
      </c>
      <c r="Q1681" t="s">
        <v>3679</v>
      </c>
    </row>
    <row r="1682" spans="1:17" x14ac:dyDescent="0.3">
      <c r="A1682" t="s">
        <v>17</v>
      </c>
      <c r="B1682" t="str">
        <f>"605286"</f>
        <v>605286</v>
      </c>
      <c r="C1682" t="s">
        <v>3680</v>
      </c>
      <c r="D1682" t="s">
        <v>1691</v>
      </c>
      <c r="F1682">
        <v>69764094</v>
      </c>
      <c r="G1682">
        <v>48264306</v>
      </c>
      <c r="H1682">
        <v>44863262</v>
      </c>
      <c r="I1682">
        <v>39041993</v>
      </c>
      <c r="J1682">
        <v>34414596</v>
      </c>
      <c r="P1682">
        <v>27</v>
      </c>
      <c r="Q1682" t="s">
        <v>3681</v>
      </c>
    </row>
    <row r="1683" spans="1:17" x14ac:dyDescent="0.3">
      <c r="A1683" t="s">
        <v>17</v>
      </c>
      <c r="B1683" t="str">
        <f>"605287"</f>
        <v>605287</v>
      </c>
      <c r="C1683" t="s">
        <v>3682</v>
      </c>
      <c r="D1683" t="s">
        <v>450</v>
      </c>
      <c r="F1683">
        <v>156662041</v>
      </c>
      <c r="G1683">
        <v>90899768</v>
      </c>
      <c r="H1683">
        <v>80672644</v>
      </c>
      <c r="I1683">
        <v>52479703</v>
      </c>
      <c r="J1683">
        <v>33679607</v>
      </c>
      <c r="P1683">
        <v>21</v>
      </c>
      <c r="Q1683" t="s">
        <v>3683</v>
      </c>
    </row>
    <row r="1684" spans="1:17" x14ac:dyDescent="0.3">
      <c r="A1684" t="s">
        <v>17</v>
      </c>
      <c r="B1684" t="str">
        <f>"605288"</f>
        <v>605288</v>
      </c>
      <c r="C1684" t="s">
        <v>3684</v>
      </c>
      <c r="D1684" t="s">
        <v>2432</v>
      </c>
      <c r="F1684">
        <v>70136582</v>
      </c>
      <c r="G1684">
        <v>55495935</v>
      </c>
      <c r="H1684">
        <v>61849822</v>
      </c>
      <c r="I1684">
        <v>47422098</v>
      </c>
      <c r="J1684">
        <v>29790071</v>
      </c>
      <c r="P1684">
        <v>86</v>
      </c>
      <c r="Q1684" t="s">
        <v>3685</v>
      </c>
    </row>
    <row r="1685" spans="1:17" x14ac:dyDescent="0.3">
      <c r="A1685" t="s">
        <v>17</v>
      </c>
      <c r="B1685" t="str">
        <f>"605289"</f>
        <v>605289</v>
      </c>
      <c r="C1685" t="s">
        <v>3686</v>
      </c>
      <c r="D1685" t="s">
        <v>1992</v>
      </c>
      <c r="F1685">
        <v>26284027</v>
      </c>
      <c r="G1685">
        <v>20736244</v>
      </c>
      <c r="H1685">
        <v>27593036</v>
      </c>
      <c r="I1685">
        <v>21652342</v>
      </c>
      <c r="J1685">
        <v>17295089</v>
      </c>
      <c r="K1685">
        <v>5360119</v>
      </c>
      <c r="P1685">
        <v>29</v>
      </c>
      <c r="Q1685" t="s">
        <v>3687</v>
      </c>
    </row>
    <row r="1686" spans="1:17" x14ac:dyDescent="0.3">
      <c r="A1686" t="s">
        <v>17</v>
      </c>
      <c r="B1686" t="str">
        <f>"605296"</f>
        <v>605296</v>
      </c>
      <c r="C1686" t="s">
        <v>3688</v>
      </c>
      <c r="D1686" t="s">
        <v>1900</v>
      </c>
      <c r="F1686">
        <v>28302786</v>
      </c>
      <c r="G1686">
        <v>16970843</v>
      </c>
      <c r="H1686">
        <v>11433394</v>
      </c>
      <c r="I1686">
        <v>7855736</v>
      </c>
      <c r="J1686">
        <v>5042235</v>
      </c>
      <c r="P1686">
        <v>59</v>
      </c>
      <c r="Q1686" t="s">
        <v>3689</v>
      </c>
    </row>
    <row r="1687" spans="1:17" x14ac:dyDescent="0.3">
      <c r="A1687" t="s">
        <v>17</v>
      </c>
      <c r="B1687" t="str">
        <f>"605298"</f>
        <v>605298</v>
      </c>
      <c r="C1687" t="s">
        <v>3690</v>
      </c>
      <c r="D1687" t="s">
        <v>1012</v>
      </c>
      <c r="F1687">
        <v>22902719</v>
      </c>
      <c r="G1687">
        <v>19502501</v>
      </c>
      <c r="H1687">
        <v>21071751</v>
      </c>
      <c r="I1687">
        <v>14346225</v>
      </c>
      <c r="J1687">
        <v>11281095</v>
      </c>
      <c r="P1687">
        <v>46</v>
      </c>
      <c r="Q1687" t="s">
        <v>3691</v>
      </c>
    </row>
    <row r="1688" spans="1:17" x14ac:dyDescent="0.3">
      <c r="A1688" t="s">
        <v>17</v>
      </c>
      <c r="B1688" t="str">
        <f>"605299"</f>
        <v>605299</v>
      </c>
      <c r="C1688" t="s">
        <v>3692</v>
      </c>
      <c r="D1688" t="s">
        <v>2931</v>
      </c>
      <c r="F1688">
        <v>34644861</v>
      </c>
      <c r="G1688">
        <v>32902051</v>
      </c>
      <c r="H1688">
        <v>28713297</v>
      </c>
      <c r="I1688">
        <v>21123369</v>
      </c>
      <c r="J1688">
        <v>14434713</v>
      </c>
      <c r="K1688">
        <v>7226357</v>
      </c>
      <c r="P1688">
        <v>58</v>
      </c>
      <c r="Q1688" t="s">
        <v>3693</v>
      </c>
    </row>
    <row r="1689" spans="1:17" x14ac:dyDescent="0.3">
      <c r="A1689" t="s">
        <v>17</v>
      </c>
      <c r="B1689" t="str">
        <f>"605300"</f>
        <v>605300</v>
      </c>
      <c r="C1689" t="s">
        <v>3694</v>
      </c>
      <c r="D1689" t="s">
        <v>900</v>
      </c>
      <c r="F1689">
        <v>25214752</v>
      </c>
      <c r="G1689">
        <v>17497921</v>
      </c>
      <c r="H1689">
        <v>12568253</v>
      </c>
      <c r="I1689">
        <v>8707526</v>
      </c>
      <c r="J1689">
        <v>3043623</v>
      </c>
      <c r="P1689">
        <v>56</v>
      </c>
      <c r="Q1689" t="s">
        <v>3695</v>
      </c>
    </row>
    <row r="1690" spans="1:17" x14ac:dyDescent="0.3">
      <c r="A1690" t="s">
        <v>17</v>
      </c>
      <c r="B1690" t="str">
        <f>"605303"</f>
        <v>605303</v>
      </c>
      <c r="C1690" t="s">
        <v>3696</v>
      </c>
      <c r="D1690" t="s">
        <v>2417</v>
      </c>
      <c r="F1690">
        <v>33675904</v>
      </c>
      <c r="G1690">
        <v>43971984</v>
      </c>
      <c r="H1690">
        <v>48626511</v>
      </c>
      <c r="I1690">
        <v>46752641</v>
      </c>
      <c r="J1690">
        <v>42788038</v>
      </c>
      <c r="P1690">
        <v>28</v>
      </c>
      <c r="Q1690" t="s">
        <v>3697</v>
      </c>
    </row>
    <row r="1691" spans="1:17" x14ac:dyDescent="0.3">
      <c r="A1691" t="s">
        <v>17</v>
      </c>
      <c r="B1691" t="str">
        <f>"605305"</f>
        <v>605305</v>
      </c>
      <c r="C1691" t="s">
        <v>3698</v>
      </c>
      <c r="D1691" t="s">
        <v>83</v>
      </c>
      <c r="F1691">
        <v>56645131</v>
      </c>
      <c r="G1691">
        <v>33549062</v>
      </c>
      <c r="H1691">
        <v>26647184</v>
      </c>
      <c r="I1691">
        <v>17351353</v>
      </c>
      <c r="J1691">
        <v>17145570</v>
      </c>
      <c r="P1691">
        <v>81</v>
      </c>
      <c r="Q1691" t="s">
        <v>3699</v>
      </c>
    </row>
    <row r="1692" spans="1:17" x14ac:dyDescent="0.3">
      <c r="A1692" t="s">
        <v>17</v>
      </c>
      <c r="B1692" t="str">
        <f>"605318"</f>
        <v>605318</v>
      </c>
      <c r="C1692" t="s">
        <v>3700</v>
      </c>
      <c r="D1692" t="s">
        <v>722</v>
      </c>
      <c r="F1692">
        <v>26558383</v>
      </c>
      <c r="G1692">
        <v>18036279</v>
      </c>
      <c r="H1692">
        <v>16511516</v>
      </c>
      <c r="I1692">
        <v>20241113</v>
      </c>
      <c r="J1692">
        <v>21650968</v>
      </c>
      <c r="P1692">
        <v>58</v>
      </c>
      <c r="Q1692" t="s">
        <v>3701</v>
      </c>
    </row>
    <row r="1693" spans="1:17" x14ac:dyDescent="0.3">
      <c r="A1693" t="s">
        <v>17</v>
      </c>
      <c r="B1693" t="str">
        <f>"605319"</f>
        <v>605319</v>
      </c>
      <c r="C1693" t="s">
        <v>3702</v>
      </c>
      <c r="D1693" t="s">
        <v>985</v>
      </c>
      <c r="F1693">
        <v>49763559</v>
      </c>
      <c r="G1693">
        <v>47886444</v>
      </c>
      <c r="H1693">
        <v>52806710</v>
      </c>
      <c r="I1693">
        <v>55945063</v>
      </c>
      <c r="J1693">
        <v>53109000</v>
      </c>
      <c r="P1693">
        <v>22</v>
      </c>
      <c r="Q1693" t="s">
        <v>3703</v>
      </c>
    </row>
    <row r="1694" spans="1:17" x14ac:dyDescent="0.3">
      <c r="A1694" t="s">
        <v>17</v>
      </c>
      <c r="B1694" t="str">
        <f>"605333"</f>
        <v>605333</v>
      </c>
      <c r="C1694" t="s">
        <v>3704</v>
      </c>
      <c r="D1694" t="s">
        <v>1415</v>
      </c>
      <c r="F1694">
        <v>122743184</v>
      </c>
      <c r="G1694">
        <v>79577919</v>
      </c>
      <c r="H1694">
        <v>74658833</v>
      </c>
      <c r="I1694">
        <v>61278324</v>
      </c>
      <c r="J1694">
        <v>52321329</v>
      </c>
      <c r="P1694">
        <v>85</v>
      </c>
      <c r="Q1694" t="s">
        <v>3705</v>
      </c>
    </row>
    <row r="1695" spans="1:17" x14ac:dyDescent="0.3">
      <c r="A1695" t="s">
        <v>17</v>
      </c>
      <c r="B1695" t="str">
        <f>"605336"</f>
        <v>605336</v>
      </c>
      <c r="C1695" t="s">
        <v>3706</v>
      </c>
      <c r="D1695" t="s">
        <v>3707</v>
      </c>
      <c r="F1695">
        <v>40756821</v>
      </c>
      <c r="G1695">
        <v>26557625</v>
      </c>
      <c r="H1695">
        <v>28165665</v>
      </c>
      <c r="I1695">
        <v>23612206</v>
      </c>
      <c r="J1695">
        <v>23420106</v>
      </c>
      <c r="K1695">
        <v>16915491</v>
      </c>
      <c r="P1695">
        <v>141</v>
      </c>
      <c r="Q1695" t="s">
        <v>3708</v>
      </c>
    </row>
    <row r="1696" spans="1:17" x14ac:dyDescent="0.3">
      <c r="A1696" t="s">
        <v>17</v>
      </c>
      <c r="B1696" t="str">
        <f>"605337"</f>
        <v>605337</v>
      </c>
      <c r="C1696" t="s">
        <v>3709</v>
      </c>
      <c r="D1696" t="s">
        <v>440</v>
      </c>
      <c r="F1696">
        <v>14154025</v>
      </c>
      <c r="G1696">
        <v>9415392</v>
      </c>
      <c r="H1696">
        <v>9475868</v>
      </c>
      <c r="I1696">
        <v>9618423</v>
      </c>
      <c r="J1696">
        <v>4087757</v>
      </c>
      <c r="K1696">
        <v>3448615</v>
      </c>
      <c r="P1696">
        <v>146</v>
      </c>
      <c r="Q1696" t="s">
        <v>3710</v>
      </c>
    </row>
    <row r="1697" spans="1:17" x14ac:dyDescent="0.3">
      <c r="A1697" t="s">
        <v>17</v>
      </c>
      <c r="B1697" t="str">
        <f>"605338"</f>
        <v>605338</v>
      </c>
      <c r="C1697" t="s">
        <v>3711</v>
      </c>
      <c r="D1697" t="s">
        <v>2865</v>
      </c>
      <c r="F1697">
        <v>5960107</v>
      </c>
      <c r="G1697">
        <v>4319309</v>
      </c>
      <c r="H1697">
        <v>4964919</v>
      </c>
      <c r="I1697">
        <v>4459717</v>
      </c>
      <c r="J1697">
        <v>3794753</v>
      </c>
      <c r="K1697">
        <v>2771719</v>
      </c>
      <c r="P1697">
        <v>200</v>
      </c>
      <c r="Q1697" t="s">
        <v>3712</v>
      </c>
    </row>
    <row r="1698" spans="1:17" x14ac:dyDescent="0.3">
      <c r="A1698" t="s">
        <v>17</v>
      </c>
      <c r="B1698" t="str">
        <f>"605339"</f>
        <v>605339</v>
      </c>
      <c r="C1698" t="s">
        <v>3713</v>
      </c>
      <c r="D1698" t="s">
        <v>2488</v>
      </c>
      <c r="F1698">
        <v>79510070</v>
      </c>
      <c r="G1698">
        <v>86458491</v>
      </c>
      <c r="H1698">
        <v>75793048</v>
      </c>
      <c r="I1698">
        <v>49741426</v>
      </c>
      <c r="J1698">
        <v>49278812</v>
      </c>
      <c r="K1698">
        <v>44298437</v>
      </c>
      <c r="L1698">
        <v>37583772</v>
      </c>
      <c r="P1698">
        <v>66</v>
      </c>
      <c r="Q1698" t="s">
        <v>3714</v>
      </c>
    </row>
    <row r="1699" spans="1:17" x14ac:dyDescent="0.3">
      <c r="A1699" t="s">
        <v>17</v>
      </c>
      <c r="B1699" t="str">
        <f>"605358"</f>
        <v>605358</v>
      </c>
      <c r="C1699" t="s">
        <v>3715</v>
      </c>
      <c r="D1699" t="s">
        <v>475</v>
      </c>
      <c r="F1699">
        <v>229062268</v>
      </c>
      <c r="G1699">
        <v>112262904</v>
      </c>
      <c r="H1699">
        <v>96993242</v>
      </c>
      <c r="I1699">
        <v>86613171</v>
      </c>
      <c r="J1699">
        <v>52441505</v>
      </c>
      <c r="P1699">
        <v>289</v>
      </c>
      <c r="Q1699" t="s">
        <v>3716</v>
      </c>
    </row>
    <row r="1700" spans="1:17" x14ac:dyDescent="0.3">
      <c r="A1700" t="s">
        <v>17</v>
      </c>
      <c r="B1700" t="str">
        <f>"605365"</f>
        <v>605365</v>
      </c>
      <c r="C1700" t="s">
        <v>3717</v>
      </c>
      <c r="D1700" t="s">
        <v>598</v>
      </c>
      <c r="F1700">
        <v>426206964</v>
      </c>
      <c r="G1700">
        <v>409321512</v>
      </c>
      <c r="H1700">
        <v>350239412</v>
      </c>
      <c r="I1700">
        <v>240580940</v>
      </c>
      <c r="J1700">
        <v>239242796</v>
      </c>
      <c r="P1700">
        <v>28</v>
      </c>
      <c r="Q1700" t="s">
        <v>3718</v>
      </c>
    </row>
    <row r="1701" spans="1:17" x14ac:dyDescent="0.3">
      <c r="A1701" t="s">
        <v>17</v>
      </c>
      <c r="B1701" t="str">
        <f>"605366"</f>
        <v>605366</v>
      </c>
      <c r="C1701" t="s">
        <v>3719</v>
      </c>
      <c r="D1701" t="s">
        <v>386</v>
      </c>
      <c r="F1701">
        <v>44019669</v>
      </c>
      <c r="G1701">
        <v>25368511</v>
      </c>
      <c r="H1701">
        <v>35066686</v>
      </c>
      <c r="I1701">
        <v>34673608</v>
      </c>
      <c r="J1701">
        <v>21517976</v>
      </c>
      <c r="P1701">
        <v>59</v>
      </c>
      <c r="Q1701" t="s">
        <v>3720</v>
      </c>
    </row>
    <row r="1702" spans="1:17" x14ac:dyDescent="0.3">
      <c r="A1702" t="s">
        <v>17</v>
      </c>
      <c r="B1702" t="str">
        <f>"605368"</f>
        <v>605368</v>
      </c>
      <c r="C1702" t="s">
        <v>3721</v>
      </c>
      <c r="D1702" t="s">
        <v>749</v>
      </c>
      <c r="F1702">
        <v>0</v>
      </c>
      <c r="G1702">
        <v>0</v>
      </c>
      <c r="H1702">
        <v>0</v>
      </c>
      <c r="I1702">
        <v>0</v>
      </c>
      <c r="J1702">
        <v>0</v>
      </c>
      <c r="P1702">
        <v>60</v>
      </c>
      <c r="Q1702" t="s">
        <v>3722</v>
      </c>
    </row>
    <row r="1703" spans="1:17" x14ac:dyDescent="0.3">
      <c r="A1703" t="s">
        <v>17</v>
      </c>
      <c r="B1703" t="str">
        <f>"605369"</f>
        <v>605369</v>
      </c>
      <c r="C1703" t="s">
        <v>3723</v>
      </c>
      <c r="D1703" t="s">
        <v>1077</v>
      </c>
      <c r="F1703">
        <v>58290557</v>
      </c>
      <c r="G1703">
        <v>36980571</v>
      </c>
      <c r="H1703">
        <v>22334525</v>
      </c>
      <c r="I1703">
        <v>18862494</v>
      </c>
      <c r="J1703">
        <v>16791607</v>
      </c>
      <c r="P1703">
        <v>177</v>
      </c>
      <c r="Q1703" t="s">
        <v>3724</v>
      </c>
    </row>
    <row r="1704" spans="1:17" x14ac:dyDescent="0.3">
      <c r="A1704" t="s">
        <v>17</v>
      </c>
      <c r="B1704" t="str">
        <f>"605376"</f>
        <v>605376</v>
      </c>
      <c r="C1704" t="s">
        <v>3725</v>
      </c>
      <c r="D1704" t="s">
        <v>636</v>
      </c>
      <c r="F1704">
        <v>44419041</v>
      </c>
      <c r="G1704">
        <v>24180961</v>
      </c>
      <c r="H1704">
        <v>17600609</v>
      </c>
      <c r="I1704">
        <v>20298300</v>
      </c>
      <c r="J1704">
        <v>11977396</v>
      </c>
      <c r="K1704">
        <v>10291600</v>
      </c>
      <c r="P1704">
        <v>112</v>
      </c>
      <c r="Q1704" t="s">
        <v>3726</v>
      </c>
    </row>
    <row r="1705" spans="1:17" x14ac:dyDescent="0.3">
      <c r="A1705" t="s">
        <v>17</v>
      </c>
      <c r="B1705" t="str">
        <f>"605377"</f>
        <v>605377</v>
      </c>
      <c r="C1705" t="s">
        <v>3727</v>
      </c>
      <c r="D1705" t="s">
        <v>244</v>
      </c>
      <c r="F1705">
        <v>88396586</v>
      </c>
      <c r="G1705">
        <v>54084914</v>
      </c>
      <c r="H1705">
        <v>48481300</v>
      </c>
      <c r="I1705">
        <v>49248031</v>
      </c>
      <c r="J1705">
        <v>52946921</v>
      </c>
      <c r="K1705">
        <v>37806045</v>
      </c>
      <c r="P1705">
        <v>59</v>
      </c>
      <c r="Q1705" t="s">
        <v>3728</v>
      </c>
    </row>
    <row r="1706" spans="1:17" x14ac:dyDescent="0.3">
      <c r="A1706" t="s">
        <v>17</v>
      </c>
      <c r="B1706" t="str">
        <f>"605378"</f>
        <v>605378</v>
      </c>
      <c r="C1706" t="s">
        <v>3729</v>
      </c>
      <c r="D1706" t="s">
        <v>555</v>
      </c>
      <c r="F1706">
        <v>35249446</v>
      </c>
      <c r="G1706">
        <v>31844929</v>
      </c>
      <c r="H1706">
        <v>28823395</v>
      </c>
      <c r="I1706">
        <v>27587346</v>
      </c>
      <c r="J1706">
        <v>25704973</v>
      </c>
      <c r="P1706">
        <v>32</v>
      </c>
      <c r="Q1706" t="s">
        <v>3730</v>
      </c>
    </row>
    <row r="1707" spans="1:17" x14ac:dyDescent="0.3">
      <c r="A1707" t="s">
        <v>17</v>
      </c>
      <c r="B1707" t="str">
        <f>"605388"</f>
        <v>605388</v>
      </c>
      <c r="C1707" t="s">
        <v>3731</v>
      </c>
      <c r="D1707" t="s">
        <v>900</v>
      </c>
      <c r="F1707">
        <v>12643329</v>
      </c>
      <c r="G1707">
        <v>2005937</v>
      </c>
      <c r="H1707">
        <v>2215070</v>
      </c>
      <c r="I1707">
        <v>1507402</v>
      </c>
      <c r="J1707">
        <v>1165927</v>
      </c>
      <c r="P1707">
        <v>103</v>
      </c>
      <c r="Q1707" t="s">
        <v>3732</v>
      </c>
    </row>
    <row r="1708" spans="1:17" x14ac:dyDescent="0.3">
      <c r="A1708" t="s">
        <v>17</v>
      </c>
      <c r="B1708" t="str">
        <f>"605389"</f>
        <v>605389</v>
      </c>
      <c r="C1708" t="s">
        <v>3733</v>
      </c>
      <c r="D1708" t="s">
        <v>2007</v>
      </c>
      <c r="F1708">
        <v>37401166</v>
      </c>
      <c r="G1708">
        <v>31357822</v>
      </c>
      <c r="H1708">
        <v>21333174</v>
      </c>
      <c r="I1708">
        <v>19669128</v>
      </c>
      <c r="J1708">
        <v>10294348</v>
      </c>
      <c r="P1708">
        <v>64</v>
      </c>
      <c r="Q1708" t="s">
        <v>3734</v>
      </c>
    </row>
    <row r="1709" spans="1:17" x14ac:dyDescent="0.3">
      <c r="A1709" t="s">
        <v>17</v>
      </c>
      <c r="B1709" t="str">
        <f>"605398"</f>
        <v>605398</v>
      </c>
      <c r="C1709" t="s">
        <v>3735</v>
      </c>
      <c r="D1709" t="s">
        <v>316</v>
      </c>
      <c r="F1709">
        <v>86969232</v>
      </c>
      <c r="G1709">
        <v>54340008</v>
      </c>
      <c r="H1709">
        <v>47606309</v>
      </c>
      <c r="I1709">
        <v>41531118</v>
      </c>
      <c r="J1709">
        <v>37595383</v>
      </c>
      <c r="K1709">
        <v>26008338</v>
      </c>
      <c r="P1709">
        <v>39</v>
      </c>
      <c r="Q1709" t="s">
        <v>3736</v>
      </c>
    </row>
    <row r="1710" spans="1:17" x14ac:dyDescent="0.3">
      <c r="A1710" t="s">
        <v>17</v>
      </c>
      <c r="B1710" t="str">
        <f>"605399"</f>
        <v>605399</v>
      </c>
      <c r="C1710" t="s">
        <v>3737</v>
      </c>
      <c r="D1710" t="s">
        <v>1205</v>
      </c>
      <c r="F1710">
        <v>55062005</v>
      </c>
      <c r="G1710">
        <v>28212771</v>
      </c>
      <c r="H1710">
        <v>26666934</v>
      </c>
      <c r="I1710">
        <v>20077344</v>
      </c>
      <c r="J1710">
        <v>12046739</v>
      </c>
      <c r="P1710">
        <v>128</v>
      </c>
      <c r="Q1710" t="s">
        <v>3738</v>
      </c>
    </row>
    <row r="1711" spans="1:17" x14ac:dyDescent="0.3">
      <c r="A1711" t="s">
        <v>17</v>
      </c>
      <c r="B1711" t="str">
        <f>"605488"</f>
        <v>605488</v>
      </c>
      <c r="C1711" t="s">
        <v>3739</v>
      </c>
      <c r="D1711" t="s">
        <v>1192</v>
      </c>
      <c r="F1711">
        <v>59978454</v>
      </c>
      <c r="G1711">
        <v>43228485</v>
      </c>
      <c r="H1711">
        <v>44802561</v>
      </c>
      <c r="I1711">
        <v>44256186</v>
      </c>
      <c r="J1711">
        <v>40109100</v>
      </c>
      <c r="P1711">
        <v>28</v>
      </c>
      <c r="Q1711" t="s">
        <v>3740</v>
      </c>
    </row>
    <row r="1712" spans="1:17" x14ac:dyDescent="0.3">
      <c r="A1712" t="s">
        <v>17</v>
      </c>
      <c r="B1712" t="str">
        <f>"605499"</f>
        <v>605499</v>
      </c>
      <c r="C1712" t="s">
        <v>3741</v>
      </c>
      <c r="D1712" t="s">
        <v>440</v>
      </c>
      <c r="F1712">
        <v>42798955</v>
      </c>
      <c r="G1712">
        <v>35542543</v>
      </c>
      <c r="H1712">
        <v>28030322</v>
      </c>
      <c r="I1712">
        <v>21808199</v>
      </c>
      <c r="J1712">
        <v>21515800</v>
      </c>
      <c r="P1712">
        <v>282</v>
      </c>
      <c r="Q1712" t="s">
        <v>3742</v>
      </c>
    </row>
    <row r="1713" spans="1:17" x14ac:dyDescent="0.3">
      <c r="A1713" t="s">
        <v>17</v>
      </c>
      <c r="B1713" t="str">
        <f>"605500"</f>
        <v>605500</v>
      </c>
      <c r="C1713" t="s">
        <v>3743</v>
      </c>
      <c r="D1713" t="s">
        <v>694</v>
      </c>
      <c r="F1713">
        <v>101406831</v>
      </c>
      <c r="G1713">
        <v>77126163</v>
      </c>
      <c r="H1713">
        <v>75663513</v>
      </c>
      <c r="I1713">
        <v>88220111</v>
      </c>
      <c r="J1713">
        <v>62406247</v>
      </c>
      <c r="P1713">
        <v>37</v>
      </c>
      <c r="Q1713" t="s">
        <v>3744</v>
      </c>
    </row>
    <row r="1714" spans="1:17" x14ac:dyDescent="0.3">
      <c r="A1714" t="s">
        <v>17</v>
      </c>
      <c r="B1714" t="str">
        <f>"605507"</f>
        <v>605507</v>
      </c>
      <c r="C1714" t="s">
        <v>3745</v>
      </c>
      <c r="D1714" t="s">
        <v>496</v>
      </c>
      <c r="F1714">
        <v>155271662</v>
      </c>
      <c r="G1714">
        <v>137186690</v>
      </c>
      <c r="H1714">
        <v>124343766</v>
      </c>
      <c r="I1714">
        <v>103297421</v>
      </c>
      <c r="J1714">
        <v>94727430</v>
      </c>
      <c r="P1714">
        <v>25</v>
      </c>
      <c r="Q1714" t="s">
        <v>3746</v>
      </c>
    </row>
    <row r="1715" spans="1:17" x14ac:dyDescent="0.3">
      <c r="A1715" t="s">
        <v>17</v>
      </c>
      <c r="B1715" t="str">
        <f>"605555"</f>
        <v>605555</v>
      </c>
      <c r="C1715" t="s">
        <v>3747</v>
      </c>
      <c r="D1715" t="s">
        <v>2720</v>
      </c>
      <c r="F1715">
        <v>97655452</v>
      </c>
      <c r="G1715">
        <v>73379031</v>
      </c>
      <c r="H1715">
        <v>41872685</v>
      </c>
      <c r="I1715">
        <v>41109986</v>
      </c>
      <c r="J1715">
        <v>34733968</v>
      </c>
      <c r="P1715">
        <v>34</v>
      </c>
      <c r="Q1715" t="s">
        <v>3748</v>
      </c>
    </row>
    <row r="1716" spans="1:17" x14ac:dyDescent="0.3">
      <c r="A1716" t="s">
        <v>17</v>
      </c>
      <c r="B1716" t="str">
        <f>"605566"</f>
        <v>605566</v>
      </c>
      <c r="C1716" t="s">
        <v>3749</v>
      </c>
      <c r="D1716" t="s">
        <v>779</v>
      </c>
      <c r="F1716">
        <v>42950581</v>
      </c>
      <c r="G1716">
        <v>29359734</v>
      </c>
      <c r="H1716">
        <v>29141693</v>
      </c>
      <c r="I1716">
        <v>25520153</v>
      </c>
      <c r="J1716">
        <v>20783246</v>
      </c>
      <c r="P1716">
        <v>22</v>
      </c>
      <c r="Q1716" t="s">
        <v>3750</v>
      </c>
    </row>
    <row r="1717" spans="1:17" x14ac:dyDescent="0.3">
      <c r="A1717" t="s">
        <v>17</v>
      </c>
      <c r="B1717" t="str">
        <f>"605567"</f>
        <v>605567</v>
      </c>
      <c r="C1717" t="s">
        <v>3751</v>
      </c>
      <c r="D1717" t="s">
        <v>2865</v>
      </c>
      <c r="F1717">
        <v>3779623</v>
      </c>
      <c r="G1717">
        <v>3742879</v>
      </c>
      <c r="H1717">
        <v>3556229</v>
      </c>
      <c r="I1717">
        <v>3784038</v>
      </c>
      <c r="J1717">
        <v>2007966</v>
      </c>
      <c r="P1717">
        <v>32</v>
      </c>
      <c r="Q1717" t="s">
        <v>3752</v>
      </c>
    </row>
    <row r="1718" spans="1:17" x14ac:dyDescent="0.3">
      <c r="A1718" t="s">
        <v>17</v>
      </c>
      <c r="B1718" t="str">
        <f>"605577"</f>
        <v>605577</v>
      </c>
      <c r="C1718" t="s">
        <v>3753</v>
      </c>
      <c r="D1718" t="s">
        <v>1536</v>
      </c>
      <c r="F1718">
        <v>3923214</v>
      </c>
      <c r="G1718">
        <v>8248448</v>
      </c>
      <c r="H1718">
        <v>14324447</v>
      </c>
      <c r="I1718">
        <v>12082391</v>
      </c>
      <c r="J1718">
        <v>7295000</v>
      </c>
      <c r="P1718">
        <v>19</v>
      </c>
      <c r="Q1718" t="s">
        <v>3754</v>
      </c>
    </row>
    <row r="1719" spans="1:17" x14ac:dyDescent="0.3">
      <c r="A1719" t="s">
        <v>17</v>
      </c>
      <c r="B1719" t="str">
        <f>"605580"</f>
        <v>605580</v>
      </c>
      <c r="C1719" t="s">
        <v>3755</v>
      </c>
      <c r="D1719" t="s">
        <v>351</v>
      </c>
      <c r="F1719">
        <v>1228354</v>
      </c>
      <c r="G1719">
        <v>0</v>
      </c>
      <c r="H1719">
        <v>2369701</v>
      </c>
      <c r="I1719">
        <v>2547020</v>
      </c>
      <c r="J1719">
        <v>0</v>
      </c>
      <c r="P1719">
        <v>30</v>
      </c>
      <c r="Q1719" t="s">
        <v>3756</v>
      </c>
    </row>
    <row r="1720" spans="1:17" x14ac:dyDescent="0.3">
      <c r="A1720" t="s">
        <v>17</v>
      </c>
      <c r="B1720" t="str">
        <f>"605588"</f>
        <v>605588</v>
      </c>
      <c r="C1720" t="s">
        <v>3757</v>
      </c>
      <c r="D1720" t="s">
        <v>164</v>
      </c>
      <c r="F1720">
        <v>30556415</v>
      </c>
      <c r="G1720">
        <v>20891366</v>
      </c>
      <c r="H1720">
        <v>20897719</v>
      </c>
      <c r="I1720">
        <v>15352411</v>
      </c>
      <c r="J1720">
        <v>11412662</v>
      </c>
      <c r="P1720">
        <v>16</v>
      </c>
      <c r="Q1720" t="s">
        <v>3758</v>
      </c>
    </row>
    <row r="1721" spans="1:17" x14ac:dyDescent="0.3">
      <c r="A1721" t="s">
        <v>17</v>
      </c>
      <c r="B1721" t="str">
        <f>"605589"</f>
        <v>605589</v>
      </c>
      <c r="C1721" t="s">
        <v>3759</v>
      </c>
      <c r="D1721" t="s">
        <v>3377</v>
      </c>
      <c r="F1721">
        <v>360940439</v>
      </c>
      <c r="G1721">
        <v>341604312</v>
      </c>
      <c r="H1721">
        <v>295116360</v>
      </c>
      <c r="I1721">
        <v>304918001</v>
      </c>
      <c r="J1721">
        <v>234379938</v>
      </c>
      <c r="P1721">
        <v>40</v>
      </c>
      <c r="Q1721" t="s">
        <v>3760</v>
      </c>
    </row>
    <row r="1722" spans="1:17" x14ac:dyDescent="0.3">
      <c r="A1722" t="s">
        <v>17</v>
      </c>
      <c r="B1722" t="str">
        <f>"605598"</f>
        <v>605598</v>
      </c>
      <c r="C1722" t="s">
        <v>3761</v>
      </c>
      <c r="D1722" t="s">
        <v>1992</v>
      </c>
      <c r="F1722">
        <v>11806879</v>
      </c>
      <c r="G1722">
        <v>9687358</v>
      </c>
      <c r="H1722">
        <v>16099246</v>
      </c>
      <c r="I1722">
        <v>12230521</v>
      </c>
      <c r="J1722">
        <v>8909234</v>
      </c>
      <c r="P1722">
        <v>18</v>
      </c>
      <c r="Q1722" t="s">
        <v>3762</v>
      </c>
    </row>
    <row r="1723" spans="1:17" x14ac:dyDescent="0.3">
      <c r="A1723" t="s">
        <v>17</v>
      </c>
      <c r="B1723" t="str">
        <f>"605599"</f>
        <v>605599</v>
      </c>
      <c r="C1723" t="s">
        <v>3763</v>
      </c>
      <c r="D1723" t="s">
        <v>1238</v>
      </c>
      <c r="F1723">
        <v>8526384</v>
      </c>
      <c r="G1723">
        <v>4025168</v>
      </c>
      <c r="H1723">
        <v>3333192</v>
      </c>
      <c r="I1723">
        <v>3402405</v>
      </c>
      <c r="J1723">
        <v>1609846</v>
      </c>
      <c r="P1723">
        <v>21</v>
      </c>
      <c r="Q1723" t="s">
        <v>3764</v>
      </c>
    </row>
    <row r="1724" spans="1:17" x14ac:dyDescent="0.3">
      <c r="A1724" t="s">
        <v>17</v>
      </c>
      <c r="B1724" t="str">
        <f>"688001"</f>
        <v>688001</v>
      </c>
      <c r="C1724" t="s">
        <v>3765</v>
      </c>
      <c r="D1724" t="s">
        <v>2566</v>
      </c>
      <c r="F1724">
        <v>352809398</v>
      </c>
      <c r="G1724">
        <v>252652300</v>
      </c>
      <c r="H1724">
        <v>192963573</v>
      </c>
      <c r="I1724">
        <v>138518319</v>
      </c>
      <c r="J1724">
        <v>93507828</v>
      </c>
      <c r="K1724">
        <v>47719800</v>
      </c>
      <c r="P1724">
        <v>169</v>
      </c>
      <c r="Q1724" t="s">
        <v>3766</v>
      </c>
    </row>
    <row r="1725" spans="1:17" x14ac:dyDescent="0.3">
      <c r="A1725" t="s">
        <v>17</v>
      </c>
      <c r="B1725" t="str">
        <f>"688002"</f>
        <v>688002</v>
      </c>
      <c r="C1725" t="s">
        <v>3767</v>
      </c>
      <c r="D1725" t="s">
        <v>1136</v>
      </c>
      <c r="F1725">
        <v>417770941</v>
      </c>
      <c r="G1725">
        <v>228348107</v>
      </c>
      <c r="H1725">
        <v>111073903</v>
      </c>
      <c r="I1725">
        <v>65081429</v>
      </c>
      <c r="J1725">
        <v>26758911</v>
      </c>
      <c r="K1725">
        <v>17944279</v>
      </c>
      <c r="P1725">
        <v>407</v>
      </c>
      <c r="Q1725" t="s">
        <v>3768</v>
      </c>
    </row>
    <row r="1726" spans="1:17" x14ac:dyDescent="0.3">
      <c r="A1726" t="s">
        <v>17</v>
      </c>
      <c r="B1726" t="str">
        <f>"688003"</f>
        <v>688003</v>
      </c>
      <c r="C1726" t="s">
        <v>3769</v>
      </c>
      <c r="D1726" t="s">
        <v>3477</v>
      </c>
      <c r="F1726">
        <v>217011869</v>
      </c>
      <c r="G1726">
        <v>154590275</v>
      </c>
      <c r="H1726">
        <v>94724317</v>
      </c>
      <c r="I1726">
        <v>79597816</v>
      </c>
      <c r="J1726">
        <v>59562241</v>
      </c>
      <c r="K1726">
        <v>47421600</v>
      </c>
      <c r="P1726">
        <v>141</v>
      </c>
      <c r="Q1726" t="s">
        <v>3770</v>
      </c>
    </row>
    <row r="1727" spans="1:17" x14ac:dyDescent="0.3">
      <c r="A1727" t="s">
        <v>17</v>
      </c>
      <c r="B1727" t="str">
        <f>"688004"</f>
        <v>688004</v>
      </c>
      <c r="C1727" t="s">
        <v>3771</v>
      </c>
      <c r="D1727" t="s">
        <v>316</v>
      </c>
      <c r="F1727">
        <v>47841358</v>
      </c>
      <c r="G1727">
        <v>47324514</v>
      </c>
      <c r="H1727">
        <v>42181902</v>
      </c>
      <c r="I1727">
        <v>39912882</v>
      </c>
      <c r="J1727">
        <v>39343788</v>
      </c>
      <c r="K1727">
        <v>32026356</v>
      </c>
      <c r="P1727">
        <v>37</v>
      </c>
      <c r="Q1727" t="s">
        <v>3772</v>
      </c>
    </row>
    <row r="1728" spans="1:17" x14ac:dyDescent="0.3">
      <c r="A1728" t="s">
        <v>17</v>
      </c>
      <c r="B1728" t="str">
        <f>"688005"</f>
        <v>688005</v>
      </c>
      <c r="C1728" t="s">
        <v>3773</v>
      </c>
      <c r="D1728" t="s">
        <v>1790</v>
      </c>
      <c r="F1728">
        <v>359502631</v>
      </c>
      <c r="G1728">
        <v>146041071</v>
      </c>
      <c r="H1728">
        <v>164962706</v>
      </c>
      <c r="I1728">
        <v>119897789</v>
      </c>
      <c r="J1728">
        <v>76976391</v>
      </c>
      <c r="K1728">
        <v>31796744</v>
      </c>
      <c r="P1728">
        <v>318</v>
      </c>
      <c r="Q1728" t="s">
        <v>3774</v>
      </c>
    </row>
    <row r="1729" spans="1:17" x14ac:dyDescent="0.3">
      <c r="A1729" t="s">
        <v>17</v>
      </c>
      <c r="B1729" t="str">
        <f>"688006"</f>
        <v>688006</v>
      </c>
      <c r="C1729" t="s">
        <v>3775</v>
      </c>
      <c r="D1729" t="s">
        <v>3776</v>
      </c>
      <c r="F1729">
        <v>131272111</v>
      </c>
      <c r="G1729">
        <v>103570514</v>
      </c>
      <c r="H1729">
        <v>74495278</v>
      </c>
      <c r="I1729">
        <v>57453988</v>
      </c>
      <c r="J1729">
        <v>49061397</v>
      </c>
      <c r="K1729">
        <v>26185185</v>
      </c>
      <c r="P1729">
        <v>255</v>
      </c>
      <c r="Q1729" t="s">
        <v>3777</v>
      </c>
    </row>
    <row r="1730" spans="1:17" x14ac:dyDescent="0.3">
      <c r="A1730" t="s">
        <v>17</v>
      </c>
      <c r="B1730" t="str">
        <f>"688007"</f>
        <v>688007</v>
      </c>
      <c r="C1730" t="s">
        <v>3778</v>
      </c>
      <c r="D1730" t="s">
        <v>3526</v>
      </c>
      <c r="F1730">
        <v>236702224</v>
      </c>
      <c r="G1730">
        <v>204443369</v>
      </c>
      <c r="H1730">
        <v>201697766</v>
      </c>
      <c r="I1730">
        <v>135730451</v>
      </c>
      <c r="J1730">
        <v>93301550</v>
      </c>
      <c r="K1730">
        <v>70124833</v>
      </c>
      <c r="P1730">
        <v>123</v>
      </c>
      <c r="Q1730" t="s">
        <v>3779</v>
      </c>
    </row>
    <row r="1731" spans="1:17" x14ac:dyDescent="0.3">
      <c r="A1731" t="s">
        <v>17</v>
      </c>
      <c r="B1731" t="str">
        <f>"688008"</f>
        <v>688008</v>
      </c>
      <c r="C1731" t="s">
        <v>3780</v>
      </c>
      <c r="D1731" t="s">
        <v>461</v>
      </c>
      <c r="F1731">
        <v>369849700</v>
      </c>
      <c r="G1731">
        <v>299881176</v>
      </c>
      <c r="H1731">
        <v>266855162</v>
      </c>
      <c r="I1731">
        <v>276695196</v>
      </c>
      <c r="J1731">
        <v>188269251</v>
      </c>
      <c r="K1731">
        <v>198226870</v>
      </c>
      <c r="P1731">
        <v>522</v>
      </c>
      <c r="Q1731" t="s">
        <v>3781</v>
      </c>
    </row>
    <row r="1732" spans="1:17" x14ac:dyDescent="0.3">
      <c r="A1732" t="s">
        <v>17</v>
      </c>
      <c r="B1732" t="str">
        <f>"688009"</f>
        <v>688009</v>
      </c>
      <c r="C1732" t="s">
        <v>3782</v>
      </c>
      <c r="D1732" t="s">
        <v>1012</v>
      </c>
      <c r="F1732">
        <v>1638494903</v>
      </c>
      <c r="G1732">
        <v>1434273400</v>
      </c>
      <c r="H1732">
        <v>1583455767</v>
      </c>
      <c r="I1732">
        <v>1323503189</v>
      </c>
      <c r="J1732">
        <v>1180165036</v>
      </c>
      <c r="K1732">
        <v>1050429299</v>
      </c>
      <c r="P1732">
        <v>201</v>
      </c>
      <c r="Q1732" t="s">
        <v>3783</v>
      </c>
    </row>
    <row r="1733" spans="1:17" x14ac:dyDescent="0.3">
      <c r="A1733" t="s">
        <v>17</v>
      </c>
      <c r="B1733" t="str">
        <f>"688010"</f>
        <v>688010</v>
      </c>
      <c r="C1733" t="s">
        <v>3784</v>
      </c>
      <c r="D1733" t="s">
        <v>164</v>
      </c>
      <c r="F1733">
        <v>52504093</v>
      </c>
      <c r="G1733">
        <v>48078168</v>
      </c>
      <c r="H1733">
        <v>37538911</v>
      </c>
      <c r="I1733">
        <v>45305140</v>
      </c>
      <c r="J1733">
        <v>29055648</v>
      </c>
      <c r="K1733">
        <v>23157615</v>
      </c>
      <c r="P1733">
        <v>125</v>
      </c>
      <c r="Q1733" t="s">
        <v>3785</v>
      </c>
    </row>
    <row r="1734" spans="1:17" x14ac:dyDescent="0.3">
      <c r="A1734" t="s">
        <v>17</v>
      </c>
      <c r="B1734" t="str">
        <f>"688011"</f>
        <v>688011</v>
      </c>
      <c r="C1734" t="s">
        <v>3786</v>
      </c>
      <c r="D1734" t="s">
        <v>1136</v>
      </c>
      <c r="F1734">
        <v>33815133</v>
      </c>
      <c r="G1734">
        <v>21926979</v>
      </c>
      <c r="H1734">
        <v>25598289</v>
      </c>
      <c r="I1734">
        <v>12253894</v>
      </c>
      <c r="J1734">
        <v>9027869</v>
      </c>
      <c r="K1734">
        <v>12962151</v>
      </c>
      <c r="P1734">
        <v>88</v>
      </c>
      <c r="Q1734" t="s">
        <v>3787</v>
      </c>
    </row>
    <row r="1735" spans="1:17" x14ac:dyDescent="0.3">
      <c r="A1735" t="s">
        <v>17</v>
      </c>
      <c r="B1735" t="str">
        <f>"688012"</f>
        <v>688012</v>
      </c>
      <c r="C1735" t="s">
        <v>3788</v>
      </c>
      <c r="D1735" t="s">
        <v>3187</v>
      </c>
      <c r="F1735">
        <v>397587143</v>
      </c>
      <c r="G1735">
        <v>330721402</v>
      </c>
      <c r="H1735">
        <v>233729648</v>
      </c>
      <c r="I1735">
        <v>118206563</v>
      </c>
      <c r="J1735">
        <v>56736650</v>
      </c>
      <c r="K1735">
        <v>302426585</v>
      </c>
      <c r="P1735">
        <v>620</v>
      </c>
      <c r="Q1735" t="s">
        <v>3789</v>
      </c>
    </row>
    <row r="1736" spans="1:17" x14ac:dyDescent="0.3">
      <c r="A1736" t="s">
        <v>17</v>
      </c>
      <c r="B1736" t="str">
        <f>"688013"</f>
        <v>688013</v>
      </c>
      <c r="C1736" t="s">
        <v>3790</v>
      </c>
      <c r="D1736" t="s">
        <v>1077</v>
      </c>
      <c r="F1736">
        <v>29275445</v>
      </c>
      <c r="G1736">
        <v>15370062</v>
      </c>
      <c r="H1736">
        <v>14103932</v>
      </c>
      <c r="I1736">
        <v>10626074</v>
      </c>
      <c r="J1736">
        <v>8229046</v>
      </c>
      <c r="P1736">
        <v>64</v>
      </c>
      <c r="Q1736" t="s">
        <v>3791</v>
      </c>
    </row>
    <row r="1737" spans="1:17" x14ac:dyDescent="0.3">
      <c r="A1737" t="s">
        <v>17</v>
      </c>
      <c r="B1737" t="str">
        <f>"688015"</f>
        <v>688015</v>
      </c>
      <c r="C1737" t="s">
        <v>3792</v>
      </c>
      <c r="D1737" t="s">
        <v>1012</v>
      </c>
      <c r="F1737">
        <v>271733046</v>
      </c>
      <c r="G1737">
        <v>173254350</v>
      </c>
      <c r="H1737">
        <v>113173882</v>
      </c>
      <c r="I1737">
        <v>77451371</v>
      </c>
      <c r="J1737">
        <v>81553359</v>
      </c>
      <c r="K1737">
        <v>78172866</v>
      </c>
      <c r="P1737">
        <v>280</v>
      </c>
      <c r="Q1737" t="s">
        <v>3793</v>
      </c>
    </row>
    <row r="1738" spans="1:17" x14ac:dyDescent="0.3">
      <c r="A1738" t="s">
        <v>17</v>
      </c>
      <c r="B1738" t="str">
        <f>"688016"</f>
        <v>688016</v>
      </c>
      <c r="C1738" t="s">
        <v>3794</v>
      </c>
      <c r="D1738" t="s">
        <v>1077</v>
      </c>
      <c r="F1738">
        <v>102266057</v>
      </c>
      <c r="G1738">
        <v>73005039</v>
      </c>
      <c r="H1738">
        <v>49638006</v>
      </c>
      <c r="I1738">
        <v>29028643</v>
      </c>
      <c r="J1738">
        <v>20135935</v>
      </c>
      <c r="K1738">
        <v>20075941</v>
      </c>
      <c r="P1738">
        <v>551</v>
      </c>
      <c r="Q1738" t="s">
        <v>3795</v>
      </c>
    </row>
    <row r="1739" spans="1:17" x14ac:dyDescent="0.3">
      <c r="A1739" t="s">
        <v>17</v>
      </c>
      <c r="B1739" t="str">
        <f>"688017"</f>
        <v>688017</v>
      </c>
      <c r="C1739" t="s">
        <v>3796</v>
      </c>
      <c r="D1739" t="s">
        <v>2938</v>
      </c>
      <c r="F1739">
        <v>41160043</v>
      </c>
      <c r="G1739">
        <v>24025548</v>
      </c>
      <c r="H1739">
        <v>24235285</v>
      </c>
      <c r="I1739">
        <v>24996177</v>
      </c>
      <c r="J1739">
        <v>16172457</v>
      </c>
      <c r="P1739">
        <v>152</v>
      </c>
      <c r="Q1739" t="s">
        <v>3797</v>
      </c>
    </row>
    <row r="1740" spans="1:17" x14ac:dyDescent="0.3">
      <c r="A1740" t="s">
        <v>17</v>
      </c>
      <c r="B1740" t="str">
        <f>"688018"</f>
        <v>688018</v>
      </c>
      <c r="C1740" t="s">
        <v>3798</v>
      </c>
      <c r="D1740" t="s">
        <v>461</v>
      </c>
      <c r="F1740">
        <v>271689981</v>
      </c>
      <c r="G1740">
        <v>192792044</v>
      </c>
      <c r="H1740">
        <v>119748689</v>
      </c>
      <c r="I1740">
        <v>74900002</v>
      </c>
      <c r="J1740">
        <v>49383900</v>
      </c>
      <c r="K1740">
        <v>30291474</v>
      </c>
      <c r="P1740">
        <v>317</v>
      </c>
      <c r="Q1740" t="s">
        <v>3799</v>
      </c>
    </row>
    <row r="1741" spans="1:17" x14ac:dyDescent="0.3">
      <c r="A1741" t="s">
        <v>17</v>
      </c>
      <c r="B1741" t="str">
        <f>"688019"</f>
        <v>688019</v>
      </c>
      <c r="C1741" t="s">
        <v>3800</v>
      </c>
      <c r="D1741" t="s">
        <v>2408</v>
      </c>
      <c r="F1741">
        <v>153107848</v>
      </c>
      <c r="G1741">
        <v>88898406</v>
      </c>
      <c r="H1741">
        <v>57536544</v>
      </c>
      <c r="I1741">
        <v>53630494</v>
      </c>
      <c r="J1741">
        <v>50606862</v>
      </c>
      <c r="K1741">
        <v>42880983</v>
      </c>
      <c r="P1741">
        <v>286</v>
      </c>
      <c r="Q1741" t="s">
        <v>3801</v>
      </c>
    </row>
    <row r="1742" spans="1:17" x14ac:dyDescent="0.3">
      <c r="A1742" t="s">
        <v>17</v>
      </c>
      <c r="B1742" t="str">
        <f>"688020"</f>
        <v>688020</v>
      </c>
      <c r="C1742" t="s">
        <v>3802</v>
      </c>
      <c r="D1742" t="s">
        <v>425</v>
      </c>
      <c r="F1742">
        <v>71167956</v>
      </c>
      <c r="G1742">
        <v>45488088</v>
      </c>
      <c r="H1742">
        <v>33931836</v>
      </c>
      <c r="I1742">
        <v>21657835</v>
      </c>
      <c r="J1742">
        <v>19439653</v>
      </c>
      <c r="K1742">
        <v>18437003</v>
      </c>
      <c r="P1742">
        <v>253</v>
      </c>
      <c r="Q1742" t="s">
        <v>3803</v>
      </c>
    </row>
    <row r="1743" spans="1:17" x14ac:dyDescent="0.3">
      <c r="A1743" t="s">
        <v>17</v>
      </c>
      <c r="B1743" t="str">
        <f>"688021"</f>
        <v>688021</v>
      </c>
      <c r="C1743" t="s">
        <v>3804</v>
      </c>
      <c r="D1743" t="s">
        <v>985</v>
      </c>
      <c r="F1743">
        <v>37391719</v>
      </c>
      <c r="G1743">
        <v>35064125</v>
      </c>
      <c r="H1743">
        <v>28986899</v>
      </c>
      <c r="I1743">
        <v>16176497</v>
      </c>
      <c r="J1743">
        <v>11786631</v>
      </c>
      <c r="K1743">
        <v>7508593</v>
      </c>
      <c r="P1743">
        <v>79</v>
      </c>
      <c r="Q1743" t="s">
        <v>3805</v>
      </c>
    </row>
    <row r="1744" spans="1:17" x14ac:dyDescent="0.3">
      <c r="A1744" t="s">
        <v>17</v>
      </c>
      <c r="B1744" t="str">
        <f>"688022"</f>
        <v>688022</v>
      </c>
      <c r="C1744" t="s">
        <v>3806</v>
      </c>
      <c r="D1744" t="s">
        <v>741</v>
      </c>
      <c r="F1744">
        <v>59978786</v>
      </c>
      <c r="G1744">
        <v>43918079</v>
      </c>
      <c r="H1744">
        <v>28886541</v>
      </c>
      <c r="I1744">
        <v>19599626</v>
      </c>
      <c r="J1744">
        <v>12666882</v>
      </c>
      <c r="K1744">
        <v>11425418</v>
      </c>
      <c r="P1744">
        <v>164</v>
      </c>
      <c r="Q1744" t="s">
        <v>3807</v>
      </c>
    </row>
    <row r="1745" spans="1:17" x14ac:dyDescent="0.3">
      <c r="A1745" t="s">
        <v>17</v>
      </c>
      <c r="B1745" t="str">
        <f>"688023"</f>
        <v>688023</v>
      </c>
      <c r="C1745" t="s">
        <v>3808</v>
      </c>
      <c r="D1745" t="s">
        <v>1189</v>
      </c>
      <c r="F1745">
        <v>535598598</v>
      </c>
      <c r="G1745">
        <v>311725029</v>
      </c>
      <c r="H1745">
        <v>204539517</v>
      </c>
      <c r="I1745">
        <v>151951890</v>
      </c>
      <c r="J1745">
        <v>95929355</v>
      </c>
      <c r="K1745">
        <v>65863922</v>
      </c>
      <c r="P1745">
        <v>249</v>
      </c>
      <c r="Q1745" t="s">
        <v>3809</v>
      </c>
    </row>
    <row r="1746" spans="1:17" x14ac:dyDescent="0.3">
      <c r="A1746" t="s">
        <v>17</v>
      </c>
      <c r="B1746" t="str">
        <f>"688025"</f>
        <v>688025</v>
      </c>
      <c r="C1746" t="s">
        <v>3810</v>
      </c>
      <c r="D1746" t="s">
        <v>3811</v>
      </c>
      <c r="F1746">
        <v>143693156</v>
      </c>
      <c r="G1746">
        <v>100520774</v>
      </c>
      <c r="H1746">
        <v>66630270</v>
      </c>
      <c r="I1746">
        <v>53387968</v>
      </c>
      <c r="J1746">
        <v>47094549</v>
      </c>
      <c r="K1746">
        <v>18591263</v>
      </c>
      <c r="P1746">
        <v>158</v>
      </c>
      <c r="Q1746" t="s">
        <v>3812</v>
      </c>
    </row>
    <row r="1747" spans="1:17" x14ac:dyDescent="0.3">
      <c r="A1747" t="s">
        <v>17</v>
      </c>
      <c r="B1747" t="str">
        <f>"688026"</f>
        <v>688026</v>
      </c>
      <c r="C1747" t="s">
        <v>3813</v>
      </c>
      <c r="D1747" t="s">
        <v>1192</v>
      </c>
      <c r="F1747">
        <v>43840335</v>
      </c>
      <c r="G1747">
        <v>23896987</v>
      </c>
      <c r="H1747">
        <v>12562757</v>
      </c>
      <c r="I1747">
        <v>8639962</v>
      </c>
      <c r="J1747">
        <v>7869927</v>
      </c>
      <c r="K1747">
        <v>7622516</v>
      </c>
      <c r="P1747">
        <v>211</v>
      </c>
      <c r="Q1747" t="s">
        <v>3814</v>
      </c>
    </row>
    <row r="1748" spans="1:17" x14ac:dyDescent="0.3">
      <c r="A1748" t="s">
        <v>17</v>
      </c>
      <c r="B1748" t="str">
        <f>"688027"</f>
        <v>688027</v>
      </c>
      <c r="C1748" t="s">
        <v>3815</v>
      </c>
      <c r="D1748" t="s">
        <v>786</v>
      </c>
      <c r="F1748">
        <v>63463957</v>
      </c>
      <c r="G1748">
        <v>45119947</v>
      </c>
      <c r="H1748">
        <v>60708482</v>
      </c>
      <c r="I1748">
        <v>74946093</v>
      </c>
      <c r="J1748">
        <v>66518554</v>
      </c>
      <c r="K1748">
        <v>39788986</v>
      </c>
      <c r="P1748">
        <v>98</v>
      </c>
      <c r="Q1748" t="s">
        <v>3816</v>
      </c>
    </row>
    <row r="1749" spans="1:17" x14ac:dyDescent="0.3">
      <c r="A1749" t="s">
        <v>17</v>
      </c>
      <c r="B1749" t="str">
        <f>"688028"</f>
        <v>688028</v>
      </c>
      <c r="C1749" t="s">
        <v>3817</v>
      </c>
      <c r="D1749" t="s">
        <v>404</v>
      </c>
      <c r="F1749">
        <v>28207907</v>
      </c>
      <c r="G1749">
        <v>17828250</v>
      </c>
      <c r="H1749">
        <v>17483002</v>
      </c>
      <c r="I1749">
        <v>16653508</v>
      </c>
      <c r="J1749">
        <v>14304634</v>
      </c>
      <c r="K1749">
        <v>13458055</v>
      </c>
      <c r="P1749">
        <v>76</v>
      </c>
      <c r="Q1749" t="s">
        <v>3818</v>
      </c>
    </row>
    <row r="1750" spans="1:17" x14ac:dyDescent="0.3">
      <c r="A1750" t="s">
        <v>17</v>
      </c>
      <c r="B1750" t="str">
        <f>"688029"</f>
        <v>688029</v>
      </c>
      <c r="C1750" t="s">
        <v>3819</v>
      </c>
      <c r="D1750" t="s">
        <v>1077</v>
      </c>
      <c r="F1750">
        <v>152891678</v>
      </c>
      <c r="G1750">
        <v>99668626</v>
      </c>
      <c r="H1750">
        <v>70398566</v>
      </c>
      <c r="I1750">
        <v>49123112</v>
      </c>
      <c r="J1750">
        <v>37864965</v>
      </c>
      <c r="K1750">
        <v>17797706</v>
      </c>
      <c r="P1750">
        <v>394</v>
      </c>
      <c r="Q1750" t="s">
        <v>3820</v>
      </c>
    </row>
    <row r="1751" spans="1:17" x14ac:dyDescent="0.3">
      <c r="A1751" t="s">
        <v>17</v>
      </c>
      <c r="B1751" t="str">
        <f>"688030"</f>
        <v>688030</v>
      </c>
      <c r="C1751" t="s">
        <v>3821</v>
      </c>
      <c r="D1751" t="s">
        <v>1189</v>
      </c>
      <c r="F1751">
        <v>299245093</v>
      </c>
      <c r="G1751">
        <v>212216154</v>
      </c>
      <c r="H1751">
        <v>186747232</v>
      </c>
      <c r="I1751">
        <v>156461371</v>
      </c>
      <c r="J1751">
        <v>141501986</v>
      </c>
      <c r="K1751">
        <v>121041222</v>
      </c>
      <c r="P1751">
        <v>145</v>
      </c>
      <c r="Q1751" t="s">
        <v>3822</v>
      </c>
    </row>
    <row r="1752" spans="1:17" x14ac:dyDescent="0.3">
      <c r="A1752" t="s">
        <v>17</v>
      </c>
      <c r="B1752" t="str">
        <f>"688032"</f>
        <v>688032</v>
      </c>
      <c r="C1752" t="s">
        <v>3823</v>
      </c>
      <c r="D1752" t="s">
        <v>3824</v>
      </c>
      <c r="F1752">
        <v>45781714</v>
      </c>
      <c r="G1752">
        <v>28874946</v>
      </c>
      <c r="H1752">
        <v>25678137</v>
      </c>
      <c r="I1752">
        <v>14827383</v>
      </c>
      <c r="J1752">
        <v>13362917</v>
      </c>
      <c r="P1752">
        <v>31</v>
      </c>
      <c r="Q1752" t="s">
        <v>3825</v>
      </c>
    </row>
    <row r="1753" spans="1:17" x14ac:dyDescent="0.3">
      <c r="A1753" t="s">
        <v>17</v>
      </c>
      <c r="B1753" t="str">
        <f>"688033"</f>
        <v>688033</v>
      </c>
      <c r="C1753" t="s">
        <v>3826</v>
      </c>
      <c r="D1753" t="s">
        <v>1012</v>
      </c>
      <c r="F1753">
        <v>69375063</v>
      </c>
      <c r="G1753">
        <v>69572481</v>
      </c>
      <c r="H1753">
        <v>41323690</v>
      </c>
      <c r="I1753">
        <v>32234492</v>
      </c>
      <c r="J1753">
        <v>35785704</v>
      </c>
      <c r="K1753">
        <v>24366067</v>
      </c>
      <c r="P1753">
        <v>86</v>
      </c>
      <c r="Q1753" t="s">
        <v>3827</v>
      </c>
    </row>
    <row r="1754" spans="1:17" x14ac:dyDescent="0.3">
      <c r="A1754" t="s">
        <v>17</v>
      </c>
      <c r="B1754" t="str">
        <f>"688036"</f>
        <v>688036</v>
      </c>
      <c r="C1754" t="s">
        <v>3828</v>
      </c>
      <c r="D1754" t="s">
        <v>3526</v>
      </c>
      <c r="F1754">
        <v>1510877824</v>
      </c>
      <c r="G1754">
        <v>1157673800</v>
      </c>
      <c r="H1754">
        <v>805081163</v>
      </c>
      <c r="I1754">
        <v>711791412</v>
      </c>
      <c r="J1754">
        <v>598346675</v>
      </c>
      <c r="K1754">
        <v>385375739</v>
      </c>
      <c r="P1754">
        <v>596</v>
      </c>
      <c r="Q1754" t="s">
        <v>3829</v>
      </c>
    </row>
    <row r="1755" spans="1:17" x14ac:dyDescent="0.3">
      <c r="A1755" t="s">
        <v>17</v>
      </c>
      <c r="B1755" t="str">
        <f>"688037"</f>
        <v>688037</v>
      </c>
      <c r="C1755" t="s">
        <v>3830</v>
      </c>
      <c r="D1755" t="s">
        <v>3187</v>
      </c>
      <c r="F1755">
        <v>92499622</v>
      </c>
      <c r="G1755">
        <v>45414740</v>
      </c>
      <c r="H1755">
        <v>35054505</v>
      </c>
      <c r="I1755">
        <v>34214482</v>
      </c>
      <c r="J1755">
        <v>19758057</v>
      </c>
      <c r="K1755">
        <v>16592372</v>
      </c>
      <c r="P1755">
        <v>168</v>
      </c>
      <c r="Q1755" t="s">
        <v>3831</v>
      </c>
    </row>
    <row r="1756" spans="1:17" x14ac:dyDescent="0.3">
      <c r="A1756" t="s">
        <v>17</v>
      </c>
      <c r="B1756" t="str">
        <f>"688038"</f>
        <v>688038</v>
      </c>
      <c r="C1756" t="s">
        <v>3832</v>
      </c>
      <c r="D1756" t="s">
        <v>945</v>
      </c>
      <c r="F1756">
        <v>33357445</v>
      </c>
      <c r="G1756">
        <v>28756951</v>
      </c>
      <c r="H1756">
        <v>26528728</v>
      </c>
      <c r="I1756">
        <v>17837098</v>
      </c>
      <c r="J1756">
        <v>12708439</v>
      </c>
      <c r="P1756">
        <v>17</v>
      </c>
      <c r="Q1756" t="s">
        <v>3833</v>
      </c>
    </row>
    <row r="1757" spans="1:17" x14ac:dyDescent="0.3">
      <c r="A1757" t="s">
        <v>17</v>
      </c>
      <c r="B1757" t="str">
        <f>"688039"</f>
        <v>688039</v>
      </c>
      <c r="C1757" t="s">
        <v>3834</v>
      </c>
      <c r="D1757" t="s">
        <v>316</v>
      </c>
      <c r="F1757">
        <v>90948927</v>
      </c>
      <c r="G1757">
        <v>61915957</v>
      </c>
      <c r="H1757">
        <v>50592778</v>
      </c>
      <c r="I1757">
        <v>36609900</v>
      </c>
      <c r="J1757">
        <v>27262568</v>
      </c>
      <c r="K1757">
        <v>19963587</v>
      </c>
      <c r="P1757">
        <v>155</v>
      </c>
      <c r="Q1757" t="s">
        <v>3835</v>
      </c>
    </row>
    <row r="1758" spans="1:17" x14ac:dyDescent="0.3">
      <c r="A1758" t="s">
        <v>17</v>
      </c>
      <c r="B1758" t="str">
        <f>"688046"</f>
        <v>688046</v>
      </c>
      <c r="C1758" t="s">
        <v>3836</v>
      </c>
      <c r="F1758">
        <v>55200184</v>
      </c>
      <c r="G1758">
        <v>48216369</v>
      </c>
      <c r="H1758">
        <v>30305037</v>
      </c>
      <c r="I1758">
        <v>10515917</v>
      </c>
      <c r="P1758">
        <v>2</v>
      </c>
      <c r="Q1758" t="s">
        <v>3837</v>
      </c>
    </row>
    <row r="1759" spans="1:17" x14ac:dyDescent="0.3">
      <c r="A1759" t="s">
        <v>17</v>
      </c>
      <c r="B1759" t="str">
        <f>"688048"</f>
        <v>688048</v>
      </c>
      <c r="C1759" t="s">
        <v>3838</v>
      </c>
      <c r="F1759">
        <v>85929157</v>
      </c>
      <c r="G1759">
        <v>60331825</v>
      </c>
      <c r="H1759">
        <v>52706532</v>
      </c>
      <c r="I1759">
        <v>37189771</v>
      </c>
      <c r="P1759">
        <v>12</v>
      </c>
      <c r="Q1759" t="s">
        <v>3839</v>
      </c>
    </row>
    <row r="1760" spans="1:17" x14ac:dyDescent="0.3">
      <c r="A1760" t="s">
        <v>17</v>
      </c>
      <c r="B1760" t="str">
        <f>"688049"</f>
        <v>688049</v>
      </c>
      <c r="C1760" t="s">
        <v>3840</v>
      </c>
      <c r="D1760" t="s">
        <v>461</v>
      </c>
      <c r="F1760">
        <v>131328160</v>
      </c>
      <c r="G1760">
        <v>116871406</v>
      </c>
      <c r="H1760">
        <v>110995260</v>
      </c>
      <c r="I1760">
        <v>108962017</v>
      </c>
      <c r="J1760">
        <v>119128098</v>
      </c>
      <c r="P1760">
        <v>21</v>
      </c>
      <c r="Q1760" t="s">
        <v>3841</v>
      </c>
    </row>
    <row r="1761" spans="1:17" x14ac:dyDescent="0.3">
      <c r="A1761" t="s">
        <v>17</v>
      </c>
      <c r="B1761" t="str">
        <f>"688050"</f>
        <v>688050</v>
      </c>
      <c r="C1761" t="s">
        <v>3842</v>
      </c>
      <c r="D1761" t="s">
        <v>1077</v>
      </c>
      <c r="F1761">
        <v>51914906</v>
      </c>
      <c r="G1761">
        <v>29991279</v>
      </c>
      <c r="H1761">
        <v>21676620</v>
      </c>
      <c r="I1761">
        <v>13810347</v>
      </c>
      <c r="J1761">
        <v>7011977</v>
      </c>
      <c r="K1761">
        <v>6768544</v>
      </c>
      <c r="P1761">
        <v>411</v>
      </c>
      <c r="Q1761" t="s">
        <v>3843</v>
      </c>
    </row>
    <row r="1762" spans="1:17" x14ac:dyDescent="0.3">
      <c r="A1762" t="s">
        <v>17</v>
      </c>
      <c r="B1762" t="str">
        <f>"688051"</f>
        <v>688051</v>
      </c>
      <c r="C1762" t="s">
        <v>3844</v>
      </c>
      <c r="D1762" t="s">
        <v>316</v>
      </c>
      <c r="F1762">
        <v>108146433</v>
      </c>
      <c r="G1762">
        <v>61391005</v>
      </c>
      <c r="H1762">
        <v>46958440</v>
      </c>
      <c r="I1762">
        <v>25823525</v>
      </c>
      <c r="J1762">
        <v>21856573</v>
      </c>
      <c r="K1762">
        <v>26553547</v>
      </c>
      <c r="P1762">
        <v>91</v>
      </c>
      <c r="Q1762" t="s">
        <v>3845</v>
      </c>
    </row>
    <row r="1763" spans="1:17" x14ac:dyDescent="0.3">
      <c r="A1763" t="s">
        <v>17</v>
      </c>
      <c r="B1763" t="str">
        <f>"688052"</f>
        <v>688052</v>
      </c>
      <c r="C1763" t="s">
        <v>3846</v>
      </c>
      <c r="F1763">
        <v>107284317</v>
      </c>
      <c r="G1763">
        <v>41260819</v>
      </c>
      <c r="H1763">
        <v>29581955</v>
      </c>
      <c r="I1763">
        <v>10247726</v>
      </c>
      <c r="P1763">
        <v>11</v>
      </c>
      <c r="Q1763" t="s">
        <v>3847</v>
      </c>
    </row>
    <row r="1764" spans="1:17" x14ac:dyDescent="0.3">
      <c r="A1764" t="s">
        <v>17</v>
      </c>
      <c r="B1764" t="str">
        <f>"688055"</f>
        <v>688055</v>
      </c>
      <c r="C1764" t="s">
        <v>3848</v>
      </c>
      <c r="D1764" t="s">
        <v>1117</v>
      </c>
      <c r="F1764">
        <v>288484654</v>
      </c>
      <c r="G1764">
        <v>264945359</v>
      </c>
      <c r="H1764">
        <v>261101200</v>
      </c>
      <c r="I1764">
        <v>229580872</v>
      </c>
      <c r="J1764">
        <v>236764475</v>
      </c>
      <c r="K1764">
        <v>190482125</v>
      </c>
      <c r="P1764">
        <v>78</v>
      </c>
      <c r="Q1764" t="s">
        <v>3849</v>
      </c>
    </row>
    <row r="1765" spans="1:17" x14ac:dyDescent="0.3">
      <c r="A1765" t="s">
        <v>17</v>
      </c>
      <c r="B1765" t="str">
        <f>"688056"</f>
        <v>688056</v>
      </c>
      <c r="C1765" t="s">
        <v>3850</v>
      </c>
      <c r="D1765" t="s">
        <v>2566</v>
      </c>
      <c r="F1765">
        <v>31382400</v>
      </c>
      <c r="G1765">
        <v>29342489</v>
      </c>
      <c r="H1765">
        <v>25851397</v>
      </c>
      <c r="I1765">
        <v>13367511</v>
      </c>
      <c r="J1765">
        <v>13849382</v>
      </c>
      <c r="K1765">
        <v>15033670</v>
      </c>
      <c r="P1765">
        <v>50</v>
      </c>
      <c r="Q1765" t="s">
        <v>3851</v>
      </c>
    </row>
    <row r="1766" spans="1:17" x14ac:dyDescent="0.3">
      <c r="A1766" t="s">
        <v>17</v>
      </c>
      <c r="B1766" t="str">
        <f>"688057"</f>
        <v>688057</v>
      </c>
      <c r="C1766" t="s">
        <v>3852</v>
      </c>
      <c r="D1766" t="s">
        <v>33</v>
      </c>
      <c r="F1766">
        <v>48327631</v>
      </c>
      <c r="G1766">
        <v>49862269</v>
      </c>
      <c r="H1766">
        <v>49801512</v>
      </c>
      <c r="I1766">
        <v>43049087</v>
      </c>
      <c r="J1766">
        <v>23757758</v>
      </c>
      <c r="K1766">
        <v>13962776</v>
      </c>
      <c r="P1766">
        <v>116</v>
      </c>
      <c r="Q1766" t="s">
        <v>3853</v>
      </c>
    </row>
    <row r="1767" spans="1:17" x14ac:dyDescent="0.3">
      <c r="A1767" t="s">
        <v>17</v>
      </c>
      <c r="B1767" t="str">
        <f>"688058"</f>
        <v>688058</v>
      </c>
      <c r="C1767" t="s">
        <v>3854</v>
      </c>
      <c r="D1767" t="s">
        <v>1189</v>
      </c>
      <c r="F1767">
        <v>67916555</v>
      </c>
      <c r="G1767">
        <v>40410684</v>
      </c>
      <c r="H1767">
        <v>30882917</v>
      </c>
      <c r="I1767">
        <v>21995565</v>
      </c>
      <c r="J1767">
        <v>17171297</v>
      </c>
      <c r="K1767">
        <v>15735617</v>
      </c>
      <c r="P1767">
        <v>96</v>
      </c>
      <c r="Q1767" t="s">
        <v>3855</v>
      </c>
    </row>
    <row r="1768" spans="1:17" x14ac:dyDescent="0.3">
      <c r="A1768" t="s">
        <v>17</v>
      </c>
      <c r="B1768" t="str">
        <f>"688059"</f>
        <v>688059</v>
      </c>
      <c r="C1768" t="s">
        <v>3856</v>
      </c>
      <c r="D1768" t="s">
        <v>274</v>
      </c>
      <c r="F1768">
        <v>24910798</v>
      </c>
      <c r="G1768">
        <v>19752429</v>
      </c>
      <c r="H1768">
        <v>17001372</v>
      </c>
      <c r="I1768">
        <v>11901503</v>
      </c>
      <c r="J1768">
        <v>7630704</v>
      </c>
      <c r="P1768">
        <v>105</v>
      </c>
      <c r="Q1768" t="s">
        <v>3857</v>
      </c>
    </row>
    <row r="1769" spans="1:17" x14ac:dyDescent="0.3">
      <c r="A1769" t="s">
        <v>17</v>
      </c>
      <c r="B1769" t="str">
        <f>"688060"</f>
        <v>688060</v>
      </c>
      <c r="C1769" t="s">
        <v>3858</v>
      </c>
      <c r="D1769" t="s">
        <v>236</v>
      </c>
      <c r="F1769">
        <v>50337553</v>
      </c>
      <c r="G1769">
        <v>21552937</v>
      </c>
      <c r="H1769">
        <v>16693133</v>
      </c>
      <c r="I1769">
        <v>12472436</v>
      </c>
      <c r="J1769">
        <v>9644164</v>
      </c>
      <c r="K1769">
        <v>8618682</v>
      </c>
      <c r="P1769">
        <v>75</v>
      </c>
      <c r="Q1769" t="s">
        <v>3859</v>
      </c>
    </row>
    <row r="1770" spans="1:17" x14ac:dyDescent="0.3">
      <c r="A1770" t="s">
        <v>17</v>
      </c>
      <c r="B1770" t="str">
        <f>"688062"</f>
        <v>688062</v>
      </c>
      <c r="C1770" t="s">
        <v>3860</v>
      </c>
      <c r="D1770" t="s">
        <v>143</v>
      </c>
      <c r="F1770">
        <v>622514864</v>
      </c>
      <c r="G1770">
        <v>581329664</v>
      </c>
      <c r="H1770">
        <v>363044790</v>
      </c>
      <c r="I1770">
        <v>169071932</v>
      </c>
      <c r="J1770">
        <v>107337290</v>
      </c>
      <c r="P1770">
        <v>14</v>
      </c>
      <c r="Q1770" t="s">
        <v>3861</v>
      </c>
    </row>
    <row r="1771" spans="1:17" x14ac:dyDescent="0.3">
      <c r="A1771" t="s">
        <v>17</v>
      </c>
      <c r="B1771" t="str">
        <f>"688063"</f>
        <v>688063</v>
      </c>
      <c r="C1771" t="s">
        <v>3862</v>
      </c>
      <c r="D1771" t="s">
        <v>359</v>
      </c>
      <c r="F1771">
        <v>155628426</v>
      </c>
      <c r="G1771">
        <v>72623205</v>
      </c>
      <c r="H1771">
        <v>60194027</v>
      </c>
      <c r="I1771">
        <v>26580714</v>
      </c>
      <c r="J1771">
        <v>29278628</v>
      </c>
      <c r="P1771">
        <v>212</v>
      </c>
      <c r="Q1771" t="s">
        <v>3863</v>
      </c>
    </row>
    <row r="1772" spans="1:17" x14ac:dyDescent="0.3">
      <c r="A1772" t="s">
        <v>17</v>
      </c>
      <c r="B1772" t="str">
        <f>"688065"</f>
        <v>688065</v>
      </c>
      <c r="C1772" t="s">
        <v>3864</v>
      </c>
      <c r="D1772" t="s">
        <v>386</v>
      </c>
      <c r="F1772">
        <v>133531127</v>
      </c>
      <c r="G1772">
        <v>84299778</v>
      </c>
      <c r="H1772">
        <v>90159513</v>
      </c>
      <c r="I1772">
        <v>86393810</v>
      </c>
      <c r="J1772">
        <v>64560197</v>
      </c>
      <c r="K1772">
        <v>37524053</v>
      </c>
      <c r="P1772">
        <v>107</v>
      </c>
      <c r="Q1772" t="s">
        <v>3865</v>
      </c>
    </row>
    <row r="1773" spans="1:17" x14ac:dyDescent="0.3">
      <c r="A1773" t="s">
        <v>17</v>
      </c>
      <c r="B1773" t="str">
        <f>"688066"</f>
        <v>688066</v>
      </c>
      <c r="C1773" t="s">
        <v>3866</v>
      </c>
      <c r="D1773" t="s">
        <v>316</v>
      </c>
      <c r="F1773">
        <v>211219554</v>
      </c>
      <c r="G1773">
        <v>130496428</v>
      </c>
      <c r="H1773">
        <v>88743687</v>
      </c>
      <c r="I1773">
        <v>50238193</v>
      </c>
      <c r="J1773">
        <v>37528283</v>
      </c>
      <c r="K1773">
        <v>32210914</v>
      </c>
      <c r="P1773">
        <v>159</v>
      </c>
      <c r="Q1773" t="s">
        <v>3867</v>
      </c>
    </row>
    <row r="1774" spans="1:17" x14ac:dyDescent="0.3">
      <c r="A1774" t="s">
        <v>17</v>
      </c>
      <c r="B1774" t="str">
        <f>"688067"</f>
        <v>688067</v>
      </c>
      <c r="C1774" t="s">
        <v>3868</v>
      </c>
      <c r="D1774" t="s">
        <v>1305</v>
      </c>
      <c r="F1774">
        <v>31202733</v>
      </c>
      <c r="G1774">
        <v>22620599</v>
      </c>
      <c r="H1774">
        <v>20481170</v>
      </c>
      <c r="I1774">
        <v>19164942</v>
      </c>
      <c r="J1774">
        <v>12635308</v>
      </c>
      <c r="P1774">
        <v>35</v>
      </c>
      <c r="Q1774" t="s">
        <v>3869</v>
      </c>
    </row>
    <row r="1775" spans="1:17" x14ac:dyDescent="0.3">
      <c r="A1775" t="s">
        <v>17</v>
      </c>
      <c r="B1775" t="str">
        <f>"688068"</f>
        <v>688068</v>
      </c>
      <c r="C1775" t="s">
        <v>3870</v>
      </c>
      <c r="D1775" t="s">
        <v>1305</v>
      </c>
      <c r="F1775">
        <v>131916409</v>
      </c>
      <c r="G1775">
        <v>47611982</v>
      </c>
      <c r="H1775">
        <v>28990678</v>
      </c>
      <c r="I1775">
        <v>18383404</v>
      </c>
      <c r="J1775">
        <v>15633302</v>
      </c>
      <c r="K1775">
        <v>13294962</v>
      </c>
      <c r="P1775">
        <v>254</v>
      </c>
      <c r="Q1775" t="s">
        <v>3871</v>
      </c>
    </row>
    <row r="1776" spans="1:17" x14ac:dyDescent="0.3">
      <c r="A1776" t="s">
        <v>17</v>
      </c>
      <c r="B1776" t="str">
        <f>"688069"</f>
        <v>688069</v>
      </c>
      <c r="C1776" t="s">
        <v>3872</v>
      </c>
      <c r="D1776" t="s">
        <v>33</v>
      </c>
      <c r="F1776">
        <v>31399016</v>
      </c>
      <c r="G1776">
        <v>23978889</v>
      </c>
      <c r="H1776">
        <v>13370421</v>
      </c>
      <c r="I1776">
        <v>10923317</v>
      </c>
      <c r="J1776">
        <v>6263498</v>
      </c>
      <c r="K1776">
        <v>3422055</v>
      </c>
      <c r="P1776">
        <v>79</v>
      </c>
      <c r="Q1776" t="s">
        <v>3873</v>
      </c>
    </row>
    <row r="1777" spans="1:17" x14ac:dyDescent="0.3">
      <c r="A1777" t="s">
        <v>17</v>
      </c>
      <c r="B1777" t="str">
        <f>"688070"</f>
        <v>688070</v>
      </c>
      <c r="C1777" t="s">
        <v>3874</v>
      </c>
      <c r="D1777" t="s">
        <v>98</v>
      </c>
      <c r="F1777">
        <v>36059962</v>
      </c>
      <c r="G1777">
        <v>27894146</v>
      </c>
      <c r="H1777">
        <v>20043469</v>
      </c>
      <c r="I1777">
        <v>16066914</v>
      </c>
      <c r="J1777">
        <v>9182153</v>
      </c>
      <c r="P1777">
        <v>43</v>
      </c>
      <c r="Q1777" t="s">
        <v>3875</v>
      </c>
    </row>
    <row r="1778" spans="1:17" x14ac:dyDescent="0.3">
      <c r="A1778" t="s">
        <v>17</v>
      </c>
      <c r="B1778" t="str">
        <f>"688071"</f>
        <v>688071</v>
      </c>
      <c r="C1778" t="s">
        <v>3876</v>
      </c>
      <c r="D1778" t="s">
        <v>741</v>
      </c>
      <c r="F1778">
        <v>26375294</v>
      </c>
      <c r="G1778">
        <v>23394139</v>
      </c>
      <c r="H1778">
        <v>19422486</v>
      </c>
      <c r="I1778">
        <v>15513621</v>
      </c>
      <c r="J1778">
        <v>8716984</v>
      </c>
      <c r="P1778">
        <v>28</v>
      </c>
      <c r="Q1778" t="s">
        <v>3877</v>
      </c>
    </row>
    <row r="1779" spans="1:17" x14ac:dyDescent="0.3">
      <c r="A1779" t="s">
        <v>17</v>
      </c>
      <c r="B1779" t="str">
        <f>"688072"</f>
        <v>688072</v>
      </c>
      <c r="C1779" t="s">
        <v>3878</v>
      </c>
      <c r="F1779">
        <v>288308465</v>
      </c>
      <c r="G1779">
        <v>122781825</v>
      </c>
      <c r="H1779">
        <v>74318716</v>
      </c>
      <c r="I1779">
        <v>107973139</v>
      </c>
      <c r="P1779">
        <v>5</v>
      </c>
      <c r="Q1779" t="s">
        <v>3879</v>
      </c>
    </row>
    <row r="1780" spans="1:17" x14ac:dyDescent="0.3">
      <c r="A1780" t="s">
        <v>17</v>
      </c>
      <c r="B1780" t="str">
        <f>"688075"</f>
        <v>688075</v>
      </c>
      <c r="C1780" t="s">
        <v>3880</v>
      </c>
      <c r="D1780" t="s">
        <v>1305</v>
      </c>
      <c r="F1780">
        <v>70379805</v>
      </c>
      <c r="G1780">
        <v>58445484</v>
      </c>
      <c r="H1780">
        <v>16189241</v>
      </c>
      <c r="I1780">
        <v>12145431</v>
      </c>
      <c r="J1780">
        <v>7867470</v>
      </c>
      <c r="P1780">
        <v>37</v>
      </c>
      <c r="Q1780" t="s">
        <v>3881</v>
      </c>
    </row>
    <row r="1781" spans="1:17" x14ac:dyDescent="0.3">
      <c r="A1781" t="s">
        <v>17</v>
      </c>
      <c r="B1781" t="str">
        <f>"688076"</f>
        <v>688076</v>
      </c>
      <c r="C1781" t="s">
        <v>3882</v>
      </c>
      <c r="D1781" t="s">
        <v>1461</v>
      </c>
      <c r="F1781">
        <v>63087925</v>
      </c>
      <c r="G1781">
        <v>60533819</v>
      </c>
      <c r="H1781">
        <v>46495553</v>
      </c>
      <c r="I1781">
        <v>35121445</v>
      </c>
      <c r="J1781">
        <v>17440993</v>
      </c>
      <c r="P1781">
        <v>53</v>
      </c>
      <c r="Q1781" t="s">
        <v>3883</v>
      </c>
    </row>
    <row r="1782" spans="1:17" x14ac:dyDescent="0.3">
      <c r="A1782" t="s">
        <v>17</v>
      </c>
      <c r="B1782" t="str">
        <f>"688077"</f>
        <v>688077</v>
      </c>
      <c r="C1782" t="s">
        <v>3884</v>
      </c>
      <c r="D1782" t="s">
        <v>808</v>
      </c>
      <c r="F1782">
        <v>96467872</v>
      </c>
      <c r="G1782">
        <v>34017668</v>
      </c>
      <c r="H1782">
        <v>31997207</v>
      </c>
      <c r="I1782">
        <v>27801048</v>
      </c>
      <c r="J1782">
        <v>23067351</v>
      </c>
      <c r="K1782">
        <v>17014989</v>
      </c>
      <c r="P1782">
        <v>78</v>
      </c>
      <c r="Q1782" t="s">
        <v>3885</v>
      </c>
    </row>
    <row r="1783" spans="1:17" x14ac:dyDescent="0.3">
      <c r="A1783" t="s">
        <v>17</v>
      </c>
      <c r="B1783" t="str">
        <f>"688078"</f>
        <v>688078</v>
      </c>
      <c r="C1783" t="s">
        <v>3886</v>
      </c>
      <c r="D1783" t="s">
        <v>1189</v>
      </c>
      <c r="F1783">
        <v>36141615</v>
      </c>
      <c r="G1783">
        <v>20581832</v>
      </c>
      <c r="H1783">
        <v>15225495</v>
      </c>
      <c r="I1783">
        <v>11585143</v>
      </c>
      <c r="J1783">
        <v>10484312</v>
      </c>
      <c r="K1783">
        <v>10092064</v>
      </c>
      <c r="P1783">
        <v>83</v>
      </c>
      <c r="Q1783" t="s">
        <v>3887</v>
      </c>
    </row>
    <row r="1784" spans="1:17" x14ac:dyDescent="0.3">
      <c r="A1784" t="s">
        <v>17</v>
      </c>
      <c r="B1784" t="str">
        <f>"688079"</f>
        <v>688079</v>
      </c>
      <c r="C1784" t="s">
        <v>3888</v>
      </c>
      <c r="D1784" t="s">
        <v>164</v>
      </c>
      <c r="F1784">
        <v>63778921</v>
      </c>
      <c r="G1784">
        <v>42338712</v>
      </c>
      <c r="H1784">
        <v>30301843</v>
      </c>
      <c r="I1784">
        <v>23519527</v>
      </c>
      <c r="J1784">
        <v>16394263</v>
      </c>
      <c r="P1784">
        <v>36</v>
      </c>
      <c r="Q1784" t="s">
        <v>3889</v>
      </c>
    </row>
    <row r="1785" spans="1:17" x14ac:dyDescent="0.3">
      <c r="A1785" t="s">
        <v>17</v>
      </c>
      <c r="B1785" t="str">
        <f>"688080"</f>
        <v>688080</v>
      </c>
      <c r="C1785" t="s">
        <v>3890</v>
      </c>
      <c r="D1785" t="s">
        <v>595</v>
      </c>
      <c r="F1785">
        <v>49136798</v>
      </c>
      <c r="G1785">
        <v>39130578</v>
      </c>
      <c r="H1785">
        <v>31213036</v>
      </c>
      <c r="I1785">
        <v>28315290</v>
      </c>
      <c r="J1785">
        <v>19440085</v>
      </c>
      <c r="K1785">
        <v>16104399</v>
      </c>
      <c r="P1785">
        <v>87</v>
      </c>
      <c r="Q1785" t="s">
        <v>3891</v>
      </c>
    </row>
    <row r="1786" spans="1:17" x14ac:dyDescent="0.3">
      <c r="A1786" t="s">
        <v>17</v>
      </c>
      <c r="B1786" t="str">
        <f>"688081"</f>
        <v>688081</v>
      </c>
      <c r="C1786" t="s">
        <v>3892</v>
      </c>
      <c r="D1786" t="s">
        <v>1136</v>
      </c>
      <c r="F1786">
        <v>38080131</v>
      </c>
      <c r="G1786">
        <v>22507573</v>
      </c>
      <c r="H1786">
        <v>29462903</v>
      </c>
      <c r="I1786">
        <v>28342783</v>
      </c>
      <c r="J1786">
        <v>15079154</v>
      </c>
      <c r="K1786">
        <v>15904074</v>
      </c>
      <c r="P1786">
        <v>55</v>
      </c>
      <c r="Q1786" t="s">
        <v>3893</v>
      </c>
    </row>
    <row r="1787" spans="1:17" x14ac:dyDescent="0.3">
      <c r="A1787" t="s">
        <v>17</v>
      </c>
      <c r="B1787" t="str">
        <f>"688082"</f>
        <v>688082</v>
      </c>
      <c r="C1787" t="s">
        <v>3894</v>
      </c>
      <c r="D1787" t="s">
        <v>3187</v>
      </c>
      <c r="F1787">
        <v>278394179</v>
      </c>
      <c r="G1787">
        <v>140791113</v>
      </c>
      <c r="H1787">
        <v>99268030</v>
      </c>
      <c r="I1787">
        <v>79414978</v>
      </c>
      <c r="J1787">
        <v>52172371</v>
      </c>
      <c r="P1787">
        <v>35</v>
      </c>
      <c r="Q1787" t="s">
        <v>3895</v>
      </c>
    </row>
    <row r="1788" spans="1:17" x14ac:dyDescent="0.3">
      <c r="A1788" t="s">
        <v>17</v>
      </c>
      <c r="B1788" t="str">
        <f>"688083"</f>
        <v>688083</v>
      </c>
      <c r="C1788" t="s">
        <v>3896</v>
      </c>
      <c r="D1788" t="s">
        <v>945</v>
      </c>
      <c r="F1788">
        <v>202895736</v>
      </c>
      <c r="G1788">
        <v>151159710</v>
      </c>
      <c r="H1788">
        <v>108012970</v>
      </c>
      <c r="I1788">
        <v>84804772</v>
      </c>
      <c r="J1788">
        <v>73484044</v>
      </c>
      <c r="P1788">
        <v>130</v>
      </c>
      <c r="Q1788" t="s">
        <v>3897</v>
      </c>
    </row>
    <row r="1789" spans="1:17" x14ac:dyDescent="0.3">
      <c r="A1789" t="s">
        <v>17</v>
      </c>
      <c r="B1789" t="str">
        <f>"688085"</f>
        <v>688085</v>
      </c>
      <c r="C1789" t="s">
        <v>3898</v>
      </c>
      <c r="D1789" t="s">
        <v>1077</v>
      </c>
      <c r="F1789">
        <v>56552646</v>
      </c>
      <c r="G1789">
        <v>33917635</v>
      </c>
      <c r="H1789">
        <v>18449373</v>
      </c>
      <c r="I1789">
        <v>13310328</v>
      </c>
      <c r="J1789">
        <v>12755146</v>
      </c>
      <c r="K1789">
        <v>12276851</v>
      </c>
      <c r="P1789">
        <v>197</v>
      </c>
      <c r="Q1789" t="s">
        <v>3899</v>
      </c>
    </row>
    <row r="1790" spans="1:17" x14ac:dyDescent="0.3">
      <c r="A1790" t="s">
        <v>17</v>
      </c>
      <c r="B1790" t="str">
        <f>"688086"</f>
        <v>688086</v>
      </c>
      <c r="C1790" t="s">
        <v>3900</v>
      </c>
      <c r="D1790" t="s">
        <v>236</v>
      </c>
      <c r="F1790">
        <v>67488628</v>
      </c>
      <c r="G1790">
        <v>81066323</v>
      </c>
      <c r="H1790">
        <v>48989876</v>
      </c>
      <c r="I1790">
        <v>28024993</v>
      </c>
      <c r="J1790">
        <v>20953749</v>
      </c>
      <c r="K1790">
        <v>10296880</v>
      </c>
      <c r="P1790">
        <v>84</v>
      </c>
      <c r="Q1790" t="s">
        <v>3901</v>
      </c>
    </row>
    <row r="1791" spans="1:17" x14ac:dyDescent="0.3">
      <c r="A1791" t="s">
        <v>17</v>
      </c>
      <c r="B1791" t="str">
        <f>"688087"</f>
        <v>688087</v>
      </c>
      <c r="C1791" t="s">
        <v>3902</v>
      </c>
      <c r="D1791" t="s">
        <v>1192</v>
      </c>
      <c r="F1791">
        <v>96675382</v>
      </c>
      <c r="G1791">
        <v>76667559</v>
      </c>
      <c r="H1791">
        <v>54005137</v>
      </c>
      <c r="I1791">
        <v>47267598</v>
      </c>
      <c r="J1791">
        <v>36918587</v>
      </c>
      <c r="P1791">
        <v>36</v>
      </c>
      <c r="Q1791" t="s">
        <v>3903</v>
      </c>
    </row>
    <row r="1792" spans="1:17" x14ac:dyDescent="0.3">
      <c r="A1792" t="s">
        <v>17</v>
      </c>
      <c r="B1792" t="str">
        <f>"688088"</f>
        <v>688088</v>
      </c>
      <c r="C1792" t="s">
        <v>3904</v>
      </c>
      <c r="D1792" t="s">
        <v>316</v>
      </c>
      <c r="F1792">
        <v>270288370</v>
      </c>
      <c r="G1792">
        <v>259474271</v>
      </c>
      <c r="H1792">
        <v>196155671</v>
      </c>
      <c r="I1792">
        <v>148526414</v>
      </c>
      <c r="J1792">
        <v>108735408</v>
      </c>
      <c r="K1792">
        <v>90268373</v>
      </c>
      <c r="P1792">
        <v>271</v>
      </c>
      <c r="Q1792" t="s">
        <v>3905</v>
      </c>
    </row>
    <row r="1793" spans="1:17" x14ac:dyDescent="0.3">
      <c r="A1793" t="s">
        <v>17</v>
      </c>
      <c r="B1793" t="str">
        <f>"688089"</f>
        <v>688089</v>
      </c>
      <c r="C1793" t="s">
        <v>3906</v>
      </c>
      <c r="D1793" t="s">
        <v>677</v>
      </c>
      <c r="F1793">
        <v>30947096</v>
      </c>
      <c r="G1793">
        <v>20384052</v>
      </c>
      <c r="H1793">
        <v>18724342</v>
      </c>
      <c r="I1793">
        <v>16375990</v>
      </c>
      <c r="J1793">
        <v>13630293</v>
      </c>
      <c r="K1793">
        <v>14272036</v>
      </c>
      <c r="P1793">
        <v>150</v>
      </c>
      <c r="Q1793" t="s">
        <v>3907</v>
      </c>
    </row>
    <row r="1794" spans="1:17" x14ac:dyDescent="0.3">
      <c r="A1794" t="s">
        <v>17</v>
      </c>
      <c r="B1794" t="str">
        <f>"688090"</f>
        <v>688090</v>
      </c>
      <c r="C1794" t="s">
        <v>3908</v>
      </c>
      <c r="D1794" t="s">
        <v>2938</v>
      </c>
      <c r="F1794">
        <v>44417757</v>
      </c>
      <c r="G1794">
        <v>38627995</v>
      </c>
      <c r="H1794">
        <v>31893860</v>
      </c>
      <c r="I1794">
        <v>29288919</v>
      </c>
      <c r="J1794">
        <v>28726624</v>
      </c>
      <c r="K1794">
        <v>23872319</v>
      </c>
      <c r="P1794">
        <v>63</v>
      </c>
      <c r="Q1794" t="s">
        <v>3909</v>
      </c>
    </row>
    <row r="1795" spans="1:17" x14ac:dyDescent="0.3">
      <c r="A1795" t="s">
        <v>17</v>
      </c>
      <c r="B1795" t="str">
        <f>"688091"</f>
        <v>688091</v>
      </c>
      <c r="C1795" t="s">
        <v>3910</v>
      </c>
      <c r="D1795" t="s">
        <v>143</v>
      </c>
      <c r="F1795">
        <v>13239792</v>
      </c>
      <c r="G1795">
        <v>17893106</v>
      </c>
      <c r="H1795">
        <v>178666212</v>
      </c>
      <c r="I1795">
        <v>13507595</v>
      </c>
      <c r="J1795">
        <v>14894382</v>
      </c>
      <c r="P1795">
        <v>14</v>
      </c>
      <c r="Q1795" t="s">
        <v>3911</v>
      </c>
    </row>
    <row r="1796" spans="1:17" x14ac:dyDescent="0.3">
      <c r="A1796" t="s">
        <v>17</v>
      </c>
      <c r="B1796" t="str">
        <f>"688092"</f>
        <v>688092</v>
      </c>
      <c r="C1796" t="s">
        <v>3912</v>
      </c>
      <c r="D1796" t="s">
        <v>741</v>
      </c>
      <c r="F1796">
        <v>27040145</v>
      </c>
      <c r="G1796">
        <v>20047948</v>
      </c>
      <c r="H1796">
        <v>18777726</v>
      </c>
      <c r="I1796">
        <v>17033426</v>
      </c>
      <c r="J1796">
        <v>13617621</v>
      </c>
      <c r="P1796">
        <v>29</v>
      </c>
      <c r="Q1796" t="s">
        <v>3913</v>
      </c>
    </row>
    <row r="1797" spans="1:17" x14ac:dyDescent="0.3">
      <c r="A1797" t="s">
        <v>17</v>
      </c>
      <c r="B1797" t="str">
        <f>"688093"</f>
        <v>688093</v>
      </c>
      <c r="C1797" t="s">
        <v>3914</v>
      </c>
      <c r="D1797" t="s">
        <v>651</v>
      </c>
      <c r="F1797">
        <v>30488045</v>
      </c>
      <c r="G1797">
        <v>19195753</v>
      </c>
      <c r="H1797">
        <v>16216319</v>
      </c>
      <c r="I1797">
        <v>15685500</v>
      </c>
      <c r="J1797">
        <v>9622288</v>
      </c>
      <c r="P1797">
        <v>59</v>
      </c>
      <c r="Q1797" t="s">
        <v>3915</v>
      </c>
    </row>
    <row r="1798" spans="1:17" x14ac:dyDescent="0.3">
      <c r="A1798" t="s">
        <v>17</v>
      </c>
      <c r="B1798" t="str">
        <f>"688095"</f>
        <v>688095</v>
      </c>
      <c r="C1798" t="s">
        <v>3916</v>
      </c>
      <c r="D1798" t="s">
        <v>1189</v>
      </c>
      <c r="F1798">
        <v>148839894</v>
      </c>
      <c r="G1798">
        <v>75368099</v>
      </c>
      <c r="H1798">
        <v>56653238</v>
      </c>
      <c r="I1798">
        <v>55501174</v>
      </c>
      <c r="J1798">
        <v>48228238</v>
      </c>
      <c r="K1798">
        <v>43214187</v>
      </c>
      <c r="P1798">
        <v>141</v>
      </c>
      <c r="Q1798" t="s">
        <v>3917</v>
      </c>
    </row>
    <row r="1799" spans="1:17" x14ac:dyDescent="0.3">
      <c r="A1799" t="s">
        <v>17</v>
      </c>
      <c r="B1799" t="str">
        <f>"688096"</f>
        <v>688096</v>
      </c>
      <c r="C1799" t="s">
        <v>3918</v>
      </c>
      <c r="D1799" t="s">
        <v>33</v>
      </c>
      <c r="F1799">
        <v>23248011</v>
      </c>
      <c r="G1799">
        <v>15929978</v>
      </c>
      <c r="H1799">
        <v>15206432</v>
      </c>
      <c r="I1799">
        <v>9588637</v>
      </c>
      <c r="J1799">
        <v>6159951</v>
      </c>
      <c r="K1799">
        <v>4456913</v>
      </c>
      <c r="P1799">
        <v>73</v>
      </c>
      <c r="Q1799" t="s">
        <v>3919</v>
      </c>
    </row>
    <row r="1800" spans="1:17" x14ac:dyDescent="0.3">
      <c r="A1800" t="s">
        <v>17</v>
      </c>
      <c r="B1800" t="str">
        <f>"688097"</f>
        <v>688097</v>
      </c>
      <c r="C1800" t="s">
        <v>3920</v>
      </c>
      <c r="D1800" t="s">
        <v>3477</v>
      </c>
      <c r="F1800">
        <v>461802462</v>
      </c>
      <c r="G1800">
        <v>371199462</v>
      </c>
      <c r="H1800">
        <v>283350343</v>
      </c>
      <c r="I1800">
        <v>287793462</v>
      </c>
      <c r="J1800">
        <v>253274022</v>
      </c>
      <c r="K1800">
        <v>197163379</v>
      </c>
      <c r="P1800">
        <v>25</v>
      </c>
      <c r="Q1800" t="s">
        <v>3921</v>
      </c>
    </row>
    <row r="1801" spans="1:17" x14ac:dyDescent="0.3">
      <c r="A1801" t="s">
        <v>17</v>
      </c>
      <c r="B1801" t="str">
        <f>"688098"</f>
        <v>688098</v>
      </c>
      <c r="C1801" t="s">
        <v>3922</v>
      </c>
      <c r="D1801" t="s">
        <v>453</v>
      </c>
      <c r="F1801">
        <v>34946631</v>
      </c>
      <c r="G1801">
        <v>31911384</v>
      </c>
      <c r="H1801">
        <v>26564414</v>
      </c>
      <c r="I1801">
        <v>21287432</v>
      </c>
      <c r="J1801">
        <v>16649340</v>
      </c>
      <c r="K1801">
        <v>16746244</v>
      </c>
      <c r="P1801">
        <v>73</v>
      </c>
      <c r="Q1801" t="s">
        <v>3923</v>
      </c>
    </row>
    <row r="1802" spans="1:17" x14ac:dyDescent="0.3">
      <c r="A1802" t="s">
        <v>17</v>
      </c>
      <c r="B1802" t="str">
        <f>"688099"</f>
        <v>688099</v>
      </c>
      <c r="C1802" t="s">
        <v>3924</v>
      </c>
      <c r="D1802" t="s">
        <v>461</v>
      </c>
      <c r="F1802">
        <v>903873092</v>
      </c>
      <c r="G1802">
        <v>577753682</v>
      </c>
      <c r="H1802">
        <v>461745367</v>
      </c>
      <c r="I1802">
        <v>376293126</v>
      </c>
      <c r="J1802">
        <v>267079589</v>
      </c>
      <c r="K1802">
        <v>210776839</v>
      </c>
      <c r="P1802">
        <v>299</v>
      </c>
      <c r="Q1802" t="s">
        <v>3925</v>
      </c>
    </row>
    <row r="1803" spans="1:17" x14ac:dyDescent="0.3">
      <c r="A1803" t="s">
        <v>17</v>
      </c>
      <c r="B1803" t="str">
        <f>"688100"</f>
        <v>688100</v>
      </c>
      <c r="C1803" t="s">
        <v>3926</v>
      </c>
      <c r="D1803" t="s">
        <v>786</v>
      </c>
      <c r="F1803">
        <v>176897956</v>
      </c>
      <c r="G1803">
        <v>129586650</v>
      </c>
      <c r="H1803">
        <v>99126313</v>
      </c>
      <c r="I1803">
        <v>74077410</v>
      </c>
      <c r="J1803">
        <v>81744718</v>
      </c>
      <c r="K1803">
        <v>52146477</v>
      </c>
      <c r="P1803">
        <v>103</v>
      </c>
      <c r="Q1803" t="s">
        <v>3927</v>
      </c>
    </row>
    <row r="1804" spans="1:17" x14ac:dyDescent="0.3">
      <c r="A1804" t="s">
        <v>17</v>
      </c>
      <c r="B1804" t="str">
        <f>"688101"</f>
        <v>688101</v>
      </c>
      <c r="C1804" t="s">
        <v>3928</v>
      </c>
      <c r="D1804" t="s">
        <v>33</v>
      </c>
      <c r="F1804">
        <v>52214988</v>
      </c>
      <c r="G1804">
        <v>40115964</v>
      </c>
      <c r="H1804">
        <v>39416824</v>
      </c>
      <c r="I1804">
        <v>31844035</v>
      </c>
      <c r="J1804">
        <v>28881602</v>
      </c>
      <c r="K1804">
        <v>27567474</v>
      </c>
      <c r="P1804">
        <v>77</v>
      </c>
      <c r="Q1804" t="s">
        <v>3929</v>
      </c>
    </row>
    <row r="1805" spans="1:17" x14ac:dyDescent="0.3">
      <c r="A1805" t="s">
        <v>17</v>
      </c>
      <c r="B1805" t="str">
        <f>"688102"</f>
        <v>688102</v>
      </c>
      <c r="C1805" t="s">
        <v>3930</v>
      </c>
      <c r="F1805">
        <v>40714174</v>
      </c>
      <c r="G1805">
        <v>22278341</v>
      </c>
      <c r="H1805">
        <v>19873605</v>
      </c>
      <c r="I1805">
        <v>16773414</v>
      </c>
      <c r="J1805">
        <v>12466677</v>
      </c>
      <c r="P1805">
        <v>3</v>
      </c>
      <c r="Q1805" t="s">
        <v>3931</v>
      </c>
    </row>
    <row r="1806" spans="1:17" x14ac:dyDescent="0.3">
      <c r="A1806" t="s">
        <v>17</v>
      </c>
      <c r="B1806" t="str">
        <f>"688103"</f>
        <v>688103</v>
      </c>
      <c r="C1806" t="s">
        <v>3932</v>
      </c>
      <c r="D1806" t="s">
        <v>651</v>
      </c>
      <c r="F1806">
        <v>41367025</v>
      </c>
      <c r="G1806">
        <v>44872316</v>
      </c>
      <c r="H1806">
        <v>47919056</v>
      </c>
      <c r="I1806">
        <v>29852242</v>
      </c>
      <c r="J1806">
        <v>27726897</v>
      </c>
      <c r="P1806">
        <v>13</v>
      </c>
      <c r="Q1806" t="s">
        <v>3933</v>
      </c>
    </row>
    <row r="1807" spans="1:17" x14ac:dyDescent="0.3">
      <c r="A1807" t="s">
        <v>17</v>
      </c>
      <c r="B1807" t="str">
        <f>"688105"</f>
        <v>688105</v>
      </c>
      <c r="C1807" t="s">
        <v>3934</v>
      </c>
      <c r="D1807" t="s">
        <v>1305</v>
      </c>
      <c r="F1807">
        <v>230321525</v>
      </c>
      <c r="G1807">
        <v>125533433</v>
      </c>
      <c r="H1807">
        <v>62296620</v>
      </c>
      <c r="I1807">
        <v>53004532</v>
      </c>
      <c r="J1807">
        <v>26280090</v>
      </c>
      <c r="P1807">
        <v>51</v>
      </c>
      <c r="Q1807" t="s">
        <v>3935</v>
      </c>
    </row>
    <row r="1808" spans="1:17" x14ac:dyDescent="0.3">
      <c r="A1808" t="s">
        <v>17</v>
      </c>
      <c r="B1808" t="str">
        <f>"688106"</f>
        <v>688106</v>
      </c>
      <c r="C1808" t="s">
        <v>3936</v>
      </c>
      <c r="D1808" t="s">
        <v>2408</v>
      </c>
      <c r="F1808">
        <v>69845301</v>
      </c>
      <c r="G1808">
        <v>46413974</v>
      </c>
      <c r="H1808">
        <v>39888292</v>
      </c>
      <c r="I1808">
        <v>31145480</v>
      </c>
      <c r="J1808">
        <v>22596727</v>
      </c>
      <c r="K1808">
        <v>20138340</v>
      </c>
      <c r="P1808">
        <v>136</v>
      </c>
      <c r="Q1808" t="s">
        <v>3937</v>
      </c>
    </row>
    <row r="1809" spans="1:17" x14ac:dyDescent="0.3">
      <c r="A1809" t="s">
        <v>17</v>
      </c>
      <c r="B1809" t="str">
        <f>"688107"</f>
        <v>688107</v>
      </c>
      <c r="C1809" t="s">
        <v>3938</v>
      </c>
      <c r="D1809" t="s">
        <v>461</v>
      </c>
      <c r="F1809">
        <v>243622169</v>
      </c>
      <c r="G1809">
        <v>125536635</v>
      </c>
      <c r="H1809">
        <v>78665445</v>
      </c>
      <c r="I1809">
        <v>34291046</v>
      </c>
      <c r="P1809">
        <v>31</v>
      </c>
      <c r="Q1809" t="s">
        <v>3939</v>
      </c>
    </row>
    <row r="1810" spans="1:17" x14ac:dyDescent="0.3">
      <c r="A1810" t="s">
        <v>17</v>
      </c>
      <c r="B1810" t="str">
        <f>"688108"</f>
        <v>688108</v>
      </c>
      <c r="C1810" t="s">
        <v>3940</v>
      </c>
      <c r="D1810" t="s">
        <v>1077</v>
      </c>
      <c r="F1810">
        <v>148933105</v>
      </c>
      <c r="G1810">
        <v>108734600</v>
      </c>
      <c r="H1810">
        <v>89592760</v>
      </c>
      <c r="I1810">
        <v>66547817</v>
      </c>
      <c r="J1810">
        <v>53675609</v>
      </c>
      <c r="K1810">
        <v>75997092</v>
      </c>
      <c r="P1810">
        <v>104</v>
      </c>
      <c r="Q1810" t="s">
        <v>3941</v>
      </c>
    </row>
    <row r="1811" spans="1:17" x14ac:dyDescent="0.3">
      <c r="A1811" t="s">
        <v>17</v>
      </c>
      <c r="B1811" t="str">
        <f>"688109"</f>
        <v>688109</v>
      </c>
      <c r="C1811" t="s">
        <v>3942</v>
      </c>
      <c r="D1811" t="s">
        <v>945</v>
      </c>
      <c r="F1811">
        <v>119754298</v>
      </c>
      <c r="G1811">
        <v>80125811</v>
      </c>
      <c r="H1811">
        <v>66091145</v>
      </c>
      <c r="I1811">
        <v>55429769</v>
      </c>
      <c r="J1811">
        <v>42607881</v>
      </c>
      <c r="P1811">
        <v>72</v>
      </c>
      <c r="Q1811" t="s">
        <v>3943</v>
      </c>
    </row>
    <row r="1812" spans="1:17" x14ac:dyDescent="0.3">
      <c r="A1812" t="s">
        <v>17</v>
      </c>
      <c r="B1812" t="str">
        <f>"688110"</f>
        <v>688110</v>
      </c>
      <c r="C1812" t="s">
        <v>3944</v>
      </c>
      <c r="D1812" t="s">
        <v>461</v>
      </c>
      <c r="F1812">
        <v>74813809</v>
      </c>
      <c r="G1812">
        <v>47541528</v>
      </c>
      <c r="H1812">
        <v>48485504</v>
      </c>
      <c r="I1812">
        <v>50196046</v>
      </c>
      <c r="J1812">
        <v>63731189</v>
      </c>
      <c r="P1812">
        <v>28</v>
      </c>
      <c r="Q1812" t="s">
        <v>3945</v>
      </c>
    </row>
    <row r="1813" spans="1:17" x14ac:dyDescent="0.3">
      <c r="A1813" t="s">
        <v>17</v>
      </c>
      <c r="B1813" t="str">
        <f>"688111"</f>
        <v>688111</v>
      </c>
      <c r="C1813" t="s">
        <v>3946</v>
      </c>
      <c r="D1813" t="s">
        <v>1189</v>
      </c>
      <c r="F1813">
        <v>1081624965</v>
      </c>
      <c r="G1813">
        <v>710881895</v>
      </c>
      <c r="H1813">
        <v>598785661</v>
      </c>
      <c r="I1813">
        <v>427535836</v>
      </c>
      <c r="J1813">
        <v>266008048</v>
      </c>
      <c r="K1813">
        <v>213935775</v>
      </c>
      <c r="P1813">
        <v>964</v>
      </c>
      <c r="Q1813" t="s">
        <v>3947</v>
      </c>
    </row>
    <row r="1814" spans="1:17" x14ac:dyDescent="0.3">
      <c r="A1814" t="s">
        <v>17</v>
      </c>
      <c r="B1814" t="str">
        <f>"688112"</f>
        <v>688112</v>
      </c>
      <c r="C1814" t="s">
        <v>3948</v>
      </c>
      <c r="D1814" t="s">
        <v>2566</v>
      </c>
      <c r="F1814">
        <v>38290902</v>
      </c>
      <c r="G1814">
        <v>28869679</v>
      </c>
      <c r="H1814">
        <v>27427501</v>
      </c>
      <c r="I1814">
        <v>23456502</v>
      </c>
      <c r="J1814">
        <v>18107735</v>
      </c>
      <c r="P1814">
        <v>42</v>
      </c>
      <c r="Q1814" t="s">
        <v>3949</v>
      </c>
    </row>
    <row r="1815" spans="1:17" x14ac:dyDescent="0.3">
      <c r="A1815" t="s">
        <v>17</v>
      </c>
      <c r="B1815" t="str">
        <f>"688113"</f>
        <v>688113</v>
      </c>
      <c r="C1815" t="s">
        <v>3950</v>
      </c>
      <c r="D1815" t="s">
        <v>741</v>
      </c>
      <c r="F1815">
        <v>21241620</v>
      </c>
      <c r="G1815">
        <v>23172984</v>
      </c>
      <c r="H1815">
        <v>19227715</v>
      </c>
      <c r="I1815">
        <v>14038826</v>
      </c>
      <c r="J1815">
        <v>11549248</v>
      </c>
      <c r="P1815">
        <v>40</v>
      </c>
      <c r="Q1815" t="s">
        <v>3951</v>
      </c>
    </row>
    <row r="1816" spans="1:17" x14ac:dyDescent="0.3">
      <c r="A1816" t="s">
        <v>17</v>
      </c>
      <c r="B1816" t="str">
        <f>"688115"</f>
        <v>688115</v>
      </c>
      <c r="C1816" t="s">
        <v>3952</v>
      </c>
      <c r="F1816">
        <v>47772113</v>
      </c>
      <c r="G1816">
        <v>40827546</v>
      </c>
      <c r="H1816">
        <v>32516818</v>
      </c>
      <c r="I1816">
        <v>30200454</v>
      </c>
      <c r="P1816">
        <v>7</v>
      </c>
      <c r="Q1816" t="s">
        <v>3953</v>
      </c>
    </row>
    <row r="1817" spans="1:17" x14ac:dyDescent="0.3">
      <c r="A1817" t="s">
        <v>17</v>
      </c>
      <c r="B1817" t="str">
        <f>"688116"</f>
        <v>688116</v>
      </c>
      <c r="C1817" t="s">
        <v>3954</v>
      </c>
      <c r="D1817" t="s">
        <v>1790</v>
      </c>
      <c r="F1817">
        <v>51958172</v>
      </c>
      <c r="G1817">
        <v>28177544</v>
      </c>
      <c r="H1817">
        <v>21324768</v>
      </c>
      <c r="I1817">
        <v>16402852</v>
      </c>
      <c r="J1817">
        <v>13953081</v>
      </c>
      <c r="K1817">
        <v>7772724</v>
      </c>
      <c r="P1817">
        <v>197</v>
      </c>
      <c r="Q1817" t="s">
        <v>3955</v>
      </c>
    </row>
    <row r="1818" spans="1:17" x14ac:dyDescent="0.3">
      <c r="A1818" t="s">
        <v>17</v>
      </c>
      <c r="B1818" t="str">
        <f>"688117"</f>
        <v>688117</v>
      </c>
      <c r="C1818" t="s">
        <v>3956</v>
      </c>
      <c r="D1818" t="s">
        <v>143</v>
      </c>
      <c r="F1818">
        <v>13746563</v>
      </c>
      <c r="G1818">
        <v>18249084</v>
      </c>
      <c r="H1818">
        <v>11097960</v>
      </c>
      <c r="I1818">
        <v>15684268</v>
      </c>
      <c r="J1818">
        <v>14470888</v>
      </c>
      <c r="P1818">
        <v>29</v>
      </c>
      <c r="Q1818" t="s">
        <v>3957</v>
      </c>
    </row>
    <row r="1819" spans="1:17" x14ac:dyDescent="0.3">
      <c r="A1819" t="s">
        <v>17</v>
      </c>
      <c r="B1819" t="str">
        <f>"688118"</f>
        <v>688118</v>
      </c>
      <c r="C1819" t="s">
        <v>3958</v>
      </c>
      <c r="D1819" t="s">
        <v>945</v>
      </c>
      <c r="F1819">
        <v>75199634</v>
      </c>
      <c r="G1819">
        <v>56750995</v>
      </c>
      <c r="H1819">
        <v>55109636</v>
      </c>
      <c r="I1819">
        <v>46352629</v>
      </c>
      <c r="J1819">
        <v>45153658</v>
      </c>
      <c r="K1819">
        <v>43939753</v>
      </c>
      <c r="P1819">
        <v>71</v>
      </c>
      <c r="Q1819" t="s">
        <v>3959</v>
      </c>
    </row>
    <row r="1820" spans="1:17" x14ac:dyDescent="0.3">
      <c r="A1820" t="s">
        <v>17</v>
      </c>
      <c r="B1820" t="str">
        <f>"688121"</f>
        <v>688121</v>
      </c>
      <c r="C1820" t="s">
        <v>3960</v>
      </c>
      <c r="D1820" t="s">
        <v>395</v>
      </c>
      <c r="F1820">
        <v>142042398</v>
      </c>
      <c r="G1820">
        <v>131564508</v>
      </c>
      <c r="H1820">
        <v>87883430</v>
      </c>
      <c r="I1820">
        <v>52536688</v>
      </c>
      <c r="J1820">
        <v>31967184</v>
      </c>
      <c r="P1820">
        <v>24</v>
      </c>
      <c r="Q1820" t="s">
        <v>3961</v>
      </c>
    </row>
    <row r="1821" spans="1:17" x14ac:dyDescent="0.3">
      <c r="A1821" t="s">
        <v>17</v>
      </c>
      <c r="B1821" t="str">
        <f>"688122"</f>
        <v>688122</v>
      </c>
      <c r="C1821" t="s">
        <v>3962</v>
      </c>
      <c r="D1821" t="s">
        <v>98</v>
      </c>
      <c r="F1821">
        <v>185915676</v>
      </c>
      <c r="G1821">
        <v>130694047</v>
      </c>
      <c r="H1821">
        <v>140954688</v>
      </c>
      <c r="I1821">
        <v>88654753</v>
      </c>
      <c r="J1821">
        <v>86104676</v>
      </c>
      <c r="K1821">
        <v>62962647</v>
      </c>
      <c r="P1821">
        <v>307</v>
      </c>
      <c r="Q1821" t="s">
        <v>3963</v>
      </c>
    </row>
    <row r="1822" spans="1:17" x14ac:dyDescent="0.3">
      <c r="A1822" t="s">
        <v>17</v>
      </c>
      <c r="B1822" t="str">
        <f>"688123"</f>
        <v>688123</v>
      </c>
      <c r="C1822" t="s">
        <v>3964</v>
      </c>
      <c r="D1822" t="s">
        <v>461</v>
      </c>
      <c r="F1822">
        <v>74299445</v>
      </c>
      <c r="G1822">
        <v>51965333</v>
      </c>
      <c r="H1822">
        <v>57707720</v>
      </c>
      <c r="I1822">
        <v>52102711</v>
      </c>
      <c r="J1822">
        <v>47284040</v>
      </c>
      <c r="K1822">
        <v>49302991</v>
      </c>
      <c r="P1822">
        <v>163</v>
      </c>
      <c r="Q1822" t="s">
        <v>3965</v>
      </c>
    </row>
    <row r="1823" spans="1:17" x14ac:dyDescent="0.3">
      <c r="A1823" t="s">
        <v>17</v>
      </c>
      <c r="B1823" t="str">
        <f>"688125"</f>
        <v>688125</v>
      </c>
      <c r="C1823" t="s">
        <v>3966</v>
      </c>
      <c r="F1823">
        <v>54063149</v>
      </c>
      <c r="G1823">
        <v>48334268</v>
      </c>
      <c r="H1823">
        <v>39845672</v>
      </c>
      <c r="I1823">
        <v>36637762</v>
      </c>
      <c r="P1823">
        <v>2</v>
      </c>
      <c r="Q1823" t="s">
        <v>3967</v>
      </c>
    </row>
    <row r="1824" spans="1:17" x14ac:dyDescent="0.3">
      <c r="A1824" t="s">
        <v>17</v>
      </c>
      <c r="B1824" t="str">
        <f>"688126"</f>
        <v>688126</v>
      </c>
      <c r="C1824" t="s">
        <v>3968</v>
      </c>
      <c r="D1824" t="s">
        <v>475</v>
      </c>
      <c r="F1824">
        <v>125874379</v>
      </c>
      <c r="G1824">
        <v>130965571</v>
      </c>
      <c r="H1824">
        <v>84157319</v>
      </c>
      <c r="I1824">
        <v>83796207</v>
      </c>
      <c r="J1824">
        <v>90960312</v>
      </c>
      <c r="K1824">
        <v>21379248</v>
      </c>
      <c r="P1824">
        <v>329</v>
      </c>
      <c r="Q1824" t="s">
        <v>3969</v>
      </c>
    </row>
    <row r="1825" spans="1:17" x14ac:dyDescent="0.3">
      <c r="A1825" t="s">
        <v>17</v>
      </c>
      <c r="B1825" t="str">
        <f>"688127"</f>
        <v>688127</v>
      </c>
      <c r="C1825" t="s">
        <v>3970</v>
      </c>
      <c r="D1825" t="s">
        <v>164</v>
      </c>
      <c r="F1825">
        <v>44075142</v>
      </c>
      <c r="G1825">
        <v>27199158</v>
      </c>
      <c r="H1825">
        <v>24521400</v>
      </c>
      <c r="I1825">
        <v>25014240</v>
      </c>
      <c r="J1825">
        <v>15999654</v>
      </c>
      <c r="P1825">
        <v>86</v>
      </c>
      <c r="Q1825" t="s">
        <v>3971</v>
      </c>
    </row>
    <row r="1826" spans="1:17" x14ac:dyDescent="0.3">
      <c r="A1826" t="s">
        <v>17</v>
      </c>
      <c r="B1826" t="str">
        <f>"688128"</f>
        <v>688128</v>
      </c>
      <c r="C1826" t="s">
        <v>3972</v>
      </c>
      <c r="D1826" t="s">
        <v>741</v>
      </c>
      <c r="F1826">
        <v>247189145</v>
      </c>
      <c r="G1826">
        <v>208921491</v>
      </c>
      <c r="H1826">
        <v>214475145</v>
      </c>
      <c r="I1826">
        <v>199235809</v>
      </c>
      <c r="J1826">
        <v>162071610</v>
      </c>
      <c r="K1826">
        <v>141353264</v>
      </c>
      <c r="P1826">
        <v>68</v>
      </c>
      <c r="Q1826" t="s">
        <v>3973</v>
      </c>
    </row>
    <row r="1827" spans="1:17" x14ac:dyDescent="0.3">
      <c r="A1827" t="s">
        <v>17</v>
      </c>
      <c r="B1827" t="str">
        <f>"688129"</f>
        <v>688129</v>
      </c>
      <c r="C1827" t="s">
        <v>3974</v>
      </c>
      <c r="D1827" t="s">
        <v>2585</v>
      </c>
      <c r="F1827">
        <v>26425954</v>
      </c>
      <c r="G1827">
        <v>25536368</v>
      </c>
      <c r="H1827">
        <v>26975288</v>
      </c>
      <c r="I1827">
        <v>23188276</v>
      </c>
      <c r="J1827">
        <v>22634399</v>
      </c>
      <c r="P1827">
        <v>38</v>
      </c>
      <c r="Q1827" t="s">
        <v>3975</v>
      </c>
    </row>
    <row r="1828" spans="1:17" x14ac:dyDescent="0.3">
      <c r="A1828" t="s">
        <v>17</v>
      </c>
      <c r="B1828" t="str">
        <f>"688131"</f>
        <v>688131</v>
      </c>
      <c r="C1828" t="s">
        <v>3976</v>
      </c>
      <c r="D1828" t="s">
        <v>496</v>
      </c>
      <c r="F1828">
        <v>103452173</v>
      </c>
      <c r="G1828">
        <v>64798283</v>
      </c>
      <c r="H1828">
        <v>53044858</v>
      </c>
      <c r="I1828">
        <v>35422256</v>
      </c>
      <c r="J1828">
        <v>28193952</v>
      </c>
      <c r="P1828">
        <v>88</v>
      </c>
      <c r="Q1828" t="s">
        <v>3977</v>
      </c>
    </row>
    <row r="1829" spans="1:17" x14ac:dyDescent="0.3">
      <c r="A1829" t="s">
        <v>17</v>
      </c>
      <c r="B1829" t="str">
        <f>"688133"</f>
        <v>688133</v>
      </c>
      <c r="C1829" t="s">
        <v>3978</v>
      </c>
      <c r="D1829" t="s">
        <v>386</v>
      </c>
      <c r="F1829">
        <v>84078034</v>
      </c>
      <c r="G1829">
        <v>49052682</v>
      </c>
      <c r="H1829">
        <v>36483311</v>
      </c>
      <c r="I1829">
        <v>29984418</v>
      </c>
      <c r="J1829">
        <v>28884639</v>
      </c>
      <c r="K1829">
        <v>18873996</v>
      </c>
      <c r="P1829">
        <v>118</v>
      </c>
      <c r="Q1829" t="s">
        <v>3979</v>
      </c>
    </row>
    <row r="1830" spans="1:17" x14ac:dyDescent="0.3">
      <c r="A1830" t="s">
        <v>17</v>
      </c>
      <c r="B1830" t="str">
        <f>"688135"</f>
        <v>688135</v>
      </c>
      <c r="C1830" t="s">
        <v>3980</v>
      </c>
      <c r="D1830" t="s">
        <v>1180</v>
      </c>
      <c r="F1830">
        <v>48752947</v>
      </c>
      <c r="G1830">
        <v>24782130</v>
      </c>
      <c r="H1830">
        <v>21991302</v>
      </c>
      <c r="I1830">
        <v>12560348</v>
      </c>
      <c r="J1830">
        <v>10976250</v>
      </c>
      <c r="P1830">
        <v>87</v>
      </c>
      <c r="Q1830" t="s">
        <v>3981</v>
      </c>
    </row>
    <row r="1831" spans="1:17" x14ac:dyDescent="0.3">
      <c r="A1831" t="s">
        <v>17</v>
      </c>
      <c r="B1831" t="str">
        <f>"688136"</f>
        <v>688136</v>
      </c>
      <c r="C1831" t="s">
        <v>3982</v>
      </c>
      <c r="D1831" t="s">
        <v>1379</v>
      </c>
      <c r="F1831">
        <v>122950815</v>
      </c>
      <c r="G1831">
        <v>60110739</v>
      </c>
      <c r="H1831">
        <v>46169653</v>
      </c>
      <c r="I1831">
        <v>42676847</v>
      </c>
      <c r="J1831">
        <v>32347415</v>
      </c>
      <c r="P1831">
        <v>66</v>
      </c>
      <c r="Q1831" t="s">
        <v>3983</v>
      </c>
    </row>
    <row r="1832" spans="1:17" x14ac:dyDescent="0.3">
      <c r="A1832" t="s">
        <v>17</v>
      </c>
      <c r="B1832" t="str">
        <f>"688138"</f>
        <v>688138</v>
      </c>
      <c r="C1832" t="s">
        <v>3984</v>
      </c>
      <c r="D1832" t="s">
        <v>475</v>
      </c>
      <c r="F1832">
        <v>36841806</v>
      </c>
      <c r="G1832">
        <v>24199459</v>
      </c>
      <c r="H1832">
        <v>20391376</v>
      </c>
      <c r="I1832">
        <v>16675674</v>
      </c>
      <c r="J1832">
        <v>15860757</v>
      </c>
      <c r="K1832">
        <v>14128172</v>
      </c>
      <c r="P1832">
        <v>92</v>
      </c>
      <c r="Q1832" t="s">
        <v>3985</v>
      </c>
    </row>
    <row r="1833" spans="1:17" x14ac:dyDescent="0.3">
      <c r="A1833" t="s">
        <v>17</v>
      </c>
      <c r="B1833" t="str">
        <f>"688139"</f>
        <v>688139</v>
      </c>
      <c r="C1833" t="s">
        <v>3986</v>
      </c>
      <c r="D1833" t="s">
        <v>122</v>
      </c>
      <c r="F1833">
        <v>236307039</v>
      </c>
      <c r="G1833">
        <v>150719188</v>
      </c>
      <c r="H1833">
        <v>121361166</v>
      </c>
      <c r="I1833">
        <v>90353902</v>
      </c>
      <c r="J1833">
        <v>82877764</v>
      </c>
      <c r="K1833">
        <v>35668534</v>
      </c>
      <c r="P1833">
        <v>349</v>
      </c>
      <c r="Q1833" t="s">
        <v>3987</v>
      </c>
    </row>
    <row r="1834" spans="1:17" x14ac:dyDescent="0.3">
      <c r="A1834" t="s">
        <v>17</v>
      </c>
      <c r="B1834" t="str">
        <f>"688148"</f>
        <v>688148</v>
      </c>
      <c r="C1834" t="s">
        <v>3988</v>
      </c>
      <c r="D1834" t="s">
        <v>1790</v>
      </c>
      <c r="F1834">
        <v>91357005</v>
      </c>
      <c r="G1834">
        <v>44875720</v>
      </c>
      <c r="H1834">
        <v>43221703</v>
      </c>
      <c r="I1834">
        <v>29813742</v>
      </c>
      <c r="J1834">
        <v>8034477</v>
      </c>
      <c r="P1834">
        <v>29</v>
      </c>
      <c r="Q1834" t="s">
        <v>3989</v>
      </c>
    </row>
    <row r="1835" spans="1:17" x14ac:dyDescent="0.3">
      <c r="A1835" t="s">
        <v>17</v>
      </c>
      <c r="B1835" t="str">
        <f>"688150"</f>
        <v>688150</v>
      </c>
      <c r="C1835" t="s">
        <v>3990</v>
      </c>
      <c r="F1835">
        <v>36674189</v>
      </c>
      <c r="G1835">
        <v>29450873</v>
      </c>
      <c r="H1835">
        <v>18380058</v>
      </c>
      <c r="I1835">
        <v>10999860</v>
      </c>
      <c r="P1835">
        <v>4</v>
      </c>
      <c r="Q1835" t="s">
        <v>3991</v>
      </c>
    </row>
    <row r="1836" spans="1:17" x14ac:dyDescent="0.3">
      <c r="A1836" t="s">
        <v>17</v>
      </c>
      <c r="B1836" t="str">
        <f>"688151"</f>
        <v>688151</v>
      </c>
      <c r="C1836" t="s">
        <v>3992</v>
      </c>
      <c r="D1836" t="s">
        <v>428</v>
      </c>
      <c r="F1836">
        <v>58924205</v>
      </c>
      <c r="G1836">
        <v>39620118</v>
      </c>
      <c r="H1836">
        <v>44063433</v>
      </c>
      <c r="I1836">
        <v>29140908</v>
      </c>
      <c r="J1836">
        <v>19649542</v>
      </c>
      <c r="P1836">
        <v>13</v>
      </c>
      <c r="Q1836" t="s">
        <v>3993</v>
      </c>
    </row>
    <row r="1837" spans="1:17" x14ac:dyDescent="0.3">
      <c r="A1837" t="s">
        <v>17</v>
      </c>
      <c r="B1837" t="str">
        <f>"688153"</f>
        <v>688153</v>
      </c>
      <c r="C1837" t="s">
        <v>3994</v>
      </c>
      <c r="F1837">
        <v>467025454</v>
      </c>
      <c r="G1837">
        <v>219724128</v>
      </c>
      <c r="H1837">
        <v>91813458</v>
      </c>
      <c r="I1837">
        <v>60920678</v>
      </c>
      <c r="P1837">
        <v>8</v>
      </c>
      <c r="Q1837" t="s">
        <v>3995</v>
      </c>
    </row>
    <row r="1838" spans="1:17" x14ac:dyDescent="0.3">
      <c r="A1838" t="s">
        <v>17</v>
      </c>
      <c r="B1838" t="str">
        <f>"688155"</f>
        <v>688155</v>
      </c>
      <c r="C1838" t="s">
        <v>3996</v>
      </c>
      <c r="D1838" t="s">
        <v>3776</v>
      </c>
      <c r="F1838">
        <v>98523152</v>
      </c>
      <c r="G1838">
        <v>53515788</v>
      </c>
      <c r="H1838">
        <v>47022251</v>
      </c>
      <c r="I1838">
        <v>33873457</v>
      </c>
      <c r="J1838">
        <v>23163426</v>
      </c>
      <c r="K1838">
        <v>16336152</v>
      </c>
      <c r="P1838">
        <v>101</v>
      </c>
      <c r="Q1838" t="s">
        <v>3997</v>
      </c>
    </row>
    <row r="1839" spans="1:17" x14ac:dyDescent="0.3">
      <c r="A1839" t="s">
        <v>17</v>
      </c>
      <c r="B1839" t="str">
        <f>"688156"</f>
        <v>688156</v>
      </c>
      <c r="C1839" t="s">
        <v>3998</v>
      </c>
      <c r="D1839" t="s">
        <v>499</v>
      </c>
      <c r="F1839">
        <v>15949008</v>
      </c>
      <c r="G1839">
        <v>11169091</v>
      </c>
      <c r="H1839">
        <v>10952676</v>
      </c>
      <c r="I1839">
        <v>6117289</v>
      </c>
      <c r="J1839">
        <v>6930394</v>
      </c>
      <c r="K1839">
        <v>3606961</v>
      </c>
      <c r="P1839">
        <v>41</v>
      </c>
      <c r="Q1839" t="s">
        <v>3999</v>
      </c>
    </row>
    <row r="1840" spans="1:17" x14ac:dyDescent="0.3">
      <c r="A1840" t="s">
        <v>17</v>
      </c>
      <c r="B1840" t="str">
        <f>"688157"</f>
        <v>688157</v>
      </c>
      <c r="C1840" t="s">
        <v>4000</v>
      </c>
      <c r="D1840" t="s">
        <v>2585</v>
      </c>
      <c r="F1840">
        <v>58754358</v>
      </c>
      <c r="G1840">
        <v>52515718</v>
      </c>
      <c r="H1840">
        <v>44766130</v>
      </c>
      <c r="I1840">
        <v>30581877</v>
      </c>
      <c r="J1840">
        <v>21219501</v>
      </c>
      <c r="K1840">
        <v>17983355</v>
      </c>
      <c r="P1840">
        <v>100</v>
      </c>
      <c r="Q1840" t="s">
        <v>4001</v>
      </c>
    </row>
    <row r="1841" spans="1:17" x14ac:dyDescent="0.3">
      <c r="A1841" t="s">
        <v>17</v>
      </c>
      <c r="B1841" t="str">
        <f>"688158"</f>
        <v>688158</v>
      </c>
      <c r="C1841" t="s">
        <v>4002</v>
      </c>
      <c r="D1841" t="s">
        <v>316</v>
      </c>
      <c r="F1841">
        <v>325832951</v>
      </c>
      <c r="G1841">
        <v>245537660</v>
      </c>
      <c r="H1841">
        <v>188074109</v>
      </c>
      <c r="I1841">
        <v>160479863</v>
      </c>
      <c r="J1841">
        <v>106447930</v>
      </c>
      <c r="K1841">
        <v>97982390</v>
      </c>
      <c r="P1841">
        <v>104</v>
      </c>
      <c r="Q1841" t="s">
        <v>4003</v>
      </c>
    </row>
    <row r="1842" spans="1:17" x14ac:dyDescent="0.3">
      <c r="A1842" t="s">
        <v>17</v>
      </c>
      <c r="B1842" t="str">
        <f>"688159"</f>
        <v>688159</v>
      </c>
      <c r="C1842" t="s">
        <v>4004</v>
      </c>
      <c r="D1842" t="s">
        <v>786</v>
      </c>
      <c r="F1842">
        <v>78562780</v>
      </c>
      <c r="G1842">
        <v>87402458</v>
      </c>
      <c r="H1842">
        <v>62051574</v>
      </c>
      <c r="I1842">
        <v>40581658</v>
      </c>
      <c r="J1842">
        <v>24544608</v>
      </c>
      <c r="K1842">
        <v>17075136</v>
      </c>
      <c r="P1842">
        <v>93</v>
      </c>
      <c r="Q1842" t="s">
        <v>4005</v>
      </c>
    </row>
    <row r="1843" spans="1:17" x14ac:dyDescent="0.3">
      <c r="A1843" t="s">
        <v>17</v>
      </c>
      <c r="B1843" t="str">
        <f>"688160"</f>
        <v>688160</v>
      </c>
      <c r="C1843" t="s">
        <v>4006</v>
      </c>
      <c r="D1843" t="s">
        <v>2432</v>
      </c>
      <c r="F1843">
        <v>47070312</v>
      </c>
      <c r="G1843">
        <v>39980949</v>
      </c>
      <c r="H1843">
        <v>39706175</v>
      </c>
      <c r="I1843">
        <v>31846863</v>
      </c>
      <c r="J1843">
        <v>30071095</v>
      </c>
      <c r="P1843">
        <v>44</v>
      </c>
      <c r="Q1843" t="s">
        <v>4007</v>
      </c>
    </row>
    <row r="1844" spans="1:17" x14ac:dyDescent="0.3">
      <c r="A1844" t="s">
        <v>17</v>
      </c>
      <c r="B1844" t="str">
        <f>"688161"</f>
        <v>688161</v>
      </c>
      <c r="C1844" t="s">
        <v>4008</v>
      </c>
      <c r="D1844" t="s">
        <v>1077</v>
      </c>
      <c r="F1844">
        <v>121225000</v>
      </c>
      <c r="G1844">
        <v>82463201</v>
      </c>
      <c r="H1844">
        <v>74091145</v>
      </c>
      <c r="I1844">
        <v>48060441</v>
      </c>
      <c r="J1844">
        <v>37781437</v>
      </c>
      <c r="P1844">
        <v>101</v>
      </c>
      <c r="Q1844" t="s">
        <v>4009</v>
      </c>
    </row>
    <row r="1845" spans="1:17" x14ac:dyDescent="0.3">
      <c r="A1845" t="s">
        <v>17</v>
      </c>
      <c r="B1845" t="str">
        <f>"688162"</f>
        <v>688162</v>
      </c>
      <c r="C1845" t="s">
        <v>4010</v>
      </c>
      <c r="D1845" t="s">
        <v>348</v>
      </c>
      <c r="F1845">
        <v>166472016</v>
      </c>
      <c r="G1845">
        <v>135336747</v>
      </c>
      <c r="H1845">
        <v>140828615</v>
      </c>
      <c r="I1845">
        <v>130035284</v>
      </c>
      <c r="J1845">
        <v>121251622</v>
      </c>
      <c r="P1845">
        <v>31</v>
      </c>
      <c r="Q1845" t="s">
        <v>4011</v>
      </c>
    </row>
    <row r="1846" spans="1:17" x14ac:dyDescent="0.3">
      <c r="A1846" t="s">
        <v>17</v>
      </c>
      <c r="B1846" t="str">
        <f>"688163"</f>
        <v>688163</v>
      </c>
      <c r="C1846" t="s">
        <v>4012</v>
      </c>
      <c r="F1846">
        <v>25763089</v>
      </c>
      <c r="G1846">
        <v>22516367</v>
      </c>
      <c r="H1846">
        <v>19227701</v>
      </c>
      <c r="I1846">
        <v>12783702</v>
      </c>
      <c r="J1846">
        <v>7410982</v>
      </c>
      <c r="P1846">
        <v>12</v>
      </c>
      <c r="Q1846" t="s">
        <v>4013</v>
      </c>
    </row>
    <row r="1847" spans="1:17" x14ac:dyDescent="0.3">
      <c r="A1847" t="s">
        <v>17</v>
      </c>
      <c r="B1847" t="str">
        <f>"688165"</f>
        <v>688165</v>
      </c>
      <c r="C1847" t="s">
        <v>4014</v>
      </c>
      <c r="D1847" t="s">
        <v>2938</v>
      </c>
      <c r="F1847">
        <v>111179815</v>
      </c>
      <c r="G1847">
        <v>77349078</v>
      </c>
      <c r="H1847">
        <v>75370362</v>
      </c>
      <c r="I1847">
        <v>71481592</v>
      </c>
      <c r="J1847">
        <v>49824037</v>
      </c>
      <c r="K1847">
        <v>35967488</v>
      </c>
      <c r="P1847">
        <v>64</v>
      </c>
      <c r="Q1847" t="s">
        <v>4015</v>
      </c>
    </row>
    <row r="1848" spans="1:17" x14ac:dyDescent="0.3">
      <c r="A1848" t="s">
        <v>17</v>
      </c>
      <c r="B1848" t="str">
        <f>"688166"</f>
        <v>688166</v>
      </c>
      <c r="C1848" t="s">
        <v>4016</v>
      </c>
      <c r="D1848" t="s">
        <v>143</v>
      </c>
      <c r="F1848">
        <v>173289568</v>
      </c>
      <c r="G1848">
        <v>140844449</v>
      </c>
      <c r="H1848">
        <v>124875374</v>
      </c>
      <c r="I1848">
        <v>96115025</v>
      </c>
      <c r="J1848">
        <v>80811613</v>
      </c>
      <c r="K1848">
        <v>53576541</v>
      </c>
      <c r="P1848">
        <v>192</v>
      </c>
      <c r="Q1848" t="s">
        <v>4017</v>
      </c>
    </row>
    <row r="1849" spans="1:17" x14ac:dyDescent="0.3">
      <c r="A1849" t="s">
        <v>17</v>
      </c>
      <c r="B1849" t="str">
        <f>"688167"</f>
        <v>688167</v>
      </c>
      <c r="C1849" t="s">
        <v>4018</v>
      </c>
      <c r="D1849" t="s">
        <v>3811</v>
      </c>
      <c r="F1849">
        <v>67786438</v>
      </c>
      <c r="G1849">
        <v>69897131</v>
      </c>
      <c r="H1849">
        <v>74870546</v>
      </c>
      <c r="I1849">
        <v>54580859</v>
      </c>
      <c r="J1849">
        <v>51838601</v>
      </c>
      <c r="P1849">
        <v>32</v>
      </c>
      <c r="Q1849" t="s">
        <v>4019</v>
      </c>
    </row>
    <row r="1850" spans="1:17" x14ac:dyDescent="0.3">
      <c r="A1850" t="s">
        <v>17</v>
      </c>
      <c r="B1850" t="str">
        <f>"688168"</f>
        <v>688168</v>
      </c>
      <c r="C1850" t="s">
        <v>4020</v>
      </c>
      <c r="D1850" t="s">
        <v>1189</v>
      </c>
      <c r="F1850">
        <v>93578255</v>
      </c>
      <c r="G1850">
        <v>63300838</v>
      </c>
      <c r="H1850">
        <v>37773098</v>
      </c>
      <c r="I1850">
        <v>26553731</v>
      </c>
      <c r="J1850">
        <v>26528449</v>
      </c>
      <c r="K1850">
        <v>15852246</v>
      </c>
      <c r="P1850">
        <v>144</v>
      </c>
      <c r="Q1850" t="s">
        <v>4021</v>
      </c>
    </row>
    <row r="1851" spans="1:17" x14ac:dyDescent="0.3">
      <c r="A1851" t="s">
        <v>17</v>
      </c>
      <c r="B1851" t="str">
        <f>"688169"</f>
        <v>688169</v>
      </c>
      <c r="C1851" t="s">
        <v>4022</v>
      </c>
      <c r="D1851" t="s">
        <v>2720</v>
      </c>
      <c r="F1851">
        <v>440800628</v>
      </c>
      <c r="G1851">
        <v>262782154</v>
      </c>
      <c r="H1851">
        <v>192795938</v>
      </c>
      <c r="I1851">
        <v>116615610</v>
      </c>
      <c r="J1851">
        <v>106277155</v>
      </c>
      <c r="K1851">
        <v>39359340</v>
      </c>
      <c r="P1851">
        <v>758</v>
      </c>
      <c r="Q1851" t="s">
        <v>4023</v>
      </c>
    </row>
    <row r="1852" spans="1:17" x14ac:dyDescent="0.3">
      <c r="A1852" t="s">
        <v>17</v>
      </c>
      <c r="B1852" t="str">
        <f>"688170"</f>
        <v>688170</v>
      </c>
      <c r="C1852" t="s">
        <v>4024</v>
      </c>
      <c r="F1852">
        <v>58932661</v>
      </c>
      <c r="G1852">
        <v>46614540</v>
      </c>
      <c r="H1852">
        <v>42999031</v>
      </c>
      <c r="I1852">
        <v>44427742</v>
      </c>
      <c r="P1852">
        <v>2</v>
      </c>
      <c r="Q1852" t="s">
        <v>4025</v>
      </c>
    </row>
    <row r="1853" spans="1:17" x14ac:dyDescent="0.3">
      <c r="A1853" t="s">
        <v>17</v>
      </c>
      <c r="B1853" t="str">
        <f>"688171"</f>
        <v>688171</v>
      </c>
      <c r="C1853" t="s">
        <v>4026</v>
      </c>
      <c r="F1853">
        <v>21215570</v>
      </c>
      <c r="G1853">
        <v>15144218</v>
      </c>
      <c r="H1853">
        <v>8346943</v>
      </c>
      <c r="I1853">
        <v>11176473</v>
      </c>
      <c r="J1853">
        <v>7854451</v>
      </c>
      <c r="P1853">
        <v>12</v>
      </c>
      <c r="Q1853" t="s">
        <v>4027</v>
      </c>
    </row>
    <row r="1854" spans="1:17" x14ac:dyDescent="0.3">
      <c r="A1854" t="s">
        <v>17</v>
      </c>
      <c r="B1854" t="str">
        <f>"688173"</f>
        <v>688173</v>
      </c>
      <c r="C1854" t="s">
        <v>4028</v>
      </c>
      <c r="F1854">
        <v>149732562</v>
      </c>
      <c r="G1854">
        <v>181424104</v>
      </c>
      <c r="H1854">
        <v>34255581</v>
      </c>
      <c r="I1854">
        <v>14490834</v>
      </c>
      <c r="P1854">
        <v>11</v>
      </c>
      <c r="Q1854" t="s">
        <v>4029</v>
      </c>
    </row>
    <row r="1855" spans="1:17" x14ac:dyDescent="0.3">
      <c r="A1855" t="s">
        <v>17</v>
      </c>
      <c r="B1855" t="str">
        <f>"688175"</f>
        <v>688175</v>
      </c>
      <c r="C1855" t="s">
        <v>4030</v>
      </c>
      <c r="F1855">
        <v>79880091</v>
      </c>
      <c r="G1855">
        <v>61527542</v>
      </c>
      <c r="H1855">
        <v>40398468</v>
      </c>
      <c r="I1855">
        <v>25833563</v>
      </c>
      <c r="P1855">
        <v>3</v>
      </c>
      <c r="Q1855" t="s">
        <v>4031</v>
      </c>
    </row>
    <row r="1856" spans="1:17" x14ac:dyDescent="0.3">
      <c r="A1856" t="s">
        <v>17</v>
      </c>
      <c r="B1856" t="str">
        <f>"688176"</f>
        <v>688176</v>
      </c>
      <c r="C1856" t="s">
        <v>4032</v>
      </c>
      <c r="D1856" t="s">
        <v>143</v>
      </c>
      <c r="F1856">
        <v>190744102</v>
      </c>
      <c r="G1856">
        <v>172029661</v>
      </c>
      <c r="H1856">
        <v>141918857</v>
      </c>
      <c r="I1856">
        <v>49768227</v>
      </c>
      <c r="P1856">
        <v>9</v>
      </c>
      <c r="Q1856" t="s">
        <v>4033</v>
      </c>
    </row>
    <row r="1857" spans="1:17" x14ac:dyDescent="0.3">
      <c r="A1857" t="s">
        <v>17</v>
      </c>
      <c r="B1857" t="str">
        <f>"688177"</f>
        <v>688177</v>
      </c>
      <c r="C1857" t="s">
        <v>4034</v>
      </c>
      <c r="D1857" t="s">
        <v>1379</v>
      </c>
      <c r="F1857">
        <v>543415219</v>
      </c>
      <c r="G1857">
        <v>562654593</v>
      </c>
      <c r="H1857">
        <v>636511058</v>
      </c>
      <c r="I1857">
        <v>541689371</v>
      </c>
      <c r="J1857">
        <v>236507705</v>
      </c>
      <c r="K1857">
        <v>131502948</v>
      </c>
      <c r="P1857">
        <v>98</v>
      </c>
      <c r="Q1857" t="s">
        <v>4035</v>
      </c>
    </row>
    <row r="1858" spans="1:17" x14ac:dyDescent="0.3">
      <c r="A1858" t="s">
        <v>17</v>
      </c>
      <c r="B1858" t="str">
        <f>"688178"</f>
        <v>688178</v>
      </c>
      <c r="C1858" t="s">
        <v>4036</v>
      </c>
      <c r="D1858" t="s">
        <v>33</v>
      </c>
      <c r="F1858">
        <v>41904715</v>
      </c>
      <c r="G1858">
        <v>32213594</v>
      </c>
      <c r="H1858">
        <v>30681432</v>
      </c>
      <c r="I1858">
        <v>19831180</v>
      </c>
      <c r="J1858">
        <v>10992896</v>
      </c>
      <c r="K1858">
        <v>9259548</v>
      </c>
      <c r="P1858">
        <v>69</v>
      </c>
      <c r="Q1858" t="s">
        <v>4037</v>
      </c>
    </row>
    <row r="1859" spans="1:17" x14ac:dyDescent="0.3">
      <c r="A1859" t="s">
        <v>17</v>
      </c>
      <c r="B1859" t="str">
        <f>"688179"</f>
        <v>688179</v>
      </c>
      <c r="C1859" t="s">
        <v>4038</v>
      </c>
      <c r="D1859" t="s">
        <v>386</v>
      </c>
      <c r="F1859">
        <v>22658802</v>
      </c>
      <c r="G1859">
        <v>15682906</v>
      </c>
      <c r="H1859">
        <v>15720216</v>
      </c>
      <c r="I1859">
        <v>12616851</v>
      </c>
      <c r="J1859">
        <v>8962210</v>
      </c>
      <c r="P1859">
        <v>156</v>
      </c>
      <c r="Q1859" t="s">
        <v>4039</v>
      </c>
    </row>
    <row r="1860" spans="1:17" x14ac:dyDescent="0.3">
      <c r="A1860" t="s">
        <v>17</v>
      </c>
      <c r="B1860" t="str">
        <f>"688180"</f>
        <v>688180</v>
      </c>
      <c r="C1860" t="s">
        <v>4040</v>
      </c>
      <c r="D1860" t="s">
        <v>1379</v>
      </c>
      <c r="F1860">
        <v>2068739301</v>
      </c>
      <c r="G1860">
        <v>1778022999</v>
      </c>
      <c r="H1860">
        <v>946099974</v>
      </c>
      <c r="I1860">
        <v>538182848</v>
      </c>
      <c r="J1860">
        <v>275303382</v>
      </c>
      <c r="K1860">
        <v>122001259</v>
      </c>
      <c r="P1860">
        <v>206</v>
      </c>
      <c r="Q1860" t="s">
        <v>4041</v>
      </c>
    </row>
    <row r="1861" spans="1:17" x14ac:dyDescent="0.3">
      <c r="A1861" t="s">
        <v>17</v>
      </c>
      <c r="B1861" t="str">
        <f>"688181"</f>
        <v>688181</v>
      </c>
      <c r="C1861" t="s">
        <v>4042</v>
      </c>
      <c r="D1861" t="s">
        <v>1117</v>
      </c>
      <c r="F1861">
        <v>52441376</v>
      </c>
      <c r="G1861">
        <v>34565470</v>
      </c>
      <c r="H1861">
        <v>26675445</v>
      </c>
      <c r="I1861">
        <v>18099240</v>
      </c>
      <c r="J1861">
        <v>13000142</v>
      </c>
      <c r="K1861">
        <v>10741928</v>
      </c>
      <c r="P1861">
        <v>108</v>
      </c>
      <c r="Q1861" t="s">
        <v>4043</v>
      </c>
    </row>
    <row r="1862" spans="1:17" x14ac:dyDescent="0.3">
      <c r="A1862" t="s">
        <v>17</v>
      </c>
      <c r="B1862" t="str">
        <f>"688182"</f>
        <v>688182</v>
      </c>
      <c r="C1862" t="s">
        <v>4044</v>
      </c>
      <c r="D1862" t="s">
        <v>1019</v>
      </c>
      <c r="F1862">
        <v>31294989</v>
      </c>
      <c r="G1862">
        <v>41843325</v>
      </c>
      <c r="H1862">
        <v>52086167</v>
      </c>
      <c r="I1862">
        <v>19490823</v>
      </c>
      <c r="J1862">
        <v>9807047</v>
      </c>
      <c r="P1862">
        <v>17</v>
      </c>
      <c r="Q1862" t="s">
        <v>4045</v>
      </c>
    </row>
    <row r="1863" spans="1:17" x14ac:dyDescent="0.3">
      <c r="A1863" t="s">
        <v>17</v>
      </c>
      <c r="B1863" t="str">
        <f>"688183"</f>
        <v>688183</v>
      </c>
      <c r="C1863" t="s">
        <v>4046</v>
      </c>
      <c r="D1863" t="s">
        <v>425</v>
      </c>
      <c r="F1863">
        <v>189579659</v>
      </c>
      <c r="G1863">
        <v>156199942</v>
      </c>
      <c r="H1863">
        <v>142394031</v>
      </c>
      <c r="I1863">
        <v>110879519</v>
      </c>
      <c r="J1863">
        <v>93232433</v>
      </c>
      <c r="P1863">
        <v>41</v>
      </c>
      <c r="Q1863" t="s">
        <v>4047</v>
      </c>
    </row>
    <row r="1864" spans="1:17" x14ac:dyDescent="0.3">
      <c r="A1864" t="s">
        <v>17</v>
      </c>
      <c r="B1864" t="str">
        <f>"688185"</f>
        <v>688185</v>
      </c>
      <c r="C1864" t="s">
        <v>4048</v>
      </c>
      <c r="D1864" t="s">
        <v>1499</v>
      </c>
      <c r="F1864">
        <v>878718000</v>
      </c>
      <c r="G1864">
        <v>428485740</v>
      </c>
      <c r="H1864">
        <v>151745949</v>
      </c>
      <c r="I1864">
        <v>113379785</v>
      </c>
      <c r="J1864">
        <v>68100046</v>
      </c>
      <c r="K1864">
        <v>51633412</v>
      </c>
      <c r="P1864">
        <v>266</v>
      </c>
      <c r="Q1864" t="s">
        <v>4049</v>
      </c>
    </row>
    <row r="1865" spans="1:17" x14ac:dyDescent="0.3">
      <c r="A1865" t="s">
        <v>17</v>
      </c>
      <c r="B1865" t="str">
        <f>"688186"</f>
        <v>688186</v>
      </c>
      <c r="C1865" t="s">
        <v>4050</v>
      </c>
      <c r="D1865" t="s">
        <v>281</v>
      </c>
      <c r="F1865">
        <v>130917813</v>
      </c>
      <c r="G1865">
        <v>74739617</v>
      </c>
      <c r="H1865">
        <v>53789469</v>
      </c>
      <c r="I1865">
        <v>49505562</v>
      </c>
      <c r="J1865">
        <v>31308091</v>
      </c>
      <c r="K1865">
        <v>26272239</v>
      </c>
      <c r="P1865">
        <v>110</v>
      </c>
      <c r="Q1865" t="s">
        <v>4051</v>
      </c>
    </row>
    <row r="1866" spans="1:17" x14ac:dyDescent="0.3">
      <c r="A1866" t="s">
        <v>17</v>
      </c>
      <c r="B1866" t="str">
        <f>"688187"</f>
        <v>688187</v>
      </c>
      <c r="C1866" t="s">
        <v>4052</v>
      </c>
      <c r="D1866" t="s">
        <v>1012</v>
      </c>
      <c r="F1866">
        <v>1690047967</v>
      </c>
      <c r="G1866">
        <v>1686836761</v>
      </c>
      <c r="H1866">
        <v>1606529489</v>
      </c>
      <c r="I1866">
        <v>1442970390</v>
      </c>
      <c r="J1866">
        <v>1357311597</v>
      </c>
      <c r="P1866">
        <v>59</v>
      </c>
      <c r="Q1866" t="s">
        <v>4053</v>
      </c>
    </row>
    <row r="1867" spans="1:17" x14ac:dyDescent="0.3">
      <c r="A1867" t="s">
        <v>17</v>
      </c>
      <c r="B1867" t="str">
        <f>"688188"</f>
        <v>688188</v>
      </c>
      <c r="C1867" t="s">
        <v>4054</v>
      </c>
      <c r="D1867" t="s">
        <v>236</v>
      </c>
      <c r="F1867">
        <v>138138029</v>
      </c>
      <c r="G1867">
        <v>82065447</v>
      </c>
      <c r="H1867">
        <v>41338071</v>
      </c>
      <c r="I1867">
        <v>28135081</v>
      </c>
      <c r="J1867">
        <v>20786768</v>
      </c>
      <c r="K1867">
        <v>13816174</v>
      </c>
      <c r="P1867">
        <v>365</v>
      </c>
      <c r="Q1867" t="s">
        <v>4055</v>
      </c>
    </row>
    <row r="1868" spans="1:17" x14ac:dyDescent="0.3">
      <c r="A1868" t="s">
        <v>17</v>
      </c>
      <c r="B1868" t="str">
        <f>"688189"</f>
        <v>688189</v>
      </c>
      <c r="C1868" t="s">
        <v>4056</v>
      </c>
      <c r="D1868" t="s">
        <v>143</v>
      </c>
      <c r="F1868">
        <v>78033827</v>
      </c>
      <c r="G1868">
        <v>94038021</v>
      </c>
      <c r="H1868">
        <v>71764880</v>
      </c>
      <c r="I1868">
        <v>41516971</v>
      </c>
      <c r="J1868">
        <v>17167151</v>
      </c>
      <c r="K1868">
        <v>7860379</v>
      </c>
      <c r="P1868">
        <v>97</v>
      </c>
      <c r="Q1868" t="s">
        <v>4057</v>
      </c>
    </row>
    <row r="1869" spans="1:17" x14ac:dyDescent="0.3">
      <c r="A1869" t="s">
        <v>17</v>
      </c>
      <c r="B1869" t="str">
        <f>"688190"</f>
        <v>688190</v>
      </c>
      <c r="C1869" t="s">
        <v>4058</v>
      </c>
      <c r="D1869" t="s">
        <v>581</v>
      </c>
      <c r="F1869">
        <v>52957137</v>
      </c>
      <c r="G1869">
        <v>41246056</v>
      </c>
      <c r="H1869">
        <v>30611353</v>
      </c>
      <c r="I1869">
        <v>26737368</v>
      </c>
      <c r="P1869">
        <v>15</v>
      </c>
      <c r="Q1869" t="s">
        <v>4059</v>
      </c>
    </row>
    <row r="1870" spans="1:17" x14ac:dyDescent="0.3">
      <c r="A1870" t="s">
        <v>17</v>
      </c>
      <c r="B1870" t="str">
        <f>"688191"</f>
        <v>688191</v>
      </c>
      <c r="C1870" t="s">
        <v>4060</v>
      </c>
      <c r="D1870" t="s">
        <v>610</v>
      </c>
      <c r="F1870">
        <v>69021920</v>
      </c>
      <c r="G1870">
        <v>39256015</v>
      </c>
      <c r="H1870">
        <v>29378806</v>
      </c>
      <c r="I1870">
        <v>22352262</v>
      </c>
      <c r="J1870">
        <v>15352038</v>
      </c>
      <c r="P1870">
        <v>56</v>
      </c>
      <c r="Q1870" t="s">
        <v>4061</v>
      </c>
    </row>
    <row r="1871" spans="1:17" x14ac:dyDescent="0.3">
      <c r="A1871" t="s">
        <v>17</v>
      </c>
      <c r="B1871" t="str">
        <f>"688192"</f>
        <v>688192</v>
      </c>
      <c r="C1871" t="s">
        <v>4062</v>
      </c>
      <c r="D1871" t="s">
        <v>143</v>
      </c>
      <c r="F1871">
        <v>587596837</v>
      </c>
      <c r="G1871">
        <v>439494758</v>
      </c>
      <c r="H1871">
        <v>421435638</v>
      </c>
      <c r="I1871">
        <v>210204205</v>
      </c>
      <c r="P1871">
        <v>11</v>
      </c>
      <c r="Q1871" t="s">
        <v>4063</v>
      </c>
    </row>
    <row r="1872" spans="1:17" x14ac:dyDescent="0.3">
      <c r="A1872" t="s">
        <v>17</v>
      </c>
      <c r="B1872" t="str">
        <f>"688193"</f>
        <v>688193</v>
      </c>
      <c r="C1872" t="s">
        <v>4064</v>
      </c>
      <c r="F1872">
        <v>26320043</v>
      </c>
      <c r="G1872">
        <v>23698331</v>
      </c>
      <c r="H1872">
        <v>13798351</v>
      </c>
      <c r="I1872">
        <v>10477909</v>
      </c>
      <c r="P1872">
        <v>2</v>
      </c>
      <c r="Q1872" t="s">
        <v>4065</v>
      </c>
    </row>
    <row r="1873" spans="1:17" x14ac:dyDescent="0.3">
      <c r="A1873" t="s">
        <v>17</v>
      </c>
      <c r="B1873" t="str">
        <f>"688195"</f>
        <v>688195</v>
      </c>
      <c r="C1873" t="s">
        <v>4066</v>
      </c>
      <c r="D1873" t="s">
        <v>164</v>
      </c>
      <c r="F1873">
        <v>24795978</v>
      </c>
      <c r="G1873">
        <v>20014470</v>
      </c>
      <c r="H1873">
        <v>11669857</v>
      </c>
      <c r="I1873">
        <v>7262509</v>
      </c>
      <c r="J1873">
        <v>6492852</v>
      </c>
      <c r="P1873">
        <v>41</v>
      </c>
      <c r="Q1873" t="s">
        <v>4067</v>
      </c>
    </row>
    <row r="1874" spans="1:17" x14ac:dyDescent="0.3">
      <c r="A1874" t="s">
        <v>17</v>
      </c>
      <c r="B1874" t="str">
        <f>"688196"</f>
        <v>688196</v>
      </c>
      <c r="C1874" t="s">
        <v>4068</v>
      </c>
      <c r="D1874" t="s">
        <v>386</v>
      </c>
      <c r="F1874">
        <v>126135072</v>
      </c>
      <c r="G1874">
        <v>72963277</v>
      </c>
      <c r="H1874">
        <v>60894156</v>
      </c>
      <c r="I1874">
        <v>47673243</v>
      </c>
      <c r="J1874">
        <v>38598864</v>
      </c>
      <c r="K1874">
        <v>26701705</v>
      </c>
      <c r="P1874">
        <v>188</v>
      </c>
      <c r="Q1874" t="s">
        <v>4069</v>
      </c>
    </row>
    <row r="1875" spans="1:17" x14ac:dyDescent="0.3">
      <c r="A1875" t="s">
        <v>17</v>
      </c>
      <c r="B1875" t="str">
        <f>"688197"</f>
        <v>688197</v>
      </c>
      <c r="C1875" t="s">
        <v>4070</v>
      </c>
      <c r="F1875">
        <v>156840885</v>
      </c>
      <c r="G1875">
        <v>85032693</v>
      </c>
      <c r="H1875">
        <v>43910309</v>
      </c>
      <c r="I1875">
        <v>31836454</v>
      </c>
      <c r="J1875">
        <v>26716373</v>
      </c>
      <c r="P1875">
        <v>3</v>
      </c>
      <c r="Q1875" t="s">
        <v>4071</v>
      </c>
    </row>
    <row r="1876" spans="1:17" x14ac:dyDescent="0.3">
      <c r="A1876" t="s">
        <v>17</v>
      </c>
      <c r="B1876" t="str">
        <f>"688198"</f>
        <v>688198</v>
      </c>
      <c r="C1876" t="s">
        <v>4072</v>
      </c>
      <c r="D1876" t="s">
        <v>1077</v>
      </c>
      <c r="F1876">
        <v>58900391</v>
      </c>
      <c r="G1876">
        <v>28769951</v>
      </c>
      <c r="H1876">
        <v>15149368</v>
      </c>
      <c r="I1876">
        <v>12891199</v>
      </c>
      <c r="J1876">
        <v>11778063</v>
      </c>
      <c r="K1876">
        <v>11428600</v>
      </c>
      <c r="P1876">
        <v>190</v>
      </c>
      <c r="Q1876" t="s">
        <v>4073</v>
      </c>
    </row>
    <row r="1877" spans="1:17" x14ac:dyDescent="0.3">
      <c r="A1877" t="s">
        <v>17</v>
      </c>
      <c r="B1877" t="str">
        <f>"688199"</f>
        <v>688199</v>
      </c>
      <c r="C1877" t="s">
        <v>4074</v>
      </c>
      <c r="D1877" t="s">
        <v>386</v>
      </c>
      <c r="F1877">
        <v>70763680</v>
      </c>
      <c r="G1877">
        <v>52141737</v>
      </c>
      <c r="H1877">
        <v>66356569</v>
      </c>
      <c r="I1877">
        <v>43200907</v>
      </c>
      <c r="J1877">
        <v>28959307</v>
      </c>
      <c r="K1877">
        <v>25354311</v>
      </c>
      <c r="P1877">
        <v>94</v>
      </c>
      <c r="Q1877" t="s">
        <v>4075</v>
      </c>
    </row>
    <row r="1878" spans="1:17" x14ac:dyDescent="0.3">
      <c r="A1878" t="s">
        <v>17</v>
      </c>
      <c r="B1878" t="str">
        <f>"688200"</f>
        <v>688200</v>
      </c>
      <c r="C1878" t="s">
        <v>4076</v>
      </c>
      <c r="D1878" t="s">
        <v>3187</v>
      </c>
      <c r="F1878">
        <v>94044120</v>
      </c>
      <c r="G1878">
        <v>59134958</v>
      </c>
      <c r="H1878">
        <v>32659510</v>
      </c>
      <c r="I1878">
        <v>23102639</v>
      </c>
      <c r="J1878">
        <v>17044425</v>
      </c>
      <c r="K1878">
        <v>15411630</v>
      </c>
      <c r="P1878">
        <v>291</v>
      </c>
      <c r="Q1878" t="s">
        <v>4077</v>
      </c>
    </row>
    <row r="1879" spans="1:17" x14ac:dyDescent="0.3">
      <c r="A1879" t="s">
        <v>17</v>
      </c>
      <c r="B1879" t="str">
        <f>"688201"</f>
        <v>688201</v>
      </c>
      <c r="C1879" t="s">
        <v>4078</v>
      </c>
      <c r="D1879" t="s">
        <v>1189</v>
      </c>
      <c r="F1879">
        <v>100482386</v>
      </c>
      <c r="G1879">
        <v>82105912</v>
      </c>
      <c r="H1879">
        <v>44968845</v>
      </c>
      <c r="I1879">
        <v>29401145</v>
      </c>
      <c r="J1879">
        <v>26179743</v>
      </c>
      <c r="P1879">
        <v>62</v>
      </c>
      <c r="Q1879" t="s">
        <v>4079</v>
      </c>
    </row>
    <row r="1880" spans="1:17" x14ac:dyDescent="0.3">
      <c r="A1880" t="s">
        <v>17</v>
      </c>
      <c r="B1880" t="str">
        <f>"688202"</f>
        <v>688202</v>
      </c>
      <c r="C1880" t="s">
        <v>4080</v>
      </c>
      <c r="D1880" t="s">
        <v>1461</v>
      </c>
      <c r="F1880">
        <v>77758296</v>
      </c>
      <c r="G1880">
        <v>46964467</v>
      </c>
      <c r="H1880">
        <v>28187885</v>
      </c>
      <c r="I1880">
        <v>16515678</v>
      </c>
      <c r="J1880">
        <v>11077077</v>
      </c>
      <c r="K1880">
        <v>9297845</v>
      </c>
      <c r="P1880">
        <v>382</v>
      </c>
      <c r="Q1880" t="s">
        <v>4081</v>
      </c>
    </row>
    <row r="1881" spans="1:17" x14ac:dyDescent="0.3">
      <c r="A1881" t="s">
        <v>17</v>
      </c>
      <c r="B1881" t="str">
        <f>"688206"</f>
        <v>688206</v>
      </c>
      <c r="C1881" t="s">
        <v>4082</v>
      </c>
      <c r="D1881" t="s">
        <v>3187</v>
      </c>
      <c r="F1881">
        <v>79458180</v>
      </c>
      <c r="G1881">
        <v>53500305</v>
      </c>
      <c r="H1881">
        <v>237024774</v>
      </c>
      <c r="I1881">
        <v>26574370</v>
      </c>
      <c r="P1881">
        <v>26</v>
      </c>
      <c r="Q1881" t="s">
        <v>4083</v>
      </c>
    </row>
    <row r="1882" spans="1:17" x14ac:dyDescent="0.3">
      <c r="A1882" t="s">
        <v>17</v>
      </c>
      <c r="B1882" t="str">
        <f>"688207"</f>
        <v>688207</v>
      </c>
      <c r="C1882" t="s">
        <v>4084</v>
      </c>
      <c r="F1882">
        <v>121107188</v>
      </c>
      <c r="G1882">
        <v>114283271</v>
      </c>
      <c r="H1882">
        <v>95954335</v>
      </c>
      <c r="I1882">
        <v>72850188</v>
      </c>
      <c r="P1882">
        <v>7</v>
      </c>
      <c r="Q1882" t="s">
        <v>4085</v>
      </c>
    </row>
    <row r="1883" spans="1:17" x14ac:dyDescent="0.3">
      <c r="A1883" t="s">
        <v>17</v>
      </c>
      <c r="B1883" t="str">
        <f>"688208"</f>
        <v>688208</v>
      </c>
      <c r="C1883" t="s">
        <v>4086</v>
      </c>
      <c r="D1883" t="s">
        <v>236</v>
      </c>
      <c r="F1883">
        <v>482948463</v>
      </c>
      <c r="G1883">
        <v>271872856</v>
      </c>
      <c r="H1883">
        <v>167813278</v>
      </c>
      <c r="I1883">
        <v>125199784</v>
      </c>
      <c r="J1883">
        <v>173514615</v>
      </c>
      <c r="K1883">
        <v>173717116</v>
      </c>
      <c r="P1883">
        <v>222</v>
      </c>
      <c r="Q1883" t="s">
        <v>4087</v>
      </c>
    </row>
    <row r="1884" spans="1:17" x14ac:dyDescent="0.3">
      <c r="A1884" t="s">
        <v>17</v>
      </c>
      <c r="B1884" t="str">
        <f>"688209"</f>
        <v>688209</v>
      </c>
      <c r="C1884" t="s">
        <v>4088</v>
      </c>
      <c r="F1884">
        <v>97712411</v>
      </c>
      <c r="G1884">
        <v>50649961</v>
      </c>
      <c r="H1884">
        <v>44260457</v>
      </c>
      <c r="I1884">
        <v>33227508</v>
      </c>
      <c r="P1884">
        <v>5</v>
      </c>
      <c r="Q1884" t="s">
        <v>4089</v>
      </c>
    </row>
    <row r="1885" spans="1:17" x14ac:dyDescent="0.3">
      <c r="A1885" t="s">
        <v>17</v>
      </c>
      <c r="B1885" t="str">
        <f>"688210"</f>
        <v>688210</v>
      </c>
      <c r="C1885" t="s">
        <v>4090</v>
      </c>
      <c r="D1885" t="s">
        <v>313</v>
      </c>
      <c r="F1885">
        <v>41541256</v>
      </c>
      <c r="G1885">
        <v>31611645</v>
      </c>
      <c r="H1885">
        <v>27674891</v>
      </c>
      <c r="I1885">
        <v>13703993</v>
      </c>
      <c r="J1885">
        <v>9706657</v>
      </c>
      <c r="P1885">
        <v>9</v>
      </c>
      <c r="Q1885" t="s">
        <v>4091</v>
      </c>
    </row>
    <row r="1886" spans="1:17" x14ac:dyDescent="0.3">
      <c r="A1886" t="s">
        <v>17</v>
      </c>
      <c r="B1886" t="str">
        <f>"688211"</f>
        <v>688211</v>
      </c>
      <c r="C1886" t="s">
        <v>4092</v>
      </c>
      <c r="D1886" t="s">
        <v>741</v>
      </c>
      <c r="F1886">
        <v>133894165</v>
      </c>
      <c r="G1886">
        <v>107288737</v>
      </c>
      <c r="H1886">
        <v>78417201</v>
      </c>
      <c r="I1886">
        <v>20710198</v>
      </c>
      <c r="J1886">
        <v>8435221</v>
      </c>
      <c r="P1886">
        <v>27</v>
      </c>
      <c r="Q1886" t="s">
        <v>4093</v>
      </c>
    </row>
    <row r="1887" spans="1:17" x14ac:dyDescent="0.3">
      <c r="A1887" t="s">
        <v>17</v>
      </c>
      <c r="B1887" t="str">
        <f>"688212"</f>
        <v>688212</v>
      </c>
      <c r="C1887" t="s">
        <v>4094</v>
      </c>
      <c r="D1887" t="s">
        <v>122</v>
      </c>
      <c r="F1887">
        <v>49352198</v>
      </c>
      <c r="G1887">
        <v>39233762</v>
      </c>
      <c r="H1887">
        <v>30448718</v>
      </c>
      <c r="I1887">
        <v>21163415</v>
      </c>
      <c r="J1887">
        <v>15228829</v>
      </c>
      <c r="P1887">
        <v>31</v>
      </c>
      <c r="Q1887" t="s">
        <v>4095</v>
      </c>
    </row>
    <row r="1888" spans="1:17" x14ac:dyDescent="0.3">
      <c r="A1888" t="s">
        <v>17</v>
      </c>
      <c r="B1888" t="str">
        <f>"688213"</f>
        <v>688213</v>
      </c>
      <c r="C1888" t="s">
        <v>4096</v>
      </c>
      <c r="F1888">
        <v>205257185</v>
      </c>
      <c r="G1888">
        <v>108438230</v>
      </c>
      <c r="H1888">
        <v>122224440</v>
      </c>
      <c r="I1888">
        <v>93360823</v>
      </c>
      <c r="Q1888" t="s">
        <v>4097</v>
      </c>
    </row>
    <row r="1889" spans="1:17" x14ac:dyDescent="0.3">
      <c r="A1889" t="s">
        <v>17</v>
      </c>
      <c r="B1889" t="str">
        <f>"688215"</f>
        <v>688215</v>
      </c>
      <c r="C1889" t="s">
        <v>4098</v>
      </c>
      <c r="D1889" t="s">
        <v>3477</v>
      </c>
      <c r="F1889">
        <v>19453168</v>
      </c>
      <c r="G1889">
        <v>17509989</v>
      </c>
      <c r="H1889">
        <v>20006325</v>
      </c>
      <c r="I1889">
        <v>18307469</v>
      </c>
      <c r="J1889">
        <v>12056854</v>
      </c>
      <c r="K1889">
        <v>6735318</v>
      </c>
      <c r="P1889">
        <v>62</v>
      </c>
      <c r="Q1889" t="s">
        <v>4099</v>
      </c>
    </row>
    <row r="1890" spans="1:17" x14ac:dyDescent="0.3">
      <c r="A1890" t="s">
        <v>17</v>
      </c>
      <c r="B1890" t="str">
        <f>"688216"</f>
        <v>688216</v>
      </c>
      <c r="C1890" t="s">
        <v>4100</v>
      </c>
      <c r="D1890" t="s">
        <v>1180</v>
      </c>
      <c r="F1890">
        <v>55642781</v>
      </c>
      <c r="G1890">
        <v>35024111</v>
      </c>
      <c r="H1890">
        <v>27521461</v>
      </c>
      <c r="I1890">
        <v>21875298</v>
      </c>
      <c r="J1890">
        <v>18538455</v>
      </c>
      <c r="P1890">
        <v>26</v>
      </c>
      <c r="Q1890" t="s">
        <v>4101</v>
      </c>
    </row>
    <row r="1891" spans="1:17" x14ac:dyDescent="0.3">
      <c r="A1891" t="s">
        <v>17</v>
      </c>
      <c r="B1891" t="str">
        <f>"688217"</f>
        <v>688217</v>
      </c>
      <c r="C1891" t="s">
        <v>4102</v>
      </c>
      <c r="D1891" t="s">
        <v>1305</v>
      </c>
      <c r="F1891">
        <v>68643873</v>
      </c>
      <c r="G1891">
        <v>74362192</v>
      </c>
      <c r="H1891">
        <v>67011157</v>
      </c>
      <c r="I1891">
        <v>53335969</v>
      </c>
      <c r="J1891">
        <v>43366475</v>
      </c>
      <c r="P1891">
        <v>31</v>
      </c>
      <c r="Q1891" t="s">
        <v>4103</v>
      </c>
    </row>
    <row r="1892" spans="1:17" x14ac:dyDescent="0.3">
      <c r="A1892" t="s">
        <v>17</v>
      </c>
      <c r="B1892" t="str">
        <f>"688218"</f>
        <v>688218</v>
      </c>
      <c r="C1892" t="s">
        <v>4104</v>
      </c>
      <c r="D1892" t="s">
        <v>2938</v>
      </c>
      <c r="F1892">
        <v>26434770</v>
      </c>
      <c r="G1892">
        <v>18128774</v>
      </c>
      <c r="H1892">
        <v>18613625</v>
      </c>
      <c r="I1892">
        <v>12668185</v>
      </c>
      <c r="J1892">
        <v>10830178</v>
      </c>
      <c r="K1892">
        <v>8736268</v>
      </c>
      <c r="P1892">
        <v>47</v>
      </c>
      <c r="Q1892" t="s">
        <v>4105</v>
      </c>
    </row>
    <row r="1893" spans="1:17" x14ac:dyDescent="0.3">
      <c r="A1893" t="s">
        <v>17</v>
      </c>
      <c r="B1893" t="str">
        <f>"688219"</f>
        <v>688219</v>
      </c>
      <c r="C1893" t="s">
        <v>4106</v>
      </c>
      <c r="D1893" t="s">
        <v>341</v>
      </c>
      <c r="F1893">
        <v>192865850</v>
      </c>
      <c r="G1893">
        <v>168849756</v>
      </c>
      <c r="H1893">
        <v>168744498</v>
      </c>
      <c r="I1893">
        <v>68822675</v>
      </c>
      <c r="J1893">
        <v>56251000</v>
      </c>
      <c r="P1893">
        <v>50</v>
      </c>
      <c r="Q1893" t="s">
        <v>4107</v>
      </c>
    </row>
    <row r="1894" spans="1:17" x14ac:dyDescent="0.3">
      <c r="A1894" t="s">
        <v>17</v>
      </c>
      <c r="B1894" t="str">
        <f>"688220"</f>
        <v>688220</v>
      </c>
      <c r="C1894" t="s">
        <v>4108</v>
      </c>
      <c r="D1894" t="s">
        <v>401</v>
      </c>
      <c r="F1894">
        <v>1028428027</v>
      </c>
      <c r="G1894">
        <v>2111168800</v>
      </c>
      <c r="H1894">
        <v>596771950</v>
      </c>
      <c r="I1894">
        <v>524396825</v>
      </c>
      <c r="J1894">
        <v>366761094</v>
      </c>
      <c r="P1894">
        <v>19</v>
      </c>
      <c r="Q1894" t="s">
        <v>4109</v>
      </c>
    </row>
    <row r="1895" spans="1:17" x14ac:dyDescent="0.3">
      <c r="A1895" t="s">
        <v>17</v>
      </c>
      <c r="B1895" t="str">
        <f>"688221"</f>
        <v>688221</v>
      </c>
      <c r="C1895" t="s">
        <v>4110</v>
      </c>
      <c r="D1895" t="s">
        <v>143</v>
      </c>
      <c r="F1895">
        <v>172109974</v>
      </c>
      <c r="G1895">
        <v>138492163</v>
      </c>
      <c r="H1895">
        <v>85421237</v>
      </c>
      <c r="I1895">
        <v>87052060</v>
      </c>
      <c r="J1895">
        <v>22302621</v>
      </c>
      <c r="K1895">
        <v>3740020</v>
      </c>
      <c r="P1895">
        <v>51</v>
      </c>
      <c r="Q1895" t="s">
        <v>4111</v>
      </c>
    </row>
    <row r="1896" spans="1:17" x14ac:dyDescent="0.3">
      <c r="A1896" t="s">
        <v>17</v>
      </c>
      <c r="B1896" t="str">
        <f>"688222"</f>
        <v>688222</v>
      </c>
      <c r="C1896" t="s">
        <v>4112</v>
      </c>
      <c r="D1896" t="s">
        <v>1461</v>
      </c>
      <c r="F1896">
        <v>73674853</v>
      </c>
      <c r="G1896">
        <v>99874213</v>
      </c>
      <c r="H1896">
        <v>91461692</v>
      </c>
      <c r="I1896">
        <v>61864400</v>
      </c>
      <c r="J1896">
        <v>46213984</v>
      </c>
      <c r="K1896">
        <v>16054319</v>
      </c>
      <c r="P1896">
        <v>128</v>
      </c>
      <c r="Q1896" t="s">
        <v>4113</v>
      </c>
    </row>
    <row r="1897" spans="1:17" x14ac:dyDescent="0.3">
      <c r="A1897" t="s">
        <v>17</v>
      </c>
      <c r="B1897" t="str">
        <f>"688223"</f>
        <v>688223</v>
      </c>
      <c r="C1897" t="s">
        <v>4114</v>
      </c>
      <c r="D1897" t="s">
        <v>475</v>
      </c>
      <c r="F1897">
        <v>716233463</v>
      </c>
      <c r="G1897">
        <v>705650357</v>
      </c>
      <c r="H1897">
        <v>679589796</v>
      </c>
      <c r="I1897">
        <v>628266139</v>
      </c>
      <c r="P1897">
        <v>29</v>
      </c>
      <c r="Q1897" t="s">
        <v>4115</v>
      </c>
    </row>
    <row r="1898" spans="1:17" x14ac:dyDescent="0.3">
      <c r="A1898" t="s">
        <v>17</v>
      </c>
      <c r="B1898" t="str">
        <f>"688225"</f>
        <v>688225</v>
      </c>
      <c r="C1898" t="s">
        <v>4116</v>
      </c>
      <c r="F1898">
        <v>232168355</v>
      </c>
      <c r="G1898">
        <v>162159970</v>
      </c>
      <c r="H1898">
        <v>141566739</v>
      </c>
      <c r="I1898">
        <v>92913500</v>
      </c>
      <c r="J1898">
        <v>56875302</v>
      </c>
      <c r="P1898">
        <v>9</v>
      </c>
      <c r="Q1898" t="s">
        <v>4117</v>
      </c>
    </row>
    <row r="1899" spans="1:17" x14ac:dyDescent="0.3">
      <c r="A1899" t="s">
        <v>17</v>
      </c>
      <c r="B1899" t="str">
        <f>"688226"</f>
        <v>688226</v>
      </c>
      <c r="C1899" t="s">
        <v>4118</v>
      </c>
      <c r="D1899" t="s">
        <v>1164</v>
      </c>
      <c r="F1899">
        <v>37151919</v>
      </c>
      <c r="G1899">
        <v>28372691</v>
      </c>
      <c r="H1899">
        <v>26139281</v>
      </c>
      <c r="I1899">
        <v>28160167</v>
      </c>
      <c r="J1899">
        <v>20584749</v>
      </c>
      <c r="P1899">
        <v>19</v>
      </c>
      <c r="Q1899" t="s">
        <v>4119</v>
      </c>
    </row>
    <row r="1900" spans="1:17" x14ac:dyDescent="0.3">
      <c r="A1900" t="s">
        <v>17</v>
      </c>
      <c r="B1900" t="str">
        <f>"688227"</f>
        <v>688227</v>
      </c>
      <c r="C1900" t="s">
        <v>4120</v>
      </c>
      <c r="D1900" t="s">
        <v>316</v>
      </c>
      <c r="F1900">
        <v>45664557</v>
      </c>
      <c r="G1900">
        <v>33934417</v>
      </c>
      <c r="H1900">
        <v>39480839</v>
      </c>
      <c r="I1900">
        <v>25687753</v>
      </c>
      <c r="J1900">
        <v>31484343</v>
      </c>
      <c r="P1900">
        <v>13</v>
      </c>
      <c r="Q1900" t="s">
        <v>4121</v>
      </c>
    </row>
    <row r="1901" spans="1:17" x14ac:dyDescent="0.3">
      <c r="A1901" t="s">
        <v>17</v>
      </c>
      <c r="B1901" t="str">
        <f>"688228"</f>
        <v>688228</v>
      </c>
      <c r="C1901" t="s">
        <v>4122</v>
      </c>
      <c r="D1901" t="s">
        <v>316</v>
      </c>
      <c r="F1901">
        <v>67383975</v>
      </c>
      <c r="G1901">
        <v>54490231</v>
      </c>
      <c r="H1901">
        <v>33419176</v>
      </c>
      <c r="I1901">
        <v>23597408</v>
      </c>
      <c r="J1901">
        <v>21241776</v>
      </c>
      <c r="K1901">
        <v>18608495</v>
      </c>
      <c r="P1901">
        <v>93</v>
      </c>
      <c r="Q1901" t="s">
        <v>4123</v>
      </c>
    </row>
    <row r="1902" spans="1:17" x14ac:dyDescent="0.3">
      <c r="A1902" t="s">
        <v>17</v>
      </c>
      <c r="B1902" t="str">
        <f>"688229"</f>
        <v>688229</v>
      </c>
      <c r="C1902" t="s">
        <v>4124</v>
      </c>
      <c r="D1902" t="s">
        <v>316</v>
      </c>
      <c r="F1902">
        <v>69523044</v>
      </c>
      <c r="G1902">
        <v>39523251</v>
      </c>
      <c r="H1902">
        <v>31064777</v>
      </c>
      <c r="I1902">
        <v>29457550</v>
      </c>
      <c r="J1902">
        <v>22760752</v>
      </c>
      <c r="K1902">
        <v>17972039</v>
      </c>
      <c r="P1902">
        <v>63</v>
      </c>
      <c r="Q1902" t="s">
        <v>4125</v>
      </c>
    </row>
    <row r="1903" spans="1:17" x14ac:dyDescent="0.3">
      <c r="A1903" t="s">
        <v>17</v>
      </c>
      <c r="B1903" t="str">
        <f>"688230"</f>
        <v>688230</v>
      </c>
      <c r="C1903" t="s">
        <v>4126</v>
      </c>
      <c r="D1903" t="s">
        <v>795</v>
      </c>
      <c r="F1903">
        <v>29427413</v>
      </c>
      <c r="G1903">
        <v>23572972</v>
      </c>
      <c r="H1903">
        <v>18394186</v>
      </c>
      <c r="I1903">
        <v>24622383</v>
      </c>
      <c r="P1903">
        <v>24</v>
      </c>
      <c r="Q1903" t="s">
        <v>4127</v>
      </c>
    </row>
    <row r="1904" spans="1:17" x14ac:dyDescent="0.3">
      <c r="A1904" t="s">
        <v>17</v>
      </c>
      <c r="B1904" t="str">
        <f>"688232"</f>
        <v>688232</v>
      </c>
      <c r="C1904" t="s">
        <v>4128</v>
      </c>
      <c r="D1904" t="s">
        <v>945</v>
      </c>
      <c r="F1904">
        <v>488996865</v>
      </c>
      <c r="G1904">
        <v>323803234</v>
      </c>
      <c r="H1904">
        <v>231137747</v>
      </c>
      <c r="I1904">
        <v>186080946</v>
      </c>
      <c r="J1904">
        <v>125614792</v>
      </c>
      <c r="P1904">
        <v>26</v>
      </c>
      <c r="Q1904" t="s">
        <v>4129</v>
      </c>
    </row>
    <row r="1905" spans="1:17" x14ac:dyDescent="0.3">
      <c r="A1905" t="s">
        <v>17</v>
      </c>
      <c r="B1905" t="str">
        <f>"688233"</f>
        <v>688233</v>
      </c>
      <c r="C1905" t="s">
        <v>4130</v>
      </c>
      <c r="D1905" t="s">
        <v>475</v>
      </c>
      <c r="F1905">
        <v>34971136</v>
      </c>
      <c r="G1905">
        <v>17901051</v>
      </c>
      <c r="H1905">
        <v>9893958</v>
      </c>
      <c r="I1905">
        <v>10908865</v>
      </c>
      <c r="J1905">
        <v>5191422</v>
      </c>
      <c r="K1905">
        <v>2435643</v>
      </c>
      <c r="P1905">
        <v>170</v>
      </c>
      <c r="Q1905" t="s">
        <v>4131</v>
      </c>
    </row>
    <row r="1906" spans="1:17" x14ac:dyDescent="0.3">
      <c r="A1906" t="s">
        <v>17</v>
      </c>
      <c r="B1906" t="str">
        <f>"688234"</f>
        <v>688234</v>
      </c>
      <c r="C1906" t="s">
        <v>4132</v>
      </c>
      <c r="D1906" t="s">
        <v>475</v>
      </c>
      <c r="F1906">
        <v>73736131</v>
      </c>
      <c r="G1906">
        <v>45500941</v>
      </c>
      <c r="H1906">
        <v>18730706</v>
      </c>
      <c r="I1906">
        <v>12313777</v>
      </c>
      <c r="P1906">
        <v>32</v>
      </c>
      <c r="Q1906" t="s">
        <v>4133</v>
      </c>
    </row>
    <row r="1907" spans="1:17" x14ac:dyDescent="0.3">
      <c r="A1907" t="s">
        <v>17</v>
      </c>
      <c r="B1907" t="str">
        <f>"688235"</f>
        <v>688235</v>
      </c>
      <c r="C1907" t="s">
        <v>4134</v>
      </c>
      <c r="D1907" t="s">
        <v>1379</v>
      </c>
      <c r="F1907">
        <v>9538418000</v>
      </c>
      <c r="G1907">
        <v>8942550000</v>
      </c>
      <c r="H1907">
        <v>6588275000</v>
      </c>
      <c r="I1907">
        <v>4596582000</v>
      </c>
      <c r="J1907">
        <v>2016653000</v>
      </c>
      <c r="P1907">
        <v>58</v>
      </c>
      <c r="Q1907" t="s">
        <v>4135</v>
      </c>
    </row>
    <row r="1908" spans="1:17" x14ac:dyDescent="0.3">
      <c r="A1908" t="s">
        <v>17</v>
      </c>
      <c r="B1908" t="str">
        <f>"688236"</f>
        <v>688236</v>
      </c>
      <c r="C1908" t="s">
        <v>4136</v>
      </c>
      <c r="D1908" t="s">
        <v>1077</v>
      </c>
      <c r="F1908">
        <v>104843141</v>
      </c>
      <c r="G1908">
        <v>72602837</v>
      </c>
      <c r="H1908">
        <v>57747009</v>
      </c>
      <c r="I1908">
        <v>35454950</v>
      </c>
      <c r="J1908">
        <v>21216267</v>
      </c>
      <c r="P1908">
        <v>20</v>
      </c>
      <c r="Q1908" t="s">
        <v>4137</v>
      </c>
    </row>
    <row r="1909" spans="1:17" x14ac:dyDescent="0.3">
      <c r="A1909" t="s">
        <v>17</v>
      </c>
      <c r="B1909" t="str">
        <f>"688238"</f>
        <v>688238</v>
      </c>
      <c r="C1909" t="s">
        <v>4138</v>
      </c>
      <c r="F1909">
        <v>23615963</v>
      </c>
      <c r="G1909">
        <v>21982572</v>
      </c>
      <c r="H1909">
        <v>23798554</v>
      </c>
      <c r="I1909">
        <v>20267684</v>
      </c>
      <c r="P1909">
        <v>7</v>
      </c>
      <c r="Q1909" t="s">
        <v>4139</v>
      </c>
    </row>
    <row r="1910" spans="1:17" x14ac:dyDescent="0.3">
      <c r="A1910" t="s">
        <v>17</v>
      </c>
      <c r="B1910" t="str">
        <f>"688239"</f>
        <v>688239</v>
      </c>
      <c r="C1910" t="s">
        <v>4140</v>
      </c>
      <c r="D1910" t="s">
        <v>98</v>
      </c>
      <c r="F1910">
        <v>48636837</v>
      </c>
      <c r="G1910">
        <v>27021233</v>
      </c>
      <c r="H1910">
        <v>28348600</v>
      </c>
      <c r="I1910">
        <v>28264785</v>
      </c>
      <c r="J1910">
        <v>20858985</v>
      </c>
      <c r="P1910">
        <v>57</v>
      </c>
      <c r="Q1910" t="s">
        <v>4141</v>
      </c>
    </row>
    <row r="1911" spans="1:17" x14ac:dyDescent="0.3">
      <c r="A1911" t="s">
        <v>17</v>
      </c>
      <c r="B1911" t="str">
        <f>"688246"</f>
        <v>688246</v>
      </c>
      <c r="C1911" t="s">
        <v>4142</v>
      </c>
      <c r="D1911" t="s">
        <v>945</v>
      </c>
      <c r="F1911">
        <v>125425455</v>
      </c>
      <c r="G1911">
        <v>92268699</v>
      </c>
      <c r="H1911">
        <v>71240463</v>
      </c>
      <c r="I1911">
        <v>64413927</v>
      </c>
      <c r="J1911">
        <v>83223221</v>
      </c>
      <c r="P1911">
        <v>12</v>
      </c>
      <c r="Q1911" t="s">
        <v>4143</v>
      </c>
    </row>
    <row r="1912" spans="1:17" x14ac:dyDescent="0.3">
      <c r="A1912" t="s">
        <v>17</v>
      </c>
      <c r="B1912" t="str">
        <f>"688248"</f>
        <v>688248</v>
      </c>
      <c r="C1912" t="s">
        <v>4144</v>
      </c>
      <c r="D1912" t="s">
        <v>610</v>
      </c>
      <c r="F1912">
        <v>93951845</v>
      </c>
      <c r="G1912">
        <v>69702184</v>
      </c>
      <c r="H1912">
        <v>36103800</v>
      </c>
      <c r="I1912">
        <v>18362479</v>
      </c>
      <c r="P1912">
        <v>14</v>
      </c>
      <c r="Q1912" t="s">
        <v>4145</v>
      </c>
    </row>
    <row r="1913" spans="1:17" x14ac:dyDescent="0.3">
      <c r="A1913" t="s">
        <v>17</v>
      </c>
      <c r="B1913" t="str">
        <f>"688255"</f>
        <v>688255</v>
      </c>
      <c r="C1913" t="s">
        <v>4146</v>
      </c>
      <c r="D1913" t="s">
        <v>2938</v>
      </c>
      <c r="F1913">
        <v>21727610</v>
      </c>
      <c r="G1913">
        <v>25607322</v>
      </c>
      <c r="H1913">
        <v>32242904</v>
      </c>
      <c r="I1913">
        <v>17275243</v>
      </c>
      <c r="J1913">
        <v>18578314</v>
      </c>
      <c r="P1913">
        <v>19</v>
      </c>
      <c r="Q1913" t="s">
        <v>4147</v>
      </c>
    </row>
    <row r="1914" spans="1:17" x14ac:dyDescent="0.3">
      <c r="A1914" t="s">
        <v>17</v>
      </c>
      <c r="B1914" t="str">
        <f>"688256"</f>
        <v>688256</v>
      </c>
      <c r="C1914" t="s">
        <v>4148</v>
      </c>
      <c r="D1914" t="s">
        <v>461</v>
      </c>
      <c r="F1914">
        <v>1135740570</v>
      </c>
      <c r="G1914">
        <v>768280264</v>
      </c>
      <c r="H1914">
        <v>543045384</v>
      </c>
      <c r="I1914">
        <v>240111843</v>
      </c>
      <c r="J1914">
        <v>29861853</v>
      </c>
      <c r="P1914">
        <v>192</v>
      </c>
      <c r="Q1914" t="s">
        <v>4149</v>
      </c>
    </row>
    <row r="1915" spans="1:17" x14ac:dyDescent="0.3">
      <c r="A1915" t="s">
        <v>17</v>
      </c>
      <c r="B1915" t="str">
        <f>"688257"</f>
        <v>688257</v>
      </c>
      <c r="C1915" t="s">
        <v>4150</v>
      </c>
      <c r="D1915" t="s">
        <v>274</v>
      </c>
      <c r="F1915">
        <v>43154452</v>
      </c>
      <c r="G1915">
        <v>38651611</v>
      </c>
      <c r="H1915">
        <v>37468499</v>
      </c>
      <c r="I1915">
        <v>34560958</v>
      </c>
      <c r="J1915">
        <v>32530588</v>
      </c>
      <c r="P1915">
        <v>17</v>
      </c>
      <c r="Q1915" t="s">
        <v>4151</v>
      </c>
    </row>
    <row r="1916" spans="1:17" x14ac:dyDescent="0.3">
      <c r="A1916" t="s">
        <v>17</v>
      </c>
      <c r="B1916" t="str">
        <f>"688258"</f>
        <v>688258</v>
      </c>
      <c r="C1916" t="s">
        <v>4152</v>
      </c>
      <c r="D1916" t="s">
        <v>316</v>
      </c>
      <c r="F1916">
        <v>53310241</v>
      </c>
      <c r="G1916">
        <v>38971191</v>
      </c>
      <c r="H1916">
        <v>31067438</v>
      </c>
      <c r="I1916">
        <v>20394510</v>
      </c>
      <c r="J1916">
        <v>15501161</v>
      </c>
      <c r="K1916">
        <v>12385418</v>
      </c>
      <c r="P1916">
        <v>2718</v>
      </c>
      <c r="Q1916" t="s">
        <v>4153</v>
      </c>
    </row>
    <row r="1917" spans="1:17" x14ac:dyDescent="0.3">
      <c r="A1917" t="s">
        <v>17</v>
      </c>
      <c r="B1917" t="str">
        <f>"688259"</f>
        <v>688259</v>
      </c>
      <c r="C1917" t="s">
        <v>4154</v>
      </c>
      <c r="D1917" t="s">
        <v>461</v>
      </c>
      <c r="F1917">
        <v>119994876</v>
      </c>
      <c r="G1917">
        <v>20894078</v>
      </c>
      <c r="H1917">
        <v>17821382</v>
      </c>
      <c r="I1917">
        <v>23147886</v>
      </c>
      <c r="J1917">
        <v>23798361</v>
      </c>
      <c r="P1917">
        <v>17</v>
      </c>
      <c r="Q1917" t="s">
        <v>4155</v>
      </c>
    </row>
    <row r="1918" spans="1:17" x14ac:dyDescent="0.3">
      <c r="A1918" t="s">
        <v>17</v>
      </c>
      <c r="B1918" t="str">
        <f>"688260"</f>
        <v>688260</v>
      </c>
      <c r="C1918" t="s">
        <v>4156</v>
      </c>
      <c r="D1918" t="s">
        <v>313</v>
      </c>
      <c r="F1918">
        <v>47679071</v>
      </c>
      <c r="G1918">
        <v>36603990</v>
      </c>
      <c r="H1918">
        <v>34728080</v>
      </c>
      <c r="I1918">
        <v>29180953</v>
      </c>
      <c r="J1918">
        <v>11737652</v>
      </c>
      <c r="P1918">
        <v>24</v>
      </c>
      <c r="Q1918" t="s">
        <v>4157</v>
      </c>
    </row>
    <row r="1919" spans="1:17" x14ac:dyDescent="0.3">
      <c r="A1919" t="s">
        <v>17</v>
      </c>
      <c r="B1919" t="str">
        <f>"688261"</f>
        <v>688261</v>
      </c>
      <c r="C1919" t="s">
        <v>4158</v>
      </c>
      <c r="F1919">
        <v>41433949</v>
      </c>
      <c r="G1919">
        <v>15993567</v>
      </c>
      <c r="H1919">
        <v>12025773</v>
      </c>
      <c r="I1919">
        <v>16038301</v>
      </c>
      <c r="P1919">
        <v>11</v>
      </c>
      <c r="Q1919" t="s">
        <v>4159</v>
      </c>
    </row>
    <row r="1920" spans="1:17" x14ac:dyDescent="0.3">
      <c r="A1920" t="s">
        <v>17</v>
      </c>
      <c r="B1920" t="str">
        <f>"688262"</f>
        <v>688262</v>
      </c>
      <c r="C1920" t="s">
        <v>4160</v>
      </c>
      <c r="D1920" t="s">
        <v>461</v>
      </c>
      <c r="F1920">
        <v>89472485</v>
      </c>
      <c r="G1920">
        <v>83922479</v>
      </c>
      <c r="H1920">
        <v>66408850</v>
      </c>
      <c r="I1920">
        <v>64458133</v>
      </c>
      <c r="J1920">
        <v>47816914</v>
      </c>
      <c r="P1920">
        <v>19</v>
      </c>
      <c r="Q1920" t="s">
        <v>4161</v>
      </c>
    </row>
    <row r="1921" spans="1:17" x14ac:dyDescent="0.3">
      <c r="A1921" t="s">
        <v>17</v>
      </c>
      <c r="B1921" t="str">
        <f>"688265"</f>
        <v>688265</v>
      </c>
      <c r="C1921" t="s">
        <v>4162</v>
      </c>
      <c r="D1921" t="s">
        <v>1461</v>
      </c>
      <c r="F1921">
        <v>47947071</v>
      </c>
      <c r="G1921">
        <v>34416427</v>
      </c>
      <c r="H1921">
        <v>28685851</v>
      </c>
      <c r="I1921">
        <v>17602559</v>
      </c>
      <c r="J1921">
        <v>10391153</v>
      </c>
      <c r="P1921">
        <v>17</v>
      </c>
      <c r="Q1921" t="s">
        <v>4163</v>
      </c>
    </row>
    <row r="1922" spans="1:17" x14ac:dyDescent="0.3">
      <c r="A1922" t="s">
        <v>17</v>
      </c>
      <c r="B1922" t="str">
        <f>"688266"</f>
        <v>688266</v>
      </c>
      <c r="C1922" t="s">
        <v>4164</v>
      </c>
      <c r="D1922" t="s">
        <v>143</v>
      </c>
      <c r="F1922">
        <v>509394275</v>
      </c>
      <c r="G1922">
        <v>314198310</v>
      </c>
      <c r="H1922">
        <v>183841536</v>
      </c>
      <c r="I1922">
        <v>137294127</v>
      </c>
      <c r="J1922">
        <v>158822536</v>
      </c>
      <c r="K1922">
        <v>61077401</v>
      </c>
      <c r="P1922">
        <v>102</v>
      </c>
      <c r="Q1922" t="s">
        <v>4165</v>
      </c>
    </row>
    <row r="1923" spans="1:17" x14ac:dyDescent="0.3">
      <c r="A1923" t="s">
        <v>17</v>
      </c>
      <c r="B1923" t="str">
        <f>"688267"</f>
        <v>688267</v>
      </c>
      <c r="C1923" t="s">
        <v>4166</v>
      </c>
      <c r="F1923">
        <v>36971363</v>
      </c>
      <c r="G1923">
        <v>28158502</v>
      </c>
      <c r="H1923">
        <v>29656320</v>
      </c>
      <c r="I1923">
        <v>22330839</v>
      </c>
      <c r="P1923">
        <v>7</v>
      </c>
      <c r="Q1923" t="s">
        <v>4167</v>
      </c>
    </row>
    <row r="1924" spans="1:17" x14ac:dyDescent="0.3">
      <c r="A1924" t="s">
        <v>17</v>
      </c>
      <c r="B1924" t="str">
        <f>"688268"</f>
        <v>688268</v>
      </c>
      <c r="C1924" t="s">
        <v>4168</v>
      </c>
      <c r="D1924" t="s">
        <v>2408</v>
      </c>
      <c r="F1924">
        <v>47203025</v>
      </c>
      <c r="G1924">
        <v>30368644</v>
      </c>
      <c r="H1924">
        <v>25446618</v>
      </c>
      <c r="I1924">
        <v>21617424</v>
      </c>
      <c r="J1924">
        <v>19075240</v>
      </c>
      <c r="K1924">
        <v>16189577</v>
      </c>
      <c r="P1924">
        <v>184</v>
      </c>
      <c r="Q1924" t="s">
        <v>4169</v>
      </c>
    </row>
    <row r="1925" spans="1:17" x14ac:dyDescent="0.3">
      <c r="A1925" t="s">
        <v>17</v>
      </c>
      <c r="B1925" t="str">
        <f>"688269"</f>
        <v>688269</v>
      </c>
      <c r="C1925" t="s">
        <v>4170</v>
      </c>
      <c r="D1925" t="s">
        <v>581</v>
      </c>
      <c r="F1925">
        <v>50600056</v>
      </c>
      <c r="G1925">
        <v>33358216</v>
      </c>
      <c r="H1925">
        <v>24047194</v>
      </c>
      <c r="I1925">
        <v>19876251</v>
      </c>
      <c r="J1925">
        <v>16986746</v>
      </c>
      <c r="P1925">
        <v>58</v>
      </c>
      <c r="Q1925" t="s">
        <v>4171</v>
      </c>
    </row>
    <row r="1926" spans="1:17" x14ac:dyDescent="0.3">
      <c r="A1926" t="s">
        <v>17</v>
      </c>
      <c r="B1926" t="str">
        <f>"688270"</f>
        <v>688270</v>
      </c>
      <c r="C1926" t="s">
        <v>4172</v>
      </c>
      <c r="F1926">
        <v>40510767</v>
      </c>
      <c r="G1926">
        <v>30303337</v>
      </c>
      <c r="H1926">
        <v>23231353</v>
      </c>
      <c r="I1926">
        <v>16271178</v>
      </c>
      <c r="P1926">
        <v>12</v>
      </c>
      <c r="Q1926" t="s">
        <v>4173</v>
      </c>
    </row>
    <row r="1927" spans="1:17" x14ac:dyDescent="0.3">
      <c r="A1927" t="s">
        <v>17</v>
      </c>
      <c r="B1927" t="str">
        <f>"688272"</f>
        <v>688272</v>
      </c>
      <c r="C1927" t="s">
        <v>4174</v>
      </c>
      <c r="D1927" t="s">
        <v>1136</v>
      </c>
      <c r="F1927">
        <v>38442411</v>
      </c>
      <c r="G1927">
        <v>33121811</v>
      </c>
      <c r="H1927">
        <v>22354757</v>
      </c>
      <c r="I1927">
        <v>18903354</v>
      </c>
      <c r="J1927">
        <v>15445785</v>
      </c>
      <c r="P1927">
        <v>11</v>
      </c>
      <c r="Q1927" t="s">
        <v>4175</v>
      </c>
    </row>
    <row r="1928" spans="1:17" x14ac:dyDescent="0.3">
      <c r="A1928" t="s">
        <v>17</v>
      </c>
      <c r="B1928" t="str">
        <f>"688276"</f>
        <v>688276</v>
      </c>
      <c r="C1928" t="s">
        <v>4176</v>
      </c>
      <c r="D1928" t="s">
        <v>1499</v>
      </c>
      <c r="F1928">
        <v>156760233</v>
      </c>
      <c r="G1928">
        <v>93364874</v>
      </c>
      <c r="H1928">
        <v>65161869</v>
      </c>
      <c r="I1928">
        <v>61799667</v>
      </c>
      <c r="J1928">
        <v>41037597</v>
      </c>
      <c r="P1928">
        <v>46</v>
      </c>
      <c r="Q1928" t="s">
        <v>4177</v>
      </c>
    </row>
    <row r="1929" spans="1:17" x14ac:dyDescent="0.3">
      <c r="A1929" t="s">
        <v>17</v>
      </c>
      <c r="B1929" t="str">
        <f>"688277"</f>
        <v>688277</v>
      </c>
      <c r="C1929" t="s">
        <v>4178</v>
      </c>
      <c r="D1929" t="s">
        <v>122</v>
      </c>
      <c r="F1929">
        <v>109793948</v>
      </c>
      <c r="G1929">
        <v>74113483</v>
      </c>
      <c r="H1929">
        <v>77012874</v>
      </c>
      <c r="I1929">
        <v>41486519</v>
      </c>
      <c r="J1929">
        <v>22293231</v>
      </c>
      <c r="K1929">
        <v>16329589</v>
      </c>
      <c r="P1929">
        <v>120</v>
      </c>
      <c r="Q1929" t="s">
        <v>4179</v>
      </c>
    </row>
    <row r="1930" spans="1:17" x14ac:dyDescent="0.3">
      <c r="A1930" t="s">
        <v>17</v>
      </c>
      <c r="B1930" t="str">
        <f>"688278"</f>
        <v>688278</v>
      </c>
      <c r="C1930" t="s">
        <v>4180</v>
      </c>
      <c r="D1930" t="s">
        <v>1379</v>
      </c>
      <c r="F1930">
        <v>81507132</v>
      </c>
      <c r="G1930">
        <v>76675424</v>
      </c>
      <c r="H1930">
        <v>53405573</v>
      </c>
      <c r="I1930">
        <v>40606652</v>
      </c>
      <c r="J1930">
        <v>18902637</v>
      </c>
      <c r="K1930">
        <v>8932629</v>
      </c>
      <c r="P1930">
        <v>154</v>
      </c>
      <c r="Q1930" t="s">
        <v>4181</v>
      </c>
    </row>
    <row r="1931" spans="1:17" x14ac:dyDescent="0.3">
      <c r="A1931" t="s">
        <v>17</v>
      </c>
      <c r="B1931" t="str">
        <f>"688279"</f>
        <v>688279</v>
      </c>
      <c r="C1931" t="s">
        <v>4182</v>
      </c>
      <c r="F1931">
        <v>41007819</v>
      </c>
      <c r="G1931">
        <v>29744718</v>
      </c>
      <c r="H1931">
        <v>25357085</v>
      </c>
      <c r="I1931">
        <v>18701854</v>
      </c>
      <c r="P1931">
        <v>6</v>
      </c>
      <c r="Q1931" t="s">
        <v>4183</v>
      </c>
    </row>
    <row r="1932" spans="1:17" x14ac:dyDescent="0.3">
      <c r="A1932" t="s">
        <v>17</v>
      </c>
      <c r="B1932" t="str">
        <f>"688280"</f>
        <v>688280</v>
      </c>
      <c r="C1932" t="s">
        <v>4184</v>
      </c>
      <c r="D1932" t="s">
        <v>348</v>
      </c>
      <c r="F1932">
        <v>155088062</v>
      </c>
      <c r="G1932">
        <v>127865383</v>
      </c>
      <c r="H1932">
        <v>143712271</v>
      </c>
      <c r="I1932">
        <v>141993810</v>
      </c>
      <c r="J1932">
        <v>112607846</v>
      </c>
      <c r="P1932">
        <v>22</v>
      </c>
      <c r="Q1932" t="s">
        <v>4185</v>
      </c>
    </row>
    <row r="1933" spans="1:17" x14ac:dyDescent="0.3">
      <c r="A1933" t="s">
        <v>17</v>
      </c>
      <c r="B1933" t="str">
        <f>"688281"</f>
        <v>688281</v>
      </c>
      <c r="C1933" t="s">
        <v>4186</v>
      </c>
      <c r="F1933">
        <v>52139741</v>
      </c>
      <c r="G1933">
        <v>42709758</v>
      </c>
      <c r="H1933">
        <v>17644720</v>
      </c>
      <c r="I1933">
        <v>5578223</v>
      </c>
      <c r="P1933">
        <v>13</v>
      </c>
      <c r="Q1933" t="s">
        <v>4187</v>
      </c>
    </row>
    <row r="1934" spans="1:17" x14ac:dyDescent="0.3">
      <c r="A1934" t="s">
        <v>17</v>
      </c>
      <c r="B1934" t="str">
        <f>"688282"</f>
        <v>688282</v>
      </c>
      <c r="C1934" t="s">
        <v>4188</v>
      </c>
      <c r="F1934">
        <v>20653693</v>
      </c>
      <c r="G1934">
        <v>19403123</v>
      </c>
      <c r="H1934">
        <v>12660425</v>
      </c>
      <c r="I1934">
        <v>6104404</v>
      </c>
      <c r="J1934">
        <v>1333159</v>
      </c>
      <c r="P1934">
        <v>3</v>
      </c>
      <c r="Q1934" t="s">
        <v>4189</v>
      </c>
    </row>
    <row r="1935" spans="1:17" x14ac:dyDescent="0.3">
      <c r="A1935" t="s">
        <v>17</v>
      </c>
      <c r="B1935" t="str">
        <f>"688283"</f>
        <v>688283</v>
      </c>
      <c r="C1935" t="s">
        <v>4190</v>
      </c>
      <c r="F1935">
        <v>18956877</v>
      </c>
      <c r="G1935">
        <v>15848319</v>
      </c>
      <c r="H1935">
        <v>11336472</v>
      </c>
      <c r="I1935">
        <v>5557199</v>
      </c>
      <c r="P1935">
        <v>17</v>
      </c>
      <c r="Q1935" t="s">
        <v>4191</v>
      </c>
    </row>
    <row r="1936" spans="1:17" x14ac:dyDescent="0.3">
      <c r="A1936" t="s">
        <v>17</v>
      </c>
      <c r="B1936" t="str">
        <f>"688285"</f>
        <v>688285</v>
      </c>
      <c r="C1936" t="s">
        <v>4192</v>
      </c>
      <c r="D1936" t="s">
        <v>1012</v>
      </c>
      <c r="F1936">
        <v>57455163</v>
      </c>
      <c r="G1936">
        <v>53577685</v>
      </c>
      <c r="H1936">
        <v>48245374</v>
      </c>
      <c r="I1936">
        <v>40306969</v>
      </c>
      <c r="J1936">
        <v>48160919</v>
      </c>
      <c r="P1936">
        <v>14</v>
      </c>
      <c r="Q1936" t="s">
        <v>4193</v>
      </c>
    </row>
    <row r="1937" spans="1:17" x14ac:dyDescent="0.3">
      <c r="A1937" t="s">
        <v>17</v>
      </c>
      <c r="B1937" t="str">
        <f>"688286"</f>
        <v>688286</v>
      </c>
      <c r="C1937" t="s">
        <v>4194</v>
      </c>
      <c r="D1937" t="s">
        <v>401</v>
      </c>
      <c r="F1937">
        <v>75618644</v>
      </c>
      <c r="G1937">
        <v>42043399</v>
      </c>
      <c r="H1937">
        <v>35670410</v>
      </c>
      <c r="I1937">
        <v>27394885</v>
      </c>
      <c r="J1937">
        <v>15951159</v>
      </c>
      <c r="K1937">
        <v>10023168</v>
      </c>
      <c r="P1937">
        <v>91</v>
      </c>
      <c r="Q1937" t="s">
        <v>4195</v>
      </c>
    </row>
    <row r="1938" spans="1:17" x14ac:dyDescent="0.3">
      <c r="A1938" t="s">
        <v>17</v>
      </c>
      <c r="B1938" t="str">
        <f>"688288"</f>
        <v>688288</v>
      </c>
      <c r="C1938" t="s">
        <v>4196</v>
      </c>
      <c r="D1938" t="s">
        <v>236</v>
      </c>
      <c r="F1938">
        <v>113033179</v>
      </c>
      <c r="G1938">
        <v>83410081</v>
      </c>
      <c r="H1938">
        <v>51373453</v>
      </c>
      <c r="I1938">
        <v>39891676</v>
      </c>
      <c r="J1938">
        <v>51652317</v>
      </c>
      <c r="K1938">
        <v>17555634</v>
      </c>
      <c r="P1938">
        <v>110</v>
      </c>
      <c r="Q1938" t="s">
        <v>4197</v>
      </c>
    </row>
    <row r="1939" spans="1:17" x14ac:dyDescent="0.3">
      <c r="A1939" t="s">
        <v>17</v>
      </c>
      <c r="B1939" t="str">
        <f>"688289"</f>
        <v>688289</v>
      </c>
      <c r="C1939" t="s">
        <v>4198</v>
      </c>
      <c r="D1939" t="s">
        <v>1305</v>
      </c>
      <c r="F1939">
        <v>187503779</v>
      </c>
      <c r="G1939">
        <v>82771319</v>
      </c>
      <c r="H1939">
        <v>38954467</v>
      </c>
      <c r="I1939">
        <v>35682296</v>
      </c>
      <c r="J1939">
        <v>27638629</v>
      </c>
      <c r="P1939">
        <v>209</v>
      </c>
      <c r="Q1939" t="s">
        <v>4199</v>
      </c>
    </row>
    <row r="1940" spans="1:17" x14ac:dyDescent="0.3">
      <c r="A1940" t="s">
        <v>17</v>
      </c>
      <c r="B1940" t="str">
        <f>"688290"</f>
        <v>688290</v>
      </c>
      <c r="C1940" t="s">
        <v>4200</v>
      </c>
      <c r="F1940">
        <v>28599775</v>
      </c>
      <c r="G1940">
        <v>21047779</v>
      </c>
      <c r="H1940">
        <v>12518628</v>
      </c>
      <c r="I1940">
        <v>8757569</v>
      </c>
      <c r="P1940">
        <v>0</v>
      </c>
      <c r="Q1940" t="s">
        <v>4201</v>
      </c>
    </row>
    <row r="1941" spans="1:17" x14ac:dyDescent="0.3">
      <c r="A1941" t="s">
        <v>17</v>
      </c>
      <c r="B1941" t="str">
        <f>"688295"</f>
        <v>688295</v>
      </c>
      <c r="C1941" t="s">
        <v>4202</v>
      </c>
      <c r="F1941">
        <v>59123762</v>
      </c>
      <c r="G1941">
        <v>17179555</v>
      </c>
      <c r="H1941">
        <v>11224044</v>
      </c>
      <c r="I1941">
        <v>11514980</v>
      </c>
      <c r="P1941">
        <v>15</v>
      </c>
      <c r="Q1941" t="s">
        <v>4203</v>
      </c>
    </row>
    <row r="1942" spans="1:17" x14ac:dyDescent="0.3">
      <c r="A1942" t="s">
        <v>17</v>
      </c>
      <c r="B1942" t="str">
        <f>"688296"</f>
        <v>688296</v>
      </c>
      <c r="C1942" t="s">
        <v>4204</v>
      </c>
      <c r="D1942" t="s">
        <v>945</v>
      </c>
      <c r="F1942">
        <v>63321546</v>
      </c>
      <c r="G1942">
        <v>38928105</v>
      </c>
      <c r="H1942">
        <v>28272141</v>
      </c>
      <c r="I1942">
        <v>20020931</v>
      </c>
      <c r="J1942">
        <v>13948542</v>
      </c>
      <c r="P1942">
        <v>24</v>
      </c>
      <c r="Q1942" t="s">
        <v>4205</v>
      </c>
    </row>
    <row r="1943" spans="1:17" x14ac:dyDescent="0.3">
      <c r="A1943" t="s">
        <v>17</v>
      </c>
      <c r="B1943" t="str">
        <f>"688298"</f>
        <v>688298</v>
      </c>
      <c r="C1943" t="s">
        <v>4206</v>
      </c>
      <c r="D1943" t="s">
        <v>1305</v>
      </c>
      <c r="F1943">
        <v>428520323</v>
      </c>
      <c r="G1943">
        <v>93749517</v>
      </c>
      <c r="H1943">
        <v>31755945</v>
      </c>
      <c r="I1943">
        <v>18641564</v>
      </c>
      <c r="J1943">
        <v>12303733</v>
      </c>
      <c r="K1943">
        <v>9256271</v>
      </c>
      <c r="P1943">
        <v>479</v>
      </c>
      <c r="Q1943" t="s">
        <v>4207</v>
      </c>
    </row>
    <row r="1944" spans="1:17" x14ac:dyDescent="0.3">
      <c r="A1944" t="s">
        <v>17</v>
      </c>
      <c r="B1944" t="str">
        <f>"688299"</f>
        <v>688299</v>
      </c>
      <c r="C1944" t="s">
        <v>4208</v>
      </c>
      <c r="D1944" t="s">
        <v>1117</v>
      </c>
      <c r="F1944">
        <v>78471688</v>
      </c>
      <c r="G1944">
        <v>52764741</v>
      </c>
      <c r="H1944">
        <v>38146109</v>
      </c>
      <c r="I1944">
        <v>27374288</v>
      </c>
      <c r="J1944">
        <v>21577634</v>
      </c>
      <c r="K1944">
        <v>10453221</v>
      </c>
      <c r="P1944">
        <v>239</v>
      </c>
      <c r="Q1944" t="s">
        <v>4209</v>
      </c>
    </row>
    <row r="1945" spans="1:17" x14ac:dyDescent="0.3">
      <c r="A1945" t="s">
        <v>17</v>
      </c>
      <c r="B1945" t="str">
        <f>"688300"</f>
        <v>688300</v>
      </c>
      <c r="C1945" t="s">
        <v>4210</v>
      </c>
      <c r="D1945" t="s">
        <v>2762</v>
      </c>
      <c r="F1945">
        <v>35056248</v>
      </c>
      <c r="G1945">
        <v>19784133</v>
      </c>
      <c r="H1945">
        <v>12832975</v>
      </c>
      <c r="I1945">
        <v>10555541</v>
      </c>
      <c r="J1945">
        <v>8273222</v>
      </c>
      <c r="K1945">
        <v>7125326</v>
      </c>
      <c r="P1945">
        <v>196</v>
      </c>
      <c r="Q1945" t="s">
        <v>4211</v>
      </c>
    </row>
    <row r="1946" spans="1:17" x14ac:dyDescent="0.3">
      <c r="A1946" t="s">
        <v>17</v>
      </c>
      <c r="B1946" t="str">
        <f>"688301"</f>
        <v>688301</v>
      </c>
      <c r="C1946" t="s">
        <v>4212</v>
      </c>
      <c r="D1946" t="s">
        <v>122</v>
      </c>
      <c r="F1946">
        <v>145697171</v>
      </c>
      <c r="G1946">
        <v>95933839</v>
      </c>
      <c r="H1946">
        <v>87984656</v>
      </c>
      <c r="I1946">
        <v>68705642</v>
      </c>
      <c r="J1946">
        <v>48167671</v>
      </c>
      <c r="P1946">
        <v>180</v>
      </c>
      <c r="Q1946" t="s">
        <v>4213</v>
      </c>
    </row>
    <row r="1947" spans="1:17" x14ac:dyDescent="0.3">
      <c r="A1947" t="s">
        <v>17</v>
      </c>
      <c r="B1947" t="str">
        <f>"688302"</f>
        <v>688302</v>
      </c>
      <c r="C1947" t="s">
        <v>4214</v>
      </c>
      <c r="F1947">
        <v>264929037</v>
      </c>
      <c r="G1947">
        <v>428931679</v>
      </c>
      <c r="H1947">
        <v>116095038</v>
      </c>
      <c r="I1947">
        <v>48934548</v>
      </c>
      <c r="P1947">
        <v>2</v>
      </c>
      <c r="Q1947" t="s">
        <v>4215</v>
      </c>
    </row>
    <row r="1948" spans="1:17" x14ac:dyDescent="0.3">
      <c r="A1948" t="s">
        <v>17</v>
      </c>
      <c r="B1948" t="str">
        <f>"688303"</f>
        <v>688303</v>
      </c>
      <c r="C1948" t="s">
        <v>4216</v>
      </c>
      <c r="D1948" t="s">
        <v>929</v>
      </c>
      <c r="F1948">
        <v>41559094</v>
      </c>
      <c r="G1948">
        <v>47400855</v>
      </c>
      <c r="H1948">
        <v>33865883</v>
      </c>
      <c r="I1948">
        <v>21698715</v>
      </c>
      <c r="J1948">
        <v>15160929</v>
      </c>
      <c r="P1948">
        <v>108</v>
      </c>
      <c r="Q1948" t="s">
        <v>4217</v>
      </c>
    </row>
    <row r="1949" spans="1:17" x14ac:dyDescent="0.3">
      <c r="A1949" t="s">
        <v>17</v>
      </c>
      <c r="B1949" t="str">
        <f>"688305"</f>
        <v>688305</v>
      </c>
      <c r="C1949" t="s">
        <v>4218</v>
      </c>
      <c r="D1949" t="s">
        <v>2321</v>
      </c>
      <c r="F1949">
        <v>3491262</v>
      </c>
      <c r="G1949">
        <v>13777255</v>
      </c>
      <c r="H1949">
        <v>5981583</v>
      </c>
      <c r="I1949">
        <v>13663445</v>
      </c>
      <c r="J1949">
        <v>14658266</v>
      </c>
      <c r="P1949">
        <v>79</v>
      </c>
      <c r="Q1949" t="s">
        <v>4219</v>
      </c>
    </row>
    <row r="1950" spans="1:17" x14ac:dyDescent="0.3">
      <c r="A1950" t="s">
        <v>17</v>
      </c>
      <c r="B1950" t="str">
        <f>"688306"</f>
        <v>688306</v>
      </c>
      <c r="C1950" t="s">
        <v>4220</v>
      </c>
      <c r="F1950">
        <v>80520884</v>
      </c>
      <c r="G1950">
        <v>49609063</v>
      </c>
      <c r="H1950">
        <v>60277778</v>
      </c>
      <c r="I1950">
        <v>87557500</v>
      </c>
      <c r="J1950">
        <v>56488401</v>
      </c>
      <c r="P1950">
        <v>3</v>
      </c>
      <c r="Q1950" t="s">
        <v>4221</v>
      </c>
    </row>
    <row r="1951" spans="1:17" x14ac:dyDescent="0.3">
      <c r="A1951" t="s">
        <v>17</v>
      </c>
      <c r="B1951" t="str">
        <f>"688308"</f>
        <v>688308</v>
      </c>
      <c r="C1951" t="s">
        <v>4222</v>
      </c>
      <c r="D1951" t="s">
        <v>274</v>
      </c>
      <c r="F1951">
        <v>48980257</v>
      </c>
      <c r="G1951">
        <v>33121891</v>
      </c>
      <c r="H1951">
        <v>30702928</v>
      </c>
      <c r="I1951">
        <v>20766503</v>
      </c>
      <c r="J1951">
        <v>16426554</v>
      </c>
      <c r="P1951">
        <v>91</v>
      </c>
      <c r="Q1951" t="s">
        <v>4223</v>
      </c>
    </row>
    <row r="1952" spans="1:17" x14ac:dyDescent="0.3">
      <c r="A1952" t="s">
        <v>17</v>
      </c>
      <c r="B1952" t="str">
        <f>"688309"</f>
        <v>688309</v>
      </c>
      <c r="C1952" t="s">
        <v>4224</v>
      </c>
      <c r="D1952" t="s">
        <v>1070</v>
      </c>
      <c r="F1952">
        <v>8246989</v>
      </c>
      <c r="G1952">
        <v>10428641</v>
      </c>
      <c r="H1952">
        <v>10394380</v>
      </c>
      <c r="I1952">
        <v>10160867</v>
      </c>
      <c r="J1952">
        <v>5484269</v>
      </c>
      <c r="K1952">
        <v>4337334</v>
      </c>
      <c r="P1952">
        <v>30</v>
      </c>
      <c r="Q1952" t="s">
        <v>4225</v>
      </c>
    </row>
    <row r="1953" spans="1:17" x14ac:dyDescent="0.3">
      <c r="A1953" t="s">
        <v>17</v>
      </c>
      <c r="B1953" t="str">
        <f>"688310"</f>
        <v>688310</v>
      </c>
      <c r="C1953" t="s">
        <v>4226</v>
      </c>
      <c r="D1953" t="s">
        <v>3477</v>
      </c>
      <c r="F1953">
        <v>38458991</v>
      </c>
      <c r="G1953">
        <v>26234713</v>
      </c>
      <c r="H1953">
        <v>20567309</v>
      </c>
      <c r="I1953">
        <v>19422966</v>
      </c>
      <c r="J1953">
        <v>13815813</v>
      </c>
      <c r="K1953">
        <v>13696614</v>
      </c>
      <c r="P1953">
        <v>92</v>
      </c>
      <c r="Q1953" t="s">
        <v>4227</v>
      </c>
    </row>
    <row r="1954" spans="1:17" x14ac:dyDescent="0.3">
      <c r="A1954" t="s">
        <v>17</v>
      </c>
      <c r="B1954" t="str">
        <f>"688311"</f>
        <v>688311</v>
      </c>
      <c r="C1954" t="s">
        <v>4228</v>
      </c>
      <c r="D1954" t="s">
        <v>1136</v>
      </c>
      <c r="F1954">
        <v>62549678</v>
      </c>
      <c r="G1954">
        <v>55818877</v>
      </c>
      <c r="H1954">
        <v>28191172</v>
      </c>
      <c r="I1954">
        <v>28847614</v>
      </c>
      <c r="J1954">
        <v>19036483</v>
      </c>
      <c r="K1954">
        <v>17847591</v>
      </c>
      <c r="P1954">
        <v>74</v>
      </c>
      <c r="Q1954" t="s">
        <v>4229</v>
      </c>
    </row>
    <row r="1955" spans="1:17" x14ac:dyDescent="0.3">
      <c r="A1955" t="s">
        <v>17</v>
      </c>
      <c r="B1955" t="str">
        <f>"688312"</f>
        <v>688312</v>
      </c>
      <c r="C1955" t="s">
        <v>4230</v>
      </c>
      <c r="D1955" t="s">
        <v>741</v>
      </c>
      <c r="F1955">
        <v>87427032</v>
      </c>
      <c r="G1955">
        <v>55597102</v>
      </c>
      <c r="H1955">
        <v>43674087</v>
      </c>
      <c r="I1955">
        <v>41248272</v>
      </c>
      <c r="J1955">
        <v>35747777</v>
      </c>
      <c r="K1955">
        <v>27409583</v>
      </c>
      <c r="P1955">
        <v>64</v>
      </c>
      <c r="Q1955" t="s">
        <v>4231</v>
      </c>
    </row>
    <row r="1956" spans="1:17" x14ac:dyDescent="0.3">
      <c r="A1956" t="s">
        <v>17</v>
      </c>
      <c r="B1956" t="str">
        <f>"688313"</f>
        <v>688313</v>
      </c>
      <c r="C1956" t="s">
        <v>4232</v>
      </c>
      <c r="D1956" t="s">
        <v>1019</v>
      </c>
      <c r="F1956">
        <v>80008173</v>
      </c>
      <c r="G1956">
        <v>63023000</v>
      </c>
      <c r="H1956">
        <v>59607519</v>
      </c>
      <c r="I1956">
        <v>48818210</v>
      </c>
      <c r="J1956">
        <v>48563690</v>
      </c>
      <c r="P1956">
        <v>50</v>
      </c>
      <c r="Q1956" t="s">
        <v>4233</v>
      </c>
    </row>
    <row r="1957" spans="1:17" x14ac:dyDescent="0.3">
      <c r="A1957" t="s">
        <v>17</v>
      </c>
      <c r="B1957" t="str">
        <f>"688314"</f>
        <v>688314</v>
      </c>
      <c r="C1957" t="s">
        <v>4234</v>
      </c>
      <c r="D1957" t="s">
        <v>1077</v>
      </c>
      <c r="F1957">
        <v>16804775</v>
      </c>
      <c r="G1957">
        <v>16899840</v>
      </c>
      <c r="H1957">
        <v>10561409</v>
      </c>
      <c r="I1957">
        <v>8088666</v>
      </c>
      <c r="J1957">
        <v>4413814</v>
      </c>
      <c r="P1957">
        <v>53</v>
      </c>
      <c r="Q1957" t="s">
        <v>4235</v>
      </c>
    </row>
    <row r="1958" spans="1:17" x14ac:dyDescent="0.3">
      <c r="A1958" t="s">
        <v>17</v>
      </c>
      <c r="B1958" t="str">
        <f>"688315"</f>
        <v>688315</v>
      </c>
      <c r="C1958" t="s">
        <v>4236</v>
      </c>
      <c r="D1958" t="s">
        <v>4237</v>
      </c>
      <c r="F1958">
        <v>145286036</v>
      </c>
      <c r="G1958">
        <v>112314986</v>
      </c>
      <c r="H1958">
        <v>125708259</v>
      </c>
      <c r="I1958">
        <v>79415117</v>
      </c>
      <c r="J1958">
        <v>50360514</v>
      </c>
      <c r="K1958">
        <v>30534532</v>
      </c>
      <c r="P1958">
        <v>46</v>
      </c>
      <c r="Q1958" t="s">
        <v>4238</v>
      </c>
    </row>
    <row r="1959" spans="1:17" x14ac:dyDescent="0.3">
      <c r="A1959" t="s">
        <v>17</v>
      </c>
      <c r="B1959" t="str">
        <f>"688316"</f>
        <v>688316</v>
      </c>
      <c r="C1959" t="s">
        <v>4239</v>
      </c>
      <c r="D1959" t="s">
        <v>316</v>
      </c>
      <c r="F1959">
        <v>134819265</v>
      </c>
      <c r="G1959">
        <v>75644385</v>
      </c>
      <c r="H1959">
        <v>69542466</v>
      </c>
      <c r="I1959">
        <v>64269282</v>
      </c>
      <c r="J1959">
        <v>30674248</v>
      </c>
      <c r="P1959">
        <v>31</v>
      </c>
      <c r="Q1959" t="s">
        <v>4240</v>
      </c>
    </row>
    <row r="1960" spans="1:17" x14ac:dyDescent="0.3">
      <c r="A1960" t="s">
        <v>17</v>
      </c>
      <c r="B1960" t="str">
        <f>"688317"</f>
        <v>688317</v>
      </c>
      <c r="C1960" t="s">
        <v>4241</v>
      </c>
      <c r="D1960" t="s">
        <v>1305</v>
      </c>
      <c r="F1960">
        <v>108789102</v>
      </c>
      <c r="G1960">
        <v>52425072</v>
      </c>
      <c r="H1960">
        <v>23404994</v>
      </c>
      <c r="I1960">
        <v>19924471</v>
      </c>
      <c r="J1960">
        <v>20101558</v>
      </c>
      <c r="P1960">
        <v>120</v>
      </c>
      <c r="Q1960" t="s">
        <v>4242</v>
      </c>
    </row>
    <row r="1961" spans="1:17" x14ac:dyDescent="0.3">
      <c r="A1961" t="s">
        <v>17</v>
      </c>
      <c r="B1961" t="str">
        <f>"688318"</f>
        <v>688318</v>
      </c>
      <c r="C1961" t="s">
        <v>4243</v>
      </c>
      <c r="D1961" t="s">
        <v>945</v>
      </c>
      <c r="F1961">
        <v>53131749</v>
      </c>
      <c r="G1961">
        <v>36843659</v>
      </c>
      <c r="H1961">
        <v>30108427</v>
      </c>
      <c r="I1961">
        <v>30482714</v>
      </c>
      <c r="J1961">
        <v>26577503</v>
      </c>
      <c r="K1961">
        <v>23993996</v>
      </c>
      <c r="P1961">
        <v>155</v>
      </c>
      <c r="Q1961" t="s">
        <v>4244</v>
      </c>
    </row>
    <row r="1962" spans="1:17" x14ac:dyDescent="0.3">
      <c r="A1962" t="s">
        <v>17</v>
      </c>
      <c r="B1962" t="str">
        <f>"688319"</f>
        <v>688319</v>
      </c>
      <c r="C1962" t="s">
        <v>4245</v>
      </c>
      <c r="D1962" t="s">
        <v>1499</v>
      </c>
      <c r="F1962">
        <v>56358340</v>
      </c>
      <c r="G1962">
        <v>42726779</v>
      </c>
      <c r="H1962">
        <v>44110486</v>
      </c>
      <c r="I1962">
        <v>30620043</v>
      </c>
      <c r="J1962">
        <v>19485079</v>
      </c>
      <c r="P1962">
        <v>46</v>
      </c>
      <c r="Q1962" t="s">
        <v>4246</v>
      </c>
    </row>
    <row r="1963" spans="1:17" x14ac:dyDescent="0.3">
      <c r="A1963" t="s">
        <v>17</v>
      </c>
      <c r="B1963" t="str">
        <f>"688320"</f>
        <v>688320</v>
      </c>
      <c r="C1963" t="s">
        <v>4247</v>
      </c>
      <c r="F1963">
        <v>87001312</v>
      </c>
      <c r="G1963">
        <v>67407111</v>
      </c>
      <c r="H1963">
        <v>45469920</v>
      </c>
      <c r="I1963">
        <v>31815893</v>
      </c>
      <c r="P1963">
        <v>1</v>
      </c>
      <c r="Q1963" t="s">
        <v>4248</v>
      </c>
    </row>
    <row r="1964" spans="1:17" x14ac:dyDescent="0.3">
      <c r="A1964" t="s">
        <v>17</v>
      </c>
      <c r="B1964" t="str">
        <f>"688321"</f>
        <v>688321</v>
      </c>
      <c r="C1964" t="s">
        <v>4249</v>
      </c>
      <c r="D1964" t="s">
        <v>143</v>
      </c>
      <c r="F1964">
        <v>130026219</v>
      </c>
      <c r="G1964">
        <v>92290558</v>
      </c>
      <c r="H1964">
        <v>51443377</v>
      </c>
      <c r="I1964">
        <v>42101206</v>
      </c>
      <c r="J1964">
        <v>35215846</v>
      </c>
      <c r="K1964">
        <v>29017042</v>
      </c>
      <c r="P1964">
        <v>157</v>
      </c>
      <c r="Q1964" t="s">
        <v>4250</v>
      </c>
    </row>
    <row r="1965" spans="1:17" x14ac:dyDescent="0.3">
      <c r="A1965" t="s">
        <v>17</v>
      </c>
      <c r="B1965" t="str">
        <f>"688323"</f>
        <v>688323</v>
      </c>
      <c r="C1965" t="s">
        <v>4251</v>
      </c>
      <c r="D1965" t="s">
        <v>324</v>
      </c>
      <c r="F1965">
        <v>26598968</v>
      </c>
      <c r="G1965">
        <v>23095734</v>
      </c>
      <c r="H1965">
        <v>20532550</v>
      </c>
      <c r="I1965">
        <v>21244808</v>
      </c>
      <c r="J1965">
        <v>13831701</v>
      </c>
      <c r="P1965">
        <v>26</v>
      </c>
      <c r="Q1965" t="s">
        <v>4252</v>
      </c>
    </row>
    <row r="1966" spans="1:17" x14ac:dyDescent="0.3">
      <c r="A1966" t="s">
        <v>17</v>
      </c>
      <c r="B1966" t="str">
        <f>"688325"</f>
        <v>688325</v>
      </c>
      <c r="C1966" t="s">
        <v>4253</v>
      </c>
      <c r="F1966">
        <v>66736989</v>
      </c>
      <c r="G1966">
        <v>41733030</v>
      </c>
      <c r="H1966">
        <v>28927447</v>
      </c>
      <c r="I1966">
        <v>18567852</v>
      </c>
      <c r="P1966">
        <v>3</v>
      </c>
      <c r="Q1966" t="s">
        <v>4254</v>
      </c>
    </row>
    <row r="1967" spans="1:17" x14ac:dyDescent="0.3">
      <c r="A1967" t="s">
        <v>17</v>
      </c>
      <c r="B1967" t="str">
        <f>"688326"</f>
        <v>688326</v>
      </c>
      <c r="C1967" t="s">
        <v>4255</v>
      </c>
      <c r="F1967">
        <v>456015741</v>
      </c>
      <c r="G1967">
        <v>352277080</v>
      </c>
      <c r="H1967">
        <v>324716113</v>
      </c>
      <c r="I1967">
        <v>265305690</v>
      </c>
      <c r="P1967">
        <v>3</v>
      </c>
      <c r="Q1967" t="s">
        <v>4256</v>
      </c>
    </row>
    <row r="1968" spans="1:17" x14ac:dyDescent="0.3">
      <c r="A1968" t="s">
        <v>17</v>
      </c>
      <c r="B1968" t="str">
        <f>"688327"</f>
        <v>688327</v>
      </c>
      <c r="C1968" t="s">
        <v>4257</v>
      </c>
      <c r="F1968">
        <v>534166505</v>
      </c>
      <c r="G1968">
        <v>578073330</v>
      </c>
      <c r="H1968">
        <v>454153831</v>
      </c>
      <c r="I1968">
        <v>148189446</v>
      </c>
      <c r="J1968">
        <v>59406513</v>
      </c>
      <c r="Q1968" t="s">
        <v>4258</v>
      </c>
    </row>
    <row r="1969" spans="1:17" x14ac:dyDescent="0.3">
      <c r="A1969" t="s">
        <v>17</v>
      </c>
      <c r="B1969" t="str">
        <f>"688328"</f>
        <v>688328</v>
      </c>
      <c r="C1969" t="s">
        <v>4259</v>
      </c>
      <c r="D1969" t="s">
        <v>741</v>
      </c>
      <c r="F1969">
        <v>74443416</v>
      </c>
      <c r="G1969">
        <v>60769531</v>
      </c>
      <c r="H1969">
        <v>47623993</v>
      </c>
      <c r="I1969">
        <v>43081423</v>
      </c>
      <c r="J1969">
        <v>34393346</v>
      </c>
      <c r="P1969">
        <v>39</v>
      </c>
      <c r="Q1969" t="s">
        <v>4260</v>
      </c>
    </row>
    <row r="1970" spans="1:17" x14ac:dyDescent="0.3">
      <c r="A1970" t="s">
        <v>17</v>
      </c>
      <c r="B1970" t="str">
        <f>"688329"</f>
        <v>688329</v>
      </c>
      <c r="C1970" t="s">
        <v>4261</v>
      </c>
      <c r="D1970" t="s">
        <v>3477</v>
      </c>
      <c r="F1970">
        <v>39611447</v>
      </c>
      <c r="G1970">
        <v>32242359</v>
      </c>
      <c r="H1970">
        <v>23249703</v>
      </c>
      <c r="I1970">
        <v>20303362</v>
      </c>
      <c r="J1970">
        <v>20162356</v>
      </c>
      <c r="P1970">
        <v>43</v>
      </c>
      <c r="Q1970" t="s">
        <v>4262</v>
      </c>
    </row>
    <row r="1971" spans="1:17" x14ac:dyDescent="0.3">
      <c r="A1971" t="s">
        <v>17</v>
      </c>
      <c r="B1971" t="str">
        <f>"688330"</f>
        <v>688330</v>
      </c>
      <c r="C1971" t="s">
        <v>4263</v>
      </c>
      <c r="D1971" t="s">
        <v>610</v>
      </c>
      <c r="F1971">
        <v>59708411</v>
      </c>
      <c r="G1971">
        <v>51455999</v>
      </c>
      <c r="H1971">
        <v>36710202</v>
      </c>
      <c r="I1971">
        <v>30067693</v>
      </c>
      <c r="J1971">
        <v>19932141</v>
      </c>
      <c r="K1971">
        <v>17315590</v>
      </c>
      <c r="P1971">
        <v>92</v>
      </c>
      <c r="Q1971" t="s">
        <v>4264</v>
      </c>
    </row>
    <row r="1972" spans="1:17" x14ac:dyDescent="0.3">
      <c r="A1972" t="s">
        <v>17</v>
      </c>
      <c r="B1972" t="str">
        <f>"688331"</f>
        <v>688331</v>
      </c>
      <c r="C1972" t="s">
        <v>4265</v>
      </c>
      <c r="F1972">
        <v>710972799</v>
      </c>
      <c r="G1972">
        <v>465821483</v>
      </c>
      <c r="H1972">
        <v>352065930</v>
      </c>
      <c r="I1972">
        <v>216438270</v>
      </c>
      <c r="P1972">
        <v>5</v>
      </c>
      <c r="Q1972" t="s">
        <v>4266</v>
      </c>
    </row>
    <row r="1973" spans="1:17" x14ac:dyDescent="0.3">
      <c r="A1973" t="s">
        <v>17</v>
      </c>
      <c r="B1973" t="str">
        <f>"688333"</f>
        <v>688333</v>
      </c>
      <c r="C1973" t="s">
        <v>4267</v>
      </c>
      <c r="D1973" t="s">
        <v>2321</v>
      </c>
      <c r="F1973">
        <v>114219790</v>
      </c>
      <c r="G1973">
        <v>68230484</v>
      </c>
      <c r="H1973">
        <v>42034266</v>
      </c>
      <c r="I1973">
        <v>25610014</v>
      </c>
      <c r="J1973">
        <v>23252485</v>
      </c>
      <c r="K1973">
        <v>15147105</v>
      </c>
      <c r="P1973">
        <v>117</v>
      </c>
      <c r="Q1973" t="s">
        <v>4268</v>
      </c>
    </row>
    <row r="1974" spans="1:17" x14ac:dyDescent="0.3">
      <c r="A1974" t="s">
        <v>17</v>
      </c>
      <c r="B1974" t="str">
        <f>"688335"</f>
        <v>688335</v>
      </c>
      <c r="C1974" t="s">
        <v>4269</v>
      </c>
      <c r="D1974" t="s">
        <v>33</v>
      </c>
      <c r="F1974">
        <v>29602483</v>
      </c>
      <c r="G1974">
        <v>22396911</v>
      </c>
      <c r="H1974">
        <v>20508967</v>
      </c>
      <c r="I1974">
        <v>10688365</v>
      </c>
      <c r="J1974">
        <v>5598308</v>
      </c>
      <c r="K1974">
        <v>4839811</v>
      </c>
      <c r="P1974">
        <v>61</v>
      </c>
      <c r="Q1974" t="s">
        <v>4270</v>
      </c>
    </row>
    <row r="1975" spans="1:17" x14ac:dyDescent="0.3">
      <c r="A1975" t="s">
        <v>17</v>
      </c>
      <c r="B1975" t="str">
        <f>"688336"</f>
        <v>688336</v>
      </c>
      <c r="C1975" t="s">
        <v>4271</v>
      </c>
      <c r="D1975" t="s">
        <v>1379</v>
      </c>
      <c r="F1975">
        <v>455093365</v>
      </c>
      <c r="G1975">
        <v>340249578</v>
      </c>
      <c r="H1975">
        <v>278889272</v>
      </c>
      <c r="I1975">
        <v>198711219</v>
      </c>
      <c r="J1975">
        <v>122260592</v>
      </c>
      <c r="K1975">
        <v>175614078</v>
      </c>
      <c r="P1975">
        <v>52</v>
      </c>
      <c r="Q1975" t="s">
        <v>4272</v>
      </c>
    </row>
    <row r="1976" spans="1:17" x14ac:dyDescent="0.3">
      <c r="A1976" t="s">
        <v>17</v>
      </c>
      <c r="B1976" t="str">
        <f>"688337"</f>
        <v>688337</v>
      </c>
      <c r="C1976" t="s">
        <v>4273</v>
      </c>
      <c r="F1976">
        <v>103205408</v>
      </c>
      <c r="G1976">
        <v>79197667</v>
      </c>
      <c r="H1976">
        <v>33281211</v>
      </c>
      <c r="I1976">
        <v>37082664</v>
      </c>
      <c r="P1976">
        <v>3</v>
      </c>
      <c r="Q1976" t="s">
        <v>4274</v>
      </c>
    </row>
    <row r="1977" spans="1:17" x14ac:dyDescent="0.3">
      <c r="A1977" t="s">
        <v>17</v>
      </c>
      <c r="B1977" t="str">
        <f>"688338"</f>
        <v>688338</v>
      </c>
      <c r="C1977" t="s">
        <v>4275</v>
      </c>
      <c r="D1977" t="s">
        <v>1305</v>
      </c>
      <c r="F1977">
        <v>15205600</v>
      </c>
      <c r="G1977">
        <v>13359154</v>
      </c>
      <c r="H1977">
        <v>13861759</v>
      </c>
      <c r="I1977">
        <v>12795289</v>
      </c>
      <c r="J1977">
        <v>12067434</v>
      </c>
      <c r="K1977">
        <v>9289234</v>
      </c>
      <c r="P1977">
        <v>56</v>
      </c>
      <c r="Q1977" t="s">
        <v>4276</v>
      </c>
    </row>
    <row r="1978" spans="1:17" x14ac:dyDescent="0.3">
      <c r="A1978" t="s">
        <v>17</v>
      </c>
      <c r="B1978" t="str">
        <f>"688339"</f>
        <v>688339</v>
      </c>
      <c r="C1978" t="s">
        <v>4277</v>
      </c>
      <c r="D1978" t="s">
        <v>4278</v>
      </c>
      <c r="F1978">
        <v>92772754</v>
      </c>
      <c r="G1978">
        <v>74671233</v>
      </c>
      <c r="H1978">
        <v>83901867</v>
      </c>
      <c r="I1978">
        <v>45086893</v>
      </c>
      <c r="J1978">
        <v>25037580</v>
      </c>
      <c r="K1978">
        <v>7694462</v>
      </c>
      <c r="P1978">
        <v>153</v>
      </c>
      <c r="Q1978" t="s">
        <v>4279</v>
      </c>
    </row>
    <row r="1979" spans="1:17" x14ac:dyDescent="0.3">
      <c r="A1979" t="s">
        <v>17</v>
      </c>
      <c r="B1979" t="str">
        <f>"688345"</f>
        <v>688345</v>
      </c>
      <c r="C1979" t="s">
        <v>4280</v>
      </c>
      <c r="D1979" t="s">
        <v>359</v>
      </c>
      <c r="F1979">
        <v>99024072</v>
      </c>
      <c r="G1979">
        <v>60945970</v>
      </c>
      <c r="H1979">
        <v>45661388</v>
      </c>
      <c r="I1979">
        <v>37024035</v>
      </c>
      <c r="J1979">
        <v>29173789</v>
      </c>
      <c r="P1979">
        <v>39</v>
      </c>
      <c r="Q1979" t="s">
        <v>4281</v>
      </c>
    </row>
    <row r="1980" spans="1:17" x14ac:dyDescent="0.3">
      <c r="A1980" t="s">
        <v>17</v>
      </c>
      <c r="B1980" t="str">
        <f>"688350"</f>
        <v>688350</v>
      </c>
      <c r="C1980" t="s">
        <v>4282</v>
      </c>
      <c r="D1980" t="s">
        <v>386</v>
      </c>
      <c r="F1980">
        <v>63795521</v>
      </c>
      <c r="G1980">
        <v>48587201</v>
      </c>
      <c r="H1980">
        <v>50411054</v>
      </c>
      <c r="I1980">
        <v>40650640</v>
      </c>
      <c r="J1980">
        <v>25299050</v>
      </c>
      <c r="P1980">
        <v>34</v>
      </c>
      <c r="Q1980" t="s">
        <v>4283</v>
      </c>
    </row>
    <row r="1981" spans="1:17" x14ac:dyDescent="0.3">
      <c r="A1981" t="s">
        <v>17</v>
      </c>
      <c r="B1981" t="str">
        <f>"688355"</f>
        <v>688355</v>
      </c>
      <c r="C1981" t="s">
        <v>4284</v>
      </c>
      <c r="D1981" t="s">
        <v>274</v>
      </c>
      <c r="F1981">
        <v>32098390</v>
      </c>
      <c r="G1981">
        <v>26571491</v>
      </c>
      <c r="H1981">
        <v>25018995</v>
      </c>
      <c r="I1981">
        <v>27352729</v>
      </c>
      <c r="J1981">
        <v>17643511</v>
      </c>
      <c r="P1981">
        <v>21</v>
      </c>
      <c r="Q1981" t="s">
        <v>4285</v>
      </c>
    </row>
    <row r="1982" spans="1:17" x14ac:dyDescent="0.3">
      <c r="A1982" t="s">
        <v>17</v>
      </c>
      <c r="B1982" t="str">
        <f>"688356"</f>
        <v>688356</v>
      </c>
      <c r="C1982" t="s">
        <v>4286</v>
      </c>
      <c r="D1982" t="s">
        <v>496</v>
      </c>
      <c r="F1982">
        <v>53968557</v>
      </c>
      <c r="G1982">
        <v>26298317</v>
      </c>
      <c r="H1982">
        <v>20701952</v>
      </c>
      <c r="I1982">
        <v>13145278</v>
      </c>
      <c r="J1982">
        <v>10837025</v>
      </c>
      <c r="K1982">
        <v>10199438</v>
      </c>
      <c r="P1982">
        <v>152</v>
      </c>
      <c r="Q1982" t="s">
        <v>4287</v>
      </c>
    </row>
    <row r="1983" spans="1:17" x14ac:dyDescent="0.3">
      <c r="A1983" t="s">
        <v>17</v>
      </c>
      <c r="B1983" t="str">
        <f>"688357"</f>
        <v>688357</v>
      </c>
      <c r="C1983" t="s">
        <v>4288</v>
      </c>
      <c r="D1983" t="s">
        <v>2762</v>
      </c>
      <c r="F1983">
        <v>42145074</v>
      </c>
      <c r="G1983">
        <v>19137030</v>
      </c>
      <c r="H1983">
        <v>14533146</v>
      </c>
      <c r="I1983">
        <v>12410235</v>
      </c>
      <c r="J1983">
        <v>8022290</v>
      </c>
      <c r="K1983">
        <v>6061432</v>
      </c>
      <c r="P1983">
        <v>159</v>
      </c>
      <c r="Q1983" t="s">
        <v>4289</v>
      </c>
    </row>
    <row r="1984" spans="1:17" x14ac:dyDescent="0.3">
      <c r="A1984" t="s">
        <v>17</v>
      </c>
      <c r="B1984" t="str">
        <f>"688358"</f>
        <v>688358</v>
      </c>
      <c r="C1984" t="s">
        <v>4290</v>
      </c>
      <c r="D1984" t="s">
        <v>122</v>
      </c>
      <c r="F1984">
        <v>72286423</v>
      </c>
      <c r="G1984">
        <v>55635233</v>
      </c>
      <c r="H1984">
        <v>52022008</v>
      </c>
      <c r="I1984">
        <v>41345436</v>
      </c>
      <c r="J1984">
        <v>33115768</v>
      </c>
      <c r="K1984">
        <v>28266769</v>
      </c>
      <c r="P1984">
        <v>122</v>
      </c>
      <c r="Q1984" t="s">
        <v>4291</v>
      </c>
    </row>
    <row r="1985" spans="1:17" x14ac:dyDescent="0.3">
      <c r="A1985" t="s">
        <v>17</v>
      </c>
      <c r="B1985" t="str">
        <f>"688359"</f>
        <v>688359</v>
      </c>
      <c r="C1985" t="s">
        <v>4292</v>
      </c>
      <c r="D1985" t="s">
        <v>2408</v>
      </c>
      <c r="F1985">
        <v>19413925</v>
      </c>
      <c r="G1985">
        <v>15273679</v>
      </c>
      <c r="H1985">
        <v>11937554</v>
      </c>
      <c r="I1985">
        <v>10983529</v>
      </c>
      <c r="J1985">
        <v>8488014</v>
      </c>
      <c r="P1985">
        <v>23</v>
      </c>
      <c r="Q1985" t="s">
        <v>4293</v>
      </c>
    </row>
    <row r="1986" spans="1:17" x14ac:dyDescent="0.3">
      <c r="A1986" t="s">
        <v>17</v>
      </c>
      <c r="B1986" t="str">
        <f>"688360"</f>
        <v>688360</v>
      </c>
      <c r="C1986" t="s">
        <v>4294</v>
      </c>
      <c r="D1986" t="s">
        <v>560</v>
      </c>
      <c r="F1986">
        <v>70853649</v>
      </c>
      <c r="G1986">
        <v>49411266</v>
      </c>
      <c r="H1986">
        <v>42358414</v>
      </c>
      <c r="I1986">
        <v>33229262</v>
      </c>
      <c r="J1986">
        <v>22081375</v>
      </c>
      <c r="K1986">
        <v>19747212</v>
      </c>
      <c r="P1986">
        <v>84</v>
      </c>
      <c r="Q1986" t="s">
        <v>4295</v>
      </c>
    </row>
    <row r="1987" spans="1:17" x14ac:dyDescent="0.3">
      <c r="A1987" t="s">
        <v>17</v>
      </c>
      <c r="B1987" t="str">
        <f>"688363"</f>
        <v>688363</v>
      </c>
      <c r="C1987" t="s">
        <v>4296</v>
      </c>
      <c r="D1987" t="s">
        <v>4297</v>
      </c>
      <c r="F1987">
        <v>284338024</v>
      </c>
      <c r="G1987">
        <v>141157834</v>
      </c>
      <c r="H1987">
        <v>93886198</v>
      </c>
      <c r="I1987">
        <v>52865937</v>
      </c>
      <c r="J1987">
        <v>25718539</v>
      </c>
      <c r="K1987">
        <v>23962994</v>
      </c>
      <c r="P1987">
        <v>1156</v>
      </c>
      <c r="Q1987" t="s">
        <v>4298</v>
      </c>
    </row>
    <row r="1988" spans="1:17" x14ac:dyDescent="0.3">
      <c r="A1988" t="s">
        <v>17</v>
      </c>
      <c r="B1988" t="str">
        <f>"688365"</f>
        <v>688365</v>
      </c>
      <c r="C1988" t="s">
        <v>4299</v>
      </c>
      <c r="D1988" t="s">
        <v>316</v>
      </c>
      <c r="F1988">
        <v>159763556</v>
      </c>
      <c r="G1988">
        <v>106629129</v>
      </c>
      <c r="H1988">
        <v>89426704</v>
      </c>
      <c r="I1988">
        <v>83341197</v>
      </c>
      <c r="J1988">
        <v>51770549</v>
      </c>
      <c r="K1988">
        <v>36255562</v>
      </c>
      <c r="P1988">
        <v>72</v>
      </c>
      <c r="Q1988" t="s">
        <v>4300</v>
      </c>
    </row>
    <row r="1989" spans="1:17" x14ac:dyDescent="0.3">
      <c r="A1989" t="s">
        <v>17</v>
      </c>
      <c r="B1989" t="str">
        <f>"688366"</f>
        <v>688366</v>
      </c>
      <c r="C1989" t="s">
        <v>4301</v>
      </c>
      <c r="D1989" t="s">
        <v>1077</v>
      </c>
      <c r="F1989">
        <v>167596909</v>
      </c>
      <c r="G1989">
        <v>126474113</v>
      </c>
      <c r="H1989">
        <v>116076024</v>
      </c>
      <c r="I1989">
        <v>95369677</v>
      </c>
      <c r="J1989">
        <v>76332344</v>
      </c>
      <c r="K1989">
        <v>47255401</v>
      </c>
      <c r="P1989">
        <v>267</v>
      </c>
      <c r="Q1989" t="s">
        <v>4302</v>
      </c>
    </row>
    <row r="1990" spans="1:17" x14ac:dyDescent="0.3">
      <c r="A1990" t="s">
        <v>17</v>
      </c>
      <c r="B1990" t="str">
        <f>"688367"</f>
        <v>688367</v>
      </c>
      <c r="C1990" t="s">
        <v>4303</v>
      </c>
      <c r="D1990" t="s">
        <v>1012</v>
      </c>
      <c r="F1990">
        <v>13648993</v>
      </c>
      <c r="G1990">
        <v>12829200</v>
      </c>
      <c r="H1990">
        <v>6936241</v>
      </c>
      <c r="I1990">
        <v>5232389</v>
      </c>
      <c r="J1990">
        <v>3871979</v>
      </c>
      <c r="P1990">
        <v>30</v>
      </c>
      <c r="Q1990" t="s">
        <v>4304</v>
      </c>
    </row>
    <row r="1991" spans="1:17" x14ac:dyDescent="0.3">
      <c r="A1991" t="s">
        <v>17</v>
      </c>
      <c r="B1991" t="str">
        <f>"688368"</f>
        <v>688368</v>
      </c>
      <c r="C1991" t="s">
        <v>4305</v>
      </c>
      <c r="D1991" t="s">
        <v>401</v>
      </c>
      <c r="F1991">
        <v>298911478</v>
      </c>
      <c r="G1991">
        <v>157592799</v>
      </c>
      <c r="H1991">
        <v>67699750</v>
      </c>
      <c r="I1991">
        <v>60817194</v>
      </c>
      <c r="J1991">
        <v>52510849</v>
      </c>
      <c r="K1991">
        <v>45718810</v>
      </c>
      <c r="P1991">
        <v>215</v>
      </c>
      <c r="Q1991" t="s">
        <v>4306</v>
      </c>
    </row>
    <row r="1992" spans="1:17" x14ac:dyDescent="0.3">
      <c r="A1992" t="s">
        <v>17</v>
      </c>
      <c r="B1992" t="str">
        <f>"688369"</f>
        <v>688369</v>
      </c>
      <c r="C1992" t="s">
        <v>4307</v>
      </c>
      <c r="D1992" t="s">
        <v>1189</v>
      </c>
      <c r="F1992">
        <v>181102487</v>
      </c>
      <c r="G1992">
        <v>119638015</v>
      </c>
      <c r="H1992">
        <v>89370959</v>
      </c>
      <c r="I1992">
        <v>76823884</v>
      </c>
      <c r="J1992">
        <v>68494682</v>
      </c>
      <c r="K1992">
        <v>54437477</v>
      </c>
      <c r="P1992">
        <v>168</v>
      </c>
      <c r="Q1992" t="s">
        <v>4308</v>
      </c>
    </row>
    <row r="1993" spans="1:17" x14ac:dyDescent="0.3">
      <c r="A1993" t="s">
        <v>17</v>
      </c>
      <c r="B1993" t="str">
        <f>"688377"</f>
        <v>688377</v>
      </c>
      <c r="C1993" t="s">
        <v>4309</v>
      </c>
      <c r="D1993" t="s">
        <v>395</v>
      </c>
      <c r="F1993">
        <v>25616186</v>
      </c>
      <c r="G1993">
        <v>35431872</v>
      </c>
      <c r="H1993">
        <v>28865060</v>
      </c>
      <c r="I1993">
        <v>15341286</v>
      </c>
      <c r="J1993">
        <v>10226158</v>
      </c>
      <c r="K1993">
        <v>6800560</v>
      </c>
      <c r="P1993">
        <v>52</v>
      </c>
      <c r="Q1993" t="s">
        <v>4310</v>
      </c>
    </row>
    <row r="1994" spans="1:17" x14ac:dyDescent="0.3">
      <c r="A1994" t="s">
        <v>17</v>
      </c>
      <c r="B1994" t="str">
        <f>"688378"</f>
        <v>688378</v>
      </c>
      <c r="C1994" t="s">
        <v>4311</v>
      </c>
      <c r="D1994" t="s">
        <v>741</v>
      </c>
      <c r="F1994">
        <v>71127030</v>
      </c>
      <c r="G1994">
        <v>51854839</v>
      </c>
      <c r="H1994">
        <v>36175900</v>
      </c>
      <c r="I1994">
        <v>28090701</v>
      </c>
      <c r="J1994">
        <v>13575877</v>
      </c>
      <c r="P1994">
        <v>50</v>
      </c>
      <c r="Q1994" t="s">
        <v>4312</v>
      </c>
    </row>
    <row r="1995" spans="1:17" x14ac:dyDescent="0.3">
      <c r="A1995" t="s">
        <v>17</v>
      </c>
      <c r="B1995" t="str">
        <f>"688379"</f>
        <v>688379</v>
      </c>
      <c r="C1995" t="s">
        <v>4313</v>
      </c>
      <c r="D1995" t="s">
        <v>274</v>
      </c>
      <c r="F1995">
        <v>45689926</v>
      </c>
      <c r="G1995">
        <v>35987504</v>
      </c>
      <c r="H1995">
        <v>35194308</v>
      </c>
      <c r="I1995">
        <v>24007744</v>
      </c>
      <c r="J1995">
        <v>22976448</v>
      </c>
      <c r="K1995">
        <v>20247728</v>
      </c>
      <c r="P1995">
        <v>36</v>
      </c>
      <c r="Q1995" t="s">
        <v>4314</v>
      </c>
    </row>
    <row r="1996" spans="1:17" x14ac:dyDescent="0.3">
      <c r="A1996" t="s">
        <v>17</v>
      </c>
      <c r="B1996" t="str">
        <f>"688383"</f>
        <v>688383</v>
      </c>
      <c r="C1996" t="s">
        <v>4315</v>
      </c>
      <c r="D1996" t="s">
        <v>741</v>
      </c>
      <c r="F1996">
        <v>76499933</v>
      </c>
      <c r="G1996">
        <v>49293740</v>
      </c>
      <c r="H1996">
        <v>41463756</v>
      </c>
      <c r="I1996">
        <v>33781876</v>
      </c>
      <c r="J1996">
        <v>21237594</v>
      </c>
      <c r="P1996">
        <v>49</v>
      </c>
      <c r="Q1996" t="s">
        <v>4316</v>
      </c>
    </row>
    <row r="1997" spans="1:17" x14ac:dyDescent="0.3">
      <c r="A1997" t="s">
        <v>17</v>
      </c>
      <c r="B1997" t="str">
        <f>"688385"</f>
        <v>688385</v>
      </c>
      <c r="C1997" t="s">
        <v>4317</v>
      </c>
      <c r="D1997" t="s">
        <v>461</v>
      </c>
      <c r="F1997">
        <v>691637283</v>
      </c>
      <c r="G1997">
        <v>490548110</v>
      </c>
      <c r="H1997">
        <v>562321467</v>
      </c>
      <c r="I1997">
        <v>412773091</v>
      </c>
      <c r="J1997">
        <v>394953544</v>
      </c>
      <c r="P1997">
        <v>47</v>
      </c>
      <c r="Q1997" t="s">
        <v>4318</v>
      </c>
    </row>
    <row r="1998" spans="1:17" x14ac:dyDescent="0.3">
      <c r="A1998" t="s">
        <v>17</v>
      </c>
      <c r="B1998" t="str">
        <f>"688386"</f>
        <v>688386</v>
      </c>
      <c r="C1998" t="s">
        <v>4319</v>
      </c>
      <c r="D1998" t="s">
        <v>324</v>
      </c>
      <c r="F1998">
        <v>18100992</v>
      </c>
      <c r="G1998">
        <v>14890797</v>
      </c>
      <c r="H1998">
        <v>14473471</v>
      </c>
      <c r="I1998">
        <v>12004049</v>
      </c>
      <c r="J1998">
        <v>12984069</v>
      </c>
      <c r="P1998">
        <v>43</v>
      </c>
      <c r="Q1998" t="s">
        <v>4320</v>
      </c>
    </row>
    <row r="1999" spans="1:17" x14ac:dyDescent="0.3">
      <c r="A1999" t="s">
        <v>17</v>
      </c>
      <c r="B1999" t="str">
        <f>"688388"</f>
        <v>688388</v>
      </c>
      <c r="C1999" t="s">
        <v>4321</v>
      </c>
      <c r="D1999" t="s">
        <v>263</v>
      </c>
      <c r="F1999">
        <v>146905283</v>
      </c>
      <c r="G1999">
        <v>72433289</v>
      </c>
      <c r="H1999">
        <v>63148841</v>
      </c>
      <c r="I1999">
        <v>38266746</v>
      </c>
      <c r="J1999">
        <v>23831183</v>
      </c>
      <c r="K1999">
        <v>24215654</v>
      </c>
      <c r="P1999">
        <v>288</v>
      </c>
      <c r="Q1999" t="s">
        <v>4322</v>
      </c>
    </row>
    <row r="2000" spans="1:17" x14ac:dyDescent="0.3">
      <c r="A2000" t="s">
        <v>17</v>
      </c>
      <c r="B2000" t="str">
        <f>"688389"</f>
        <v>688389</v>
      </c>
      <c r="C2000" t="s">
        <v>4323</v>
      </c>
      <c r="D2000" t="s">
        <v>1305</v>
      </c>
      <c r="F2000">
        <v>155807259</v>
      </c>
      <c r="G2000">
        <v>103330462</v>
      </c>
      <c r="H2000">
        <v>77921716</v>
      </c>
      <c r="I2000">
        <v>66670728</v>
      </c>
      <c r="J2000">
        <v>49973454</v>
      </c>
      <c r="K2000">
        <v>39438139</v>
      </c>
      <c r="P2000">
        <v>161</v>
      </c>
      <c r="Q2000" t="s">
        <v>4324</v>
      </c>
    </row>
    <row r="2001" spans="1:17" x14ac:dyDescent="0.3">
      <c r="A2001" t="s">
        <v>17</v>
      </c>
      <c r="B2001" t="str">
        <f>"688390"</f>
        <v>688390</v>
      </c>
      <c r="C2001" t="s">
        <v>4325</v>
      </c>
      <c r="D2001" t="s">
        <v>3824</v>
      </c>
      <c r="F2001">
        <v>188465218</v>
      </c>
      <c r="G2001">
        <v>92002826</v>
      </c>
      <c r="H2001">
        <v>58161458</v>
      </c>
      <c r="I2001">
        <v>51414951</v>
      </c>
      <c r="J2001">
        <v>32966262</v>
      </c>
      <c r="K2001">
        <v>18186177</v>
      </c>
      <c r="P2001">
        <v>283</v>
      </c>
      <c r="Q2001" t="s">
        <v>4326</v>
      </c>
    </row>
    <row r="2002" spans="1:17" x14ac:dyDescent="0.3">
      <c r="A2002" t="s">
        <v>17</v>
      </c>
      <c r="B2002" t="str">
        <f>"688393"</f>
        <v>688393</v>
      </c>
      <c r="C2002" t="s">
        <v>4327</v>
      </c>
      <c r="D2002" t="s">
        <v>1305</v>
      </c>
      <c r="F2002">
        <v>45901915</v>
      </c>
      <c r="G2002">
        <v>27732237</v>
      </c>
      <c r="H2002">
        <v>21858860</v>
      </c>
      <c r="I2002">
        <v>15586468</v>
      </c>
      <c r="J2002">
        <v>15304868</v>
      </c>
      <c r="K2002">
        <v>13251475</v>
      </c>
      <c r="P2002">
        <v>76</v>
      </c>
      <c r="Q2002" t="s">
        <v>4328</v>
      </c>
    </row>
    <row r="2003" spans="1:17" x14ac:dyDescent="0.3">
      <c r="A2003" t="s">
        <v>17</v>
      </c>
      <c r="B2003" t="str">
        <f>"688395"</f>
        <v>688395</v>
      </c>
      <c r="C2003" t="s">
        <v>4329</v>
      </c>
      <c r="D2003" t="s">
        <v>2432</v>
      </c>
      <c r="F2003">
        <v>21826057</v>
      </c>
      <c r="G2003">
        <v>22350129</v>
      </c>
      <c r="H2003">
        <v>12970147</v>
      </c>
      <c r="I2003">
        <v>12039733</v>
      </c>
      <c r="J2003">
        <v>11715857</v>
      </c>
      <c r="P2003">
        <v>36</v>
      </c>
      <c r="Q2003" t="s">
        <v>4330</v>
      </c>
    </row>
    <row r="2004" spans="1:17" x14ac:dyDescent="0.3">
      <c r="A2004" t="s">
        <v>17</v>
      </c>
      <c r="B2004" t="str">
        <f>"688396"</f>
        <v>688396</v>
      </c>
      <c r="C2004" t="s">
        <v>4331</v>
      </c>
      <c r="D2004" t="s">
        <v>4332</v>
      </c>
      <c r="F2004">
        <v>713225124</v>
      </c>
      <c r="G2004">
        <v>566077974</v>
      </c>
      <c r="H2004">
        <v>482615725</v>
      </c>
      <c r="I2004">
        <v>449760985</v>
      </c>
      <c r="J2004">
        <v>447420873</v>
      </c>
      <c r="K2004">
        <v>345585462</v>
      </c>
      <c r="P2004">
        <v>495</v>
      </c>
      <c r="Q2004" t="s">
        <v>4333</v>
      </c>
    </row>
    <row r="2005" spans="1:17" x14ac:dyDescent="0.3">
      <c r="A2005" t="s">
        <v>17</v>
      </c>
      <c r="B2005" t="str">
        <f>"688398"</f>
        <v>688398</v>
      </c>
      <c r="C2005" t="s">
        <v>4334</v>
      </c>
      <c r="D2005" t="s">
        <v>386</v>
      </c>
      <c r="F2005">
        <v>33456799</v>
      </c>
      <c r="G2005">
        <v>25468698</v>
      </c>
      <c r="H2005">
        <v>19740295</v>
      </c>
      <c r="I2005">
        <v>19375363</v>
      </c>
      <c r="J2005">
        <v>13501081</v>
      </c>
      <c r="K2005">
        <v>8325058</v>
      </c>
      <c r="P2005">
        <v>81</v>
      </c>
      <c r="Q2005" t="s">
        <v>4335</v>
      </c>
    </row>
    <row r="2006" spans="1:17" x14ac:dyDescent="0.3">
      <c r="A2006" t="s">
        <v>17</v>
      </c>
      <c r="B2006" t="str">
        <f>"688399"</f>
        <v>688399</v>
      </c>
      <c r="C2006" t="s">
        <v>4336</v>
      </c>
      <c r="D2006" t="s">
        <v>1305</v>
      </c>
      <c r="F2006">
        <v>106638201</v>
      </c>
      <c r="G2006">
        <v>72065668</v>
      </c>
      <c r="H2006">
        <v>38558434</v>
      </c>
      <c r="I2006">
        <v>26384023</v>
      </c>
      <c r="J2006">
        <v>21410557</v>
      </c>
      <c r="K2006">
        <v>14312809</v>
      </c>
      <c r="P2006">
        <v>373</v>
      </c>
      <c r="Q2006" t="s">
        <v>4337</v>
      </c>
    </row>
    <row r="2007" spans="1:17" x14ac:dyDescent="0.3">
      <c r="A2007" t="s">
        <v>17</v>
      </c>
      <c r="B2007" t="str">
        <f>"688408"</f>
        <v>688408</v>
      </c>
      <c r="C2007" t="s">
        <v>4338</v>
      </c>
      <c r="D2007" t="s">
        <v>478</v>
      </c>
      <c r="F2007">
        <v>120243519</v>
      </c>
      <c r="G2007">
        <v>112832615</v>
      </c>
      <c r="H2007">
        <v>81546687</v>
      </c>
      <c r="I2007">
        <v>64198434</v>
      </c>
      <c r="J2007">
        <v>49777243</v>
      </c>
      <c r="P2007">
        <v>114</v>
      </c>
      <c r="Q2007" t="s">
        <v>4339</v>
      </c>
    </row>
    <row r="2008" spans="1:17" x14ac:dyDescent="0.3">
      <c r="A2008" t="s">
        <v>17</v>
      </c>
      <c r="B2008" t="str">
        <f>"688418"</f>
        <v>688418</v>
      </c>
      <c r="C2008" t="s">
        <v>4340</v>
      </c>
      <c r="D2008" t="s">
        <v>595</v>
      </c>
      <c r="F2008">
        <v>122393040</v>
      </c>
      <c r="G2008">
        <v>68288280</v>
      </c>
      <c r="H2008">
        <v>67485196</v>
      </c>
      <c r="I2008">
        <v>51628567</v>
      </c>
      <c r="J2008">
        <v>35581978</v>
      </c>
      <c r="K2008">
        <v>31178011</v>
      </c>
      <c r="P2008">
        <v>40</v>
      </c>
      <c r="Q2008" t="s">
        <v>4341</v>
      </c>
    </row>
    <row r="2009" spans="1:17" x14ac:dyDescent="0.3">
      <c r="A2009" t="s">
        <v>17</v>
      </c>
      <c r="B2009" t="str">
        <f>"688425"</f>
        <v>688425</v>
      </c>
      <c r="C2009" t="s">
        <v>4342</v>
      </c>
      <c r="D2009" t="s">
        <v>83</v>
      </c>
      <c r="F2009">
        <v>677536259</v>
      </c>
      <c r="G2009">
        <v>552948662</v>
      </c>
      <c r="H2009">
        <v>468109348</v>
      </c>
      <c r="I2009">
        <v>411206534</v>
      </c>
      <c r="J2009">
        <v>407349977</v>
      </c>
      <c r="P2009">
        <v>40</v>
      </c>
      <c r="Q2009" t="s">
        <v>4343</v>
      </c>
    </row>
    <row r="2010" spans="1:17" x14ac:dyDescent="0.3">
      <c r="A2010" t="s">
        <v>17</v>
      </c>
      <c r="B2010" t="str">
        <f>"688456"</f>
        <v>688456</v>
      </c>
      <c r="C2010" t="s">
        <v>4344</v>
      </c>
      <c r="D2010" t="s">
        <v>263</v>
      </c>
      <c r="F2010">
        <v>101303647</v>
      </c>
      <c r="G2010">
        <v>64604432</v>
      </c>
      <c r="H2010">
        <v>57755357</v>
      </c>
      <c r="I2010">
        <v>56826970</v>
      </c>
      <c r="J2010">
        <v>48850158</v>
      </c>
      <c r="P2010">
        <v>28</v>
      </c>
      <c r="Q2010" t="s">
        <v>4345</v>
      </c>
    </row>
    <row r="2011" spans="1:17" x14ac:dyDescent="0.3">
      <c r="A2011" t="s">
        <v>17</v>
      </c>
      <c r="B2011" t="str">
        <f>"688466"</f>
        <v>688466</v>
      </c>
      <c r="C2011" t="s">
        <v>4346</v>
      </c>
      <c r="D2011" t="s">
        <v>33</v>
      </c>
      <c r="F2011">
        <v>20329499</v>
      </c>
      <c r="G2011">
        <v>19306822</v>
      </c>
      <c r="H2011">
        <v>17500919</v>
      </c>
      <c r="I2011">
        <v>20872168</v>
      </c>
      <c r="J2011">
        <v>9965086</v>
      </c>
      <c r="K2011">
        <v>6098230</v>
      </c>
      <c r="P2011">
        <v>60</v>
      </c>
      <c r="Q2011" t="s">
        <v>4347</v>
      </c>
    </row>
    <row r="2012" spans="1:17" x14ac:dyDescent="0.3">
      <c r="A2012" t="s">
        <v>17</v>
      </c>
      <c r="B2012" t="str">
        <f>"688468"</f>
        <v>688468</v>
      </c>
      <c r="C2012" t="s">
        <v>4348</v>
      </c>
      <c r="D2012" t="s">
        <v>1305</v>
      </c>
      <c r="F2012">
        <v>67318583</v>
      </c>
      <c r="G2012">
        <v>56416094</v>
      </c>
      <c r="H2012">
        <v>56448953</v>
      </c>
      <c r="I2012">
        <v>50918369</v>
      </c>
      <c r="J2012">
        <v>32235167</v>
      </c>
      <c r="P2012">
        <v>39</v>
      </c>
      <c r="Q2012" t="s">
        <v>4349</v>
      </c>
    </row>
    <row r="2013" spans="1:17" x14ac:dyDescent="0.3">
      <c r="A2013" t="s">
        <v>17</v>
      </c>
      <c r="B2013" t="str">
        <f>"688488"</f>
        <v>688488</v>
      </c>
      <c r="C2013" t="s">
        <v>4350</v>
      </c>
      <c r="D2013" t="s">
        <v>1379</v>
      </c>
      <c r="F2013">
        <v>47670889</v>
      </c>
      <c r="G2013">
        <v>26315731</v>
      </c>
      <c r="H2013">
        <v>27860143</v>
      </c>
      <c r="I2013">
        <v>34282255</v>
      </c>
      <c r="J2013">
        <v>34223884</v>
      </c>
      <c r="K2013">
        <v>18927851</v>
      </c>
      <c r="P2013">
        <v>44</v>
      </c>
      <c r="Q2013" t="s">
        <v>4351</v>
      </c>
    </row>
    <row r="2014" spans="1:17" x14ac:dyDescent="0.3">
      <c r="A2014" t="s">
        <v>17</v>
      </c>
      <c r="B2014" t="str">
        <f>"688499"</f>
        <v>688499</v>
      </c>
      <c r="C2014" t="s">
        <v>4352</v>
      </c>
      <c r="D2014" t="s">
        <v>3776</v>
      </c>
      <c r="F2014">
        <v>272708627</v>
      </c>
      <c r="G2014">
        <v>164120091</v>
      </c>
      <c r="H2014">
        <v>125690123</v>
      </c>
      <c r="I2014">
        <v>73065956</v>
      </c>
      <c r="J2014">
        <v>51072423</v>
      </c>
      <c r="K2014">
        <v>22645181</v>
      </c>
      <c r="P2014">
        <v>65</v>
      </c>
      <c r="Q2014" t="s">
        <v>4353</v>
      </c>
    </row>
    <row r="2015" spans="1:17" x14ac:dyDescent="0.3">
      <c r="A2015" t="s">
        <v>17</v>
      </c>
      <c r="B2015" t="str">
        <f>"688500"</f>
        <v>688500</v>
      </c>
      <c r="C2015" t="s">
        <v>4354</v>
      </c>
      <c r="D2015" t="s">
        <v>316</v>
      </c>
      <c r="F2015">
        <v>37845306</v>
      </c>
      <c r="G2015">
        <v>33105293</v>
      </c>
      <c r="H2015">
        <v>26501264</v>
      </c>
      <c r="I2015">
        <v>15856104</v>
      </c>
      <c r="J2015">
        <v>11361636</v>
      </c>
      <c r="K2015">
        <v>11128834</v>
      </c>
      <c r="P2015">
        <v>26</v>
      </c>
      <c r="Q2015" t="s">
        <v>4355</v>
      </c>
    </row>
    <row r="2016" spans="1:17" x14ac:dyDescent="0.3">
      <c r="A2016" t="s">
        <v>17</v>
      </c>
      <c r="B2016" t="str">
        <f>"688501"</f>
        <v>688501</v>
      </c>
      <c r="C2016" t="s">
        <v>4356</v>
      </c>
      <c r="D2016" t="s">
        <v>1070</v>
      </c>
      <c r="F2016">
        <v>31245443</v>
      </c>
      <c r="G2016">
        <v>25407748</v>
      </c>
      <c r="H2016">
        <v>21885132</v>
      </c>
      <c r="I2016">
        <v>21489325</v>
      </c>
      <c r="J2016">
        <v>21718050</v>
      </c>
      <c r="P2016">
        <v>24</v>
      </c>
      <c r="Q2016" t="s">
        <v>4357</v>
      </c>
    </row>
    <row r="2017" spans="1:17" x14ac:dyDescent="0.3">
      <c r="A2017" t="s">
        <v>17</v>
      </c>
      <c r="B2017" t="str">
        <f>"688505"</f>
        <v>688505</v>
      </c>
      <c r="C2017" t="s">
        <v>4358</v>
      </c>
      <c r="D2017" t="s">
        <v>143</v>
      </c>
      <c r="F2017">
        <v>224387287</v>
      </c>
      <c r="G2017">
        <v>139268429</v>
      </c>
      <c r="H2017">
        <v>127821947</v>
      </c>
      <c r="I2017">
        <v>114284250</v>
      </c>
      <c r="J2017">
        <v>110426313</v>
      </c>
      <c r="K2017">
        <v>95045655</v>
      </c>
      <c r="P2017">
        <v>69</v>
      </c>
      <c r="Q2017" t="s">
        <v>4359</v>
      </c>
    </row>
    <row r="2018" spans="1:17" x14ac:dyDescent="0.3">
      <c r="A2018" t="s">
        <v>17</v>
      </c>
      <c r="B2018" t="str">
        <f>"688508"</f>
        <v>688508</v>
      </c>
      <c r="C2018" t="s">
        <v>4360</v>
      </c>
      <c r="D2018" t="s">
        <v>401</v>
      </c>
      <c r="F2018">
        <v>131737391</v>
      </c>
      <c r="G2018">
        <v>58601677</v>
      </c>
      <c r="H2018">
        <v>47784311</v>
      </c>
      <c r="I2018">
        <v>46919049</v>
      </c>
      <c r="J2018">
        <v>43180991</v>
      </c>
      <c r="K2018">
        <v>41165218</v>
      </c>
      <c r="P2018">
        <v>167</v>
      </c>
      <c r="Q2018" t="s">
        <v>4361</v>
      </c>
    </row>
    <row r="2019" spans="1:17" x14ac:dyDescent="0.3">
      <c r="A2019" t="s">
        <v>17</v>
      </c>
      <c r="B2019" t="str">
        <f>"688509"</f>
        <v>688509</v>
      </c>
      <c r="C2019" t="s">
        <v>4362</v>
      </c>
      <c r="D2019" t="s">
        <v>316</v>
      </c>
      <c r="F2019">
        <v>80434941</v>
      </c>
      <c r="G2019">
        <v>79613669</v>
      </c>
      <c r="H2019">
        <v>75529424</v>
      </c>
      <c r="I2019">
        <v>54286729</v>
      </c>
      <c r="J2019">
        <v>51754600</v>
      </c>
      <c r="P2019">
        <v>17</v>
      </c>
      <c r="Q2019" t="s">
        <v>4363</v>
      </c>
    </row>
    <row r="2020" spans="1:17" x14ac:dyDescent="0.3">
      <c r="A2020" t="s">
        <v>17</v>
      </c>
      <c r="B2020" t="str">
        <f>"688510"</f>
        <v>688510</v>
      </c>
      <c r="C2020" t="s">
        <v>4364</v>
      </c>
      <c r="D2020" t="s">
        <v>98</v>
      </c>
      <c r="F2020">
        <v>51257252</v>
      </c>
      <c r="G2020">
        <v>30887896</v>
      </c>
      <c r="H2020">
        <v>30726834</v>
      </c>
      <c r="I2020">
        <v>22427088</v>
      </c>
      <c r="J2020">
        <v>14541382</v>
      </c>
      <c r="P2020">
        <v>66</v>
      </c>
      <c r="Q2020" t="s">
        <v>4365</v>
      </c>
    </row>
    <row r="2021" spans="1:17" x14ac:dyDescent="0.3">
      <c r="A2021" t="s">
        <v>17</v>
      </c>
      <c r="B2021" t="str">
        <f>"688511"</f>
        <v>688511</v>
      </c>
      <c r="C2021" t="s">
        <v>4366</v>
      </c>
      <c r="D2021" t="s">
        <v>1136</v>
      </c>
      <c r="F2021">
        <v>11745334</v>
      </c>
      <c r="G2021">
        <v>9973458</v>
      </c>
      <c r="H2021">
        <v>6560537</v>
      </c>
      <c r="I2021">
        <v>3846391</v>
      </c>
      <c r="J2021">
        <v>2137622</v>
      </c>
      <c r="P2021">
        <v>23</v>
      </c>
      <c r="Q2021" t="s">
        <v>4367</v>
      </c>
    </row>
    <row r="2022" spans="1:17" x14ac:dyDescent="0.3">
      <c r="A2022" t="s">
        <v>17</v>
      </c>
      <c r="B2022" t="str">
        <f>"688513"</f>
        <v>688513</v>
      </c>
      <c r="C2022" t="s">
        <v>4368</v>
      </c>
      <c r="D2022" t="s">
        <v>143</v>
      </c>
      <c r="F2022">
        <v>200695230</v>
      </c>
      <c r="G2022">
        <v>153908159</v>
      </c>
      <c r="H2022">
        <v>156571670</v>
      </c>
      <c r="I2022">
        <v>124395937</v>
      </c>
      <c r="J2022">
        <v>77224765</v>
      </c>
      <c r="K2022">
        <v>45557729</v>
      </c>
      <c r="P2022">
        <v>58</v>
      </c>
      <c r="Q2022" t="s">
        <v>4369</v>
      </c>
    </row>
    <row r="2023" spans="1:17" x14ac:dyDescent="0.3">
      <c r="A2023" t="s">
        <v>17</v>
      </c>
      <c r="B2023" t="str">
        <f>"688516"</f>
        <v>688516</v>
      </c>
      <c r="C2023" t="s">
        <v>4370</v>
      </c>
      <c r="D2023" t="s">
        <v>2671</v>
      </c>
      <c r="F2023">
        <v>144850249</v>
      </c>
      <c r="G2023">
        <v>69781798</v>
      </c>
      <c r="H2023">
        <v>51903087</v>
      </c>
      <c r="I2023">
        <v>57270881</v>
      </c>
      <c r="J2023">
        <v>62678472</v>
      </c>
      <c r="K2023">
        <v>47560603</v>
      </c>
      <c r="P2023">
        <v>152</v>
      </c>
      <c r="Q2023" t="s">
        <v>4371</v>
      </c>
    </row>
    <row r="2024" spans="1:17" x14ac:dyDescent="0.3">
      <c r="A2024" t="s">
        <v>17</v>
      </c>
      <c r="B2024" t="str">
        <f>"688517"</f>
        <v>688517</v>
      </c>
      <c r="C2024" t="s">
        <v>4372</v>
      </c>
      <c r="D2024" t="s">
        <v>657</v>
      </c>
      <c r="F2024">
        <v>26547707</v>
      </c>
      <c r="G2024">
        <v>29582225</v>
      </c>
      <c r="H2024">
        <v>23497325</v>
      </c>
      <c r="I2024">
        <v>22841725</v>
      </c>
      <c r="J2024">
        <v>23597124</v>
      </c>
      <c r="P2024">
        <v>19</v>
      </c>
      <c r="Q2024" t="s">
        <v>4373</v>
      </c>
    </row>
    <row r="2025" spans="1:17" x14ac:dyDescent="0.3">
      <c r="A2025" t="s">
        <v>17</v>
      </c>
      <c r="B2025" t="str">
        <f>"688518"</f>
        <v>688518</v>
      </c>
      <c r="C2025" t="s">
        <v>4374</v>
      </c>
      <c r="D2025" t="s">
        <v>3811</v>
      </c>
      <c r="F2025">
        <v>103321691</v>
      </c>
      <c r="G2025">
        <v>72226480</v>
      </c>
      <c r="H2025">
        <v>60801100</v>
      </c>
      <c r="I2025">
        <v>51116312</v>
      </c>
      <c r="J2025">
        <v>44852353</v>
      </c>
      <c r="K2025">
        <v>32400392</v>
      </c>
      <c r="P2025">
        <v>65</v>
      </c>
      <c r="Q2025" t="s">
        <v>4375</v>
      </c>
    </row>
    <row r="2026" spans="1:17" x14ac:dyDescent="0.3">
      <c r="A2026" t="s">
        <v>17</v>
      </c>
      <c r="B2026" t="str">
        <f>"688519"</f>
        <v>688519</v>
      </c>
      <c r="C2026" t="s">
        <v>4376</v>
      </c>
      <c r="D2026" t="s">
        <v>425</v>
      </c>
      <c r="F2026">
        <v>219828121</v>
      </c>
      <c r="G2026">
        <v>103061017</v>
      </c>
      <c r="H2026">
        <v>67066977</v>
      </c>
      <c r="I2026">
        <v>59540357</v>
      </c>
      <c r="J2026">
        <v>50437006</v>
      </c>
      <c r="P2026">
        <v>80</v>
      </c>
      <c r="Q2026" t="s">
        <v>4377</v>
      </c>
    </row>
    <row r="2027" spans="1:17" x14ac:dyDescent="0.3">
      <c r="A2027" t="s">
        <v>17</v>
      </c>
      <c r="B2027" t="str">
        <f>"688520"</f>
        <v>688520</v>
      </c>
      <c r="C2027" t="s">
        <v>4378</v>
      </c>
      <c r="D2027" t="s">
        <v>1379</v>
      </c>
      <c r="F2027">
        <v>732662078</v>
      </c>
      <c r="G2027">
        <v>610306753</v>
      </c>
      <c r="H2027">
        <v>516175729</v>
      </c>
      <c r="I2027">
        <v>434772521</v>
      </c>
      <c r="J2027">
        <v>189173009</v>
      </c>
      <c r="K2027">
        <v>120201966</v>
      </c>
      <c r="P2027">
        <v>90</v>
      </c>
      <c r="Q2027" t="s">
        <v>4379</v>
      </c>
    </row>
    <row r="2028" spans="1:17" x14ac:dyDescent="0.3">
      <c r="A2028" t="s">
        <v>17</v>
      </c>
      <c r="B2028" t="str">
        <f>"688521"</f>
        <v>688521</v>
      </c>
      <c r="C2028" t="s">
        <v>4380</v>
      </c>
      <c r="D2028" t="s">
        <v>461</v>
      </c>
      <c r="F2028">
        <v>628400444</v>
      </c>
      <c r="G2028">
        <v>530886305</v>
      </c>
      <c r="H2028">
        <v>425068994</v>
      </c>
      <c r="I2028">
        <v>347388582</v>
      </c>
      <c r="J2028">
        <v>331635837</v>
      </c>
      <c r="K2028">
        <v>309761505</v>
      </c>
      <c r="P2028">
        <v>140</v>
      </c>
      <c r="Q2028" t="s">
        <v>4381</v>
      </c>
    </row>
    <row r="2029" spans="1:17" x14ac:dyDescent="0.3">
      <c r="A2029" t="s">
        <v>17</v>
      </c>
      <c r="B2029" t="str">
        <f>"688526"</f>
        <v>688526</v>
      </c>
      <c r="C2029" t="s">
        <v>4382</v>
      </c>
      <c r="D2029" t="s">
        <v>453</v>
      </c>
      <c r="F2029">
        <v>80002782</v>
      </c>
      <c r="G2029">
        <v>59078179</v>
      </c>
      <c r="H2029">
        <v>47365466</v>
      </c>
      <c r="I2029">
        <v>47644957</v>
      </c>
      <c r="J2029">
        <v>53055775</v>
      </c>
      <c r="K2029">
        <v>21550847</v>
      </c>
      <c r="P2029">
        <v>147</v>
      </c>
      <c r="Q2029" t="s">
        <v>4383</v>
      </c>
    </row>
    <row r="2030" spans="1:17" x14ac:dyDescent="0.3">
      <c r="A2030" t="s">
        <v>17</v>
      </c>
      <c r="B2030" t="str">
        <f>"688528"</f>
        <v>688528</v>
      </c>
      <c r="C2030" t="s">
        <v>4384</v>
      </c>
      <c r="D2030" t="s">
        <v>2566</v>
      </c>
      <c r="F2030">
        <v>37618221</v>
      </c>
      <c r="G2030">
        <v>24293541</v>
      </c>
      <c r="H2030">
        <v>23081522</v>
      </c>
      <c r="I2030">
        <v>17509656</v>
      </c>
      <c r="J2030">
        <v>14141874</v>
      </c>
      <c r="K2030">
        <v>12160458</v>
      </c>
      <c r="P2030">
        <v>42</v>
      </c>
      <c r="Q2030" t="s">
        <v>4385</v>
      </c>
    </row>
    <row r="2031" spans="1:17" x14ac:dyDescent="0.3">
      <c r="A2031" t="s">
        <v>17</v>
      </c>
      <c r="B2031" t="str">
        <f>"688529"</f>
        <v>688529</v>
      </c>
      <c r="C2031" t="s">
        <v>4386</v>
      </c>
      <c r="D2031" t="s">
        <v>741</v>
      </c>
      <c r="F2031">
        <v>82704997</v>
      </c>
      <c r="G2031">
        <v>73077258</v>
      </c>
      <c r="H2031">
        <v>64546832</v>
      </c>
      <c r="I2031">
        <v>44780195</v>
      </c>
      <c r="J2031">
        <v>38364082</v>
      </c>
      <c r="P2031">
        <v>33</v>
      </c>
      <c r="Q2031" t="s">
        <v>4387</v>
      </c>
    </row>
    <row r="2032" spans="1:17" x14ac:dyDescent="0.3">
      <c r="A2032" t="s">
        <v>17</v>
      </c>
      <c r="B2032" t="str">
        <f>"688533"</f>
        <v>688533</v>
      </c>
      <c r="C2032" t="s">
        <v>4388</v>
      </c>
      <c r="D2032" t="s">
        <v>1415</v>
      </c>
      <c r="F2032">
        <v>87956733</v>
      </c>
      <c r="G2032">
        <v>61396601</v>
      </c>
      <c r="H2032">
        <v>59928328</v>
      </c>
      <c r="I2032">
        <v>49778401</v>
      </c>
      <c r="J2032">
        <v>45877995</v>
      </c>
      <c r="P2032">
        <v>39</v>
      </c>
      <c r="Q2032" t="s">
        <v>4389</v>
      </c>
    </row>
    <row r="2033" spans="1:17" x14ac:dyDescent="0.3">
      <c r="A2033" t="s">
        <v>17</v>
      </c>
      <c r="B2033" t="str">
        <f>"688536"</f>
        <v>688536</v>
      </c>
      <c r="C2033" t="s">
        <v>4390</v>
      </c>
      <c r="D2033" t="s">
        <v>401</v>
      </c>
      <c r="F2033">
        <v>300969068</v>
      </c>
      <c r="G2033">
        <v>122542092</v>
      </c>
      <c r="H2033">
        <v>73421899</v>
      </c>
      <c r="I2033">
        <v>40714675</v>
      </c>
      <c r="J2033">
        <v>28632295</v>
      </c>
      <c r="P2033">
        <v>199</v>
      </c>
      <c r="Q2033" t="s">
        <v>4391</v>
      </c>
    </row>
    <row r="2034" spans="1:17" x14ac:dyDescent="0.3">
      <c r="A2034" t="s">
        <v>17</v>
      </c>
      <c r="B2034" t="str">
        <f>"688538"</f>
        <v>688538</v>
      </c>
      <c r="C2034" t="s">
        <v>4392</v>
      </c>
      <c r="D2034" t="s">
        <v>1117</v>
      </c>
      <c r="F2034">
        <v>156527481</v>
      </c>
      <c r="G2034">
        <v>179742192</v>
      </c>
      <c r="H2034">
        <v>238883999</v>
      </c>
      <c r="I2034">
        <v>161071815</v>
      </c>
      <c r="J2034">
        <v>137335640</v>
      </c>
      <c r="P2034">
        <v>37</v>
      </c>
      <c r="Q2034" t="s">
        <v>4393</v>
      </c>
    </row>
    <row r="2035" spans="1:17" x14ac:dyDescent="0.3">
      <c r="A2035" t="s">
        <v>17</v>
      </c>
      <c r="B2035" t="str">
        <f>"688550"</f>
        <v>688550</v>
      </c>
      <c r="C2035" t="s">
        <v>4394</v>
      </c>
      <c r="D2035" t="s">
        <v>2408</v>
      </c>
      <c r="F2035">
        <v>83305087</v>
      </c>
      <c r="G2035">
        <v>42301902</v>
      </c>
      <c r="H2035">
        <v>38901731</v>
      </c>
      <c r="I2035">
        <v>27978261</v>
      </c>
      <c r="J2035">
        <v>25144425</v>
      </c>
      <c r="P2035">
        <v>54</v>
      </c>
      <c r="Q2035" t="s">
        <v>4395</v>
      </c>
    </row>
    <row r="2036" spans="1:17" x14ac:dyDescent="0.3">
      <c r="A2036" t="s">
        <v>17</v>
      </c>
      <c r="B2036" t="str">
        <f>"688551"</f>
        <v>688551</v>
      </c>
      <c r="C2036" t="s">
        <v>4396</v>
      </c>
      <c r="D2036" t="s">
        <v>880</v>
      </c>
      <c r="F2036">
        <v>46940263</v>
      </c>
      <c r="G2036">
        <v>18841458</v>
      </c>
      <c r="H2036">
        <v>16782075</v>
      </c>
      <c r="I2036">
        <v>10361826</v>
      </c>
      <c r="J2036">
        <v>10552129</v>
      </c>
      <c r="P2036">
        <v>39</v>
      </c>
      <c r="Q2036" t="s">
        <v>4397</v>
      </c>
    </row>
    <row r="2037" spans="1:17" x14ac:dyDescent="0.3">
      <c r="A2037" t="s">
        <v>17</v>
      </c>
      <c r="B2037" t="str">
        <f>"688553"</f>
        <v>688553</v>
      </c>
      <c r="C2037" t="s">
        <v>4398</v>
      </c>
      <c r="D2037" t="s">
        <v>143</v>
      </c>
      <c r="F2037">
        <v>248212225</v>
      </c>
      <c r="G2037">
        <v>88773885</v>
      </c>
      <c r="H2037">
        <v>55615466</v>
      </c>
      <c r="I2037">
        <v>39149771</v>
      </c>
      <c r="J2037">
        <v>22142213</v>
      </c>
      <c r="P2037">
        <v>30</v>
      </c>
      <c r="Q2037" t="s">
        <v>4399</v>
      </c>
    </row>
    <row r="2038" spans="1:17" x14ac:dyDescent="0.3">
      <c r="A2038" t="s">
        <v>17</v>
      </c>
      <c r="B2038" t="str">
        <f>"688555"</f>
        <v>688555</v>
      </c>
      <c r="C2038" t="s">
        <v>4400</v>
      </c>
      <c r="D2038" t="s">
        <v>945</v>
      </c>
      <c r="F2038">
        <v>50188637</v>
      </c>
      <c r="G2038">
        <v>25853257</v>
      </c>
      <c r="H2038">
        <v>18878533</v>
      </c>
      <c r="I2038">
        <v>17070505</v>
      </c>
      <c r="J2038">
        <v>9505687</v>
      </c>
      <c r="K2038">
        <v>7428949</v>
      </c>
      <c r="P2038">
        <v>55</v>
      </c>
      <c r="Q2038" t="s">
        <v>4401</v>
      </c>
    </row>
    <row r="2039" spans="1:17" x14ac:dyDescent="0.3">
      <c r="A2039" t="s">
        <v>17</v>
      </c>
      <c r="B2039" t="str">
        <f>"688556"</f>
        <v>688556</v>
      </c>
      <c r="C2039" t="s">
        <v>4402</v>
      </c>
      <c r="D2039" t="s">
        <v>2671</v>
      </c>
      <c r="F2039">
        <v>117185699</v>
      </c>
      <c r="G2039">
        <v>85964168</v>
      </c>
      <c r="H2039">
        <v>70811018</v>
      </c>
      <c r="I2039">
        <v>54018213</v>
      </c>
      <c r="J2039">
        <v>41099663</v>
      </c>
      <c r="K2039">
        <v>14988342</v>
      </c>
      <c r="P2039">
        <v>69</v>
      </c>
      <c r="Q2039" t="s">
        <v>4403</v>
      </c>
    </row>
    <row r="2040" spans="1:17" x14ac:dyDescent="0.3">
      <c r="A2040" t="s">
        <v>17</v>
      </c>
      <c r="B2040" t="str">
        <f>"688557"</f>
        <v>688557</v>
      </c>
      <c r="C2040" t="s">
        <v>4404</v>
      </c>
      <c r="D2040" t="s">
        <v>560</v>
      </c>
      <c r="F2040">
        <v>61742894</v>
      </c>
      <c r="G2040">
        <v>39653539</v>
      </c>
      <c r="H2040">
        <v>31215731</v>
      </c>
      <c r="I2040">
        <v>22555646</v>
      </c>
      <c r="J2040">
        <v>13059839</v>
      </c>
      <c r="P2040">
        <v>47</v>
      </c>
      <c r="Q2040" t="s">
        <v>4405</v>
      </c>
    </row>
    <row r="2041" spans="1:17" x14ac:dyDescent="0.3">
      <c r="A2041" t="s">
        <v>17</v>
      </c>
      <c r="B2041" t="str">
        <f>"688558"</f>
        <v>688558</v>
      </c>
      <c r="C2041" t="s">
        <v>4406</v>
      </c>
      <c r="D2041" t="s">
        <v>2321</v>
      </c>
      <c r="F2041">
        <v>57870998</v>
      </c>
      <c r="G2041">
        <v>35965856</v>
      </c>
      <c r="H2041">
        <v>30549250</v>
      </c>
      <c r="I2041">
        <v>30542191</v>
      </c>
      <c r="J2041">
        <v>23224723</v>
      </c>
      <c r="K2041">
        <v>24233958</v>
      </c>
      <c r="P2041">
        <v>97</v>
      </c>
      <c r="Q2041" t="s">
        <v>4407</v>
      </c>
    </row>
    <row r="2042" spans="1:17" x14ac:dyDescent="0.3">
      <c r="A2042" t="s">
        <v>17</v>
      </c>
      <c r="B2042" t="str">
        <f>"688559"</f>
        <v>688559</v>
      </c>
      <c r="C2042" t="s">
        <v>4408</v>
      </c>
      <c r="D2042" t="s">
        <v>3811</v>
      </c>
      <c r="F2042">
        <v>157921533</v>
      </c>
      <c r="G2042">
        <v>107039342</v>
      </c>
      <c r="H2042">
        <v>88252195</v>
      </c>
      <c r="I2042">
        <v>82495961</v>
      </c>
      <c r="J2042">
        <v>48499578</v>
      </c>
      <c r="K2042">
        <v>28759385</v>
      </c>
      <c r="P2042">
        <v>68</v>
      </c>
      <c r="Q2042" t="s">
        <v>4409</v>
      </c>
    </row>
    <row r="2043" spans="1:17" x14ac:dyDescent="0.3">
      <c r="A2043" t="s">
        <v>17</v>
      </c>
      <c r="B2043" t="str">
        <f>"688560"</f>
        <v>688560</v>
      </c>
      <c r="C2043" t="s">
        <v>4410</v>
      </c>
      <c r="D2043" t="s">
        <v>478</v>
      </c>
      <c r="F2043">
        <v>52601448</v>
      </c>
      <c r="G2043">
        <v>37067794</v>
      </c>
      <c r="H2043">
        <v>37323050</v>
      </c>
      <c r="I2043">
        <v>33511856</v>
      </c>
      <c r="J2043">
        <v>20748365</v>
      </c>
      <c r="K2043">
        <v>18829034</v>
      </c>
      <c r="P2043">
        <v>38</v>
      </c>
      <c r="Q2043" t="s">
        <v>4411</v>
      </c>
    </row>
    <row r="2044" spans="1:17" x14ac:dyDescent="0.3">
      <c r="A2044" t="s">
        <v>17</v>
      </c>
      <c r="B2044" t="str">
        <f>"688561"</f>
        <v>688561</v>
      </c>
      <c r="C2044" t="s">
        <v>4412</v>
      </c>
      <c r="D2044" t="s">
        <v>1189</v>
      </c>
      <c r="F2044">
        <v>1748403261</v>
      </c>
      <c r="G2044">
        <v>1228089158</v>
      </c>
      <c r="H2044">
        <v>1047103957</v>
      </c>
      <c r="I2044">
        <v>818345052</v>
      </c>
      <c r="J2044">
        <v>540834475</v>
      </c>
      <c r="P2044">
        <v>192</v>
      </c>
      <c r="Q2044" t="s">
        <v>4413</v>
      </c>
    </row>
    <row r="2045" spans="1:17" x14ac:dyDescent="0.3">
      <c r="A2045" t="s">
        <v>17</v>
      </c>
      <c r="B2045" t="str">
        <f>"688565"</f>
        <v>688565</v>
      </c>
      <c r="C2045" t="s">
        <v>4414</v>
      </c>
      <c r="D2045" t="s">
        <v>33</v>
      </c>
      <c r="F2045">
        <v>15822354</v>
      </c>
      <c r="G2045">
        <v>17823628</v>
      </c>
      <c r="H2045">
        <v>17036047</v>
      </c>
      <c r="I2045">
        <v>11607173</v>
      </c>
      <c r="J2045">
        <v>7062106</v>
      </c>
      <c r="P2045">
        <v>38</v>
      </c>
      <c r="Q2045" t="s">
        <v>4415</v>
      </c>
    </row>
    <row r="2046" spans="1:17" x14ac:dyDescent="0.3">
      <c r="A2046" t="s">
        <v>17</v>
      </c>
      <c r="B2046" t="str">
        <f>"688566"</f>
        <v>688566</v>
      </c>
      <c r="C2046" t="s">
        <v>4416</v>
      </c>
      <c r="D2046" t="s">
        <v>143</v>
      </c>
      <c r="F2046">
        <v>29282498</v>
      </c>
      <c r="G2046">
        <v>33547488</v>
      </c>
      <c r="H2046">
        <v>30579018</v>
      </c>
      <c r="I2046">
        <v>19596591</v>
      </c>
      <c r="J2046">
        <v>17139711</v>
      </c>
      <c r="K2046">
        <v>16750948</v>
      </c>
      <c r="P2046">
        <v>69</v>
      </c>
      <c r="Q2046" t="s">
        <v>4417</v>
      </c>
    </row>
    <row r="2047" spans="1:17" x14ac:dyDescent="0.3">
      <c r="A2047" t="s">
        <v>17</v>
      </c>
      <c r="B2047" t="str">
        <f>"688567"</f>
        <v>688567</v>
      </c>
      <c r="C2047" t="s">
        <v>4418</v>
      </c>
      <c r="D2047" t="s">
        <v>359</v>
      </c>
      <c r="F2047">
        <v>541527280</v>
      </c>
      <c r="G2047">
        <v>371866170</v>
      </c>
      <c r="H2047">
        <v>270823361</v>
      </c>
      <c r="I2047">
        <v>112729607</v>
      </c>
      <c r="J2047">
        <v>47448434</v>
      </c>
      <c r="K2047">
        <v>26739519</v>
      </c>
      <c r="P2047">
        <v>107</v>
      </c>
      <c r="Q2047" t="s">
        <v>4419</v>
      </c>
    </row>
    <row r="2048" spans="1:17" x14ac:dyDescent="0.3">
      <c r="A2048" t="s">
        <v>17</v>
      </c>
      <c r="B2048" t="str">
        <f>"688568"</f>
        <v>688568</v>
      </c>
      <c r="C2048" t="s">
        <v>4420</v>
      </c>
      <c r="D2048" t="s">
        <v>316</v>
      </c>
      <c r="F2048">
        <v>142016849</v>
      </c>
      <c r="G2048">
        <v>88779870</v>
      </c>
      <c r="H2048">
        <v>63010326</v>
      </c>
      <c r="I2048">
        <v>43673162</v>
      </c>
      <c r="J2048">
        <v>23400152</v>
      </c>
      <c r="K2048">
        <v>11041869</v>
      </c>
      <c r="P2048">
        <v>98</v>
      </c>
      <c r="Q2048" t="s">
        <v>4421</v>
      </c>
    </row>
    <row r="2049" spans="1:17" x14ac:dyDescent="0.3">
      <c r="A2049" t="s">
        <v>17</v>
      </c>
      <c r="B2049" t="str">
        <f>"688569"</f>
        <v>688569</v>
      </c>
      <c r="C2049" t="s">
        <v>4422</v>
      </c>
      <c r="D2049" t="s">
        <v>1012</v>
      </c>
      <c r="F2049">
        <v>72610623</v>
      </c>
      <c r="G2049">
        <v>58351710</v>
      </c>
      <c r="H2049">
        <v>59896136</v>
      </c>
      <c r="I2049">
        <v>68393523</v>
      </c>
      <c r="J2049">
        <v>46652977</v>
      </c>
      <c r="K2049">
        <v>42628315</v>
      </c>
      <c r="P2049">
        <v>31</v>
      </c>
      <c r="Q2049" t="s">
        <v>4423</v>
      </c>
    </row>
    <row r="2050" spans="1:17" x14ac:dyDescent="0.3">
      <c r="A2050" t="s">
        <v>17</v>
      </c>
      <c r="B2050" t="str">
        <f>"688571"</f>
        <v>688571</v>
      </c>
      <c r="C2050" t="s">
        <v>4424</v>
      </c>
      <c r="D2050" t="s">
        <v>2585</v>
      </c>
      <c r="F2050">
        <v>43084948</v>
      </c>
      <c r="G2050">
        <v>39152417</v>
      </c>
      <c r="H2050">
        <v>41268497</v>
      </c>
      <c r="I2050">
        <v>42176046</v>
      </c>
      <c r="J2050">
        <v>43286687</v>
      </c>
      <c r="P2050">
        <v>29</v>
      </c>
      <c r="Q2050" t="s">
        <v>4425</v>
      </c>
    </row>
    <row r="2051" spans="1:17" x14ac:dyDescent="0.3">
      <c r="A2051" t="s">
        <v>17</v>
      </c>
      <c r="B2051" t="str">
        <f>"688575"</f>
        <v>688575</v>
      </c>
      <c r="C2051" t="s">
        <v>4426</v>
      </c>
      <c r="D2051" t="s">
        <v>1305</v>
      </c>
      <c r="F2051">
        <v>130742389</v>
      </c>
      <c r="G2051">
        <v>103176789</v>
      </c>
      <c r="H2051">
        <v>81504028</v>
      </c>
      <c r="I2051">
        <v>53219898</v>
      </c>
      <c r="J2051">
        <v>41411942</v>
      </c>
      <c r="P2051">
        <v>46</v>
      </c>
      <c r="Q2051" t="s">
        <v>4427</v>
      </c>
    </row>
    <row r="2052" spans="1:17" x14ac:dyDescent="0.3">
      <c r="A2052" t="s">
        <v>17</v>
      </c>
      <c r="B2052" t="str">
        <f>"688577"</f>
        <v>688577</v>
      </c>
      <c r="C2052" t="s">
        <v>4428</v>
      </c>
      <c r="D2052" t="s">
        <v>2321</v>
      </c>
      <c r="F2052">
        <v>32460551</v>
      </c>
      <c r="G2052">
        <v>23853654</v>
      </c>
      <c r="H2052">
        <v>19749823</v>
      </c>
      <c r="I2052">
        <v>17068214</v>
      </c>
      <c r="J2052">
        <v>10995835</v>
      </c>
      <c r="K2052">
        <v>8014612</v>
      </c>
      <c r="P2052">
        <v>56</v>
      </c>
      <c r="Q2052" t="s">
        <v>4429</v>
      </c>
    </row>
    <row r="2053" spans="1:17" x14ac:dyDescent="0.3">
      <c r="A2053" t="s">
        <v>17</v>
      </c>
      <c r="B2053" t="str">
        <f>"688578"</f>
        <v>688578</v>
      </c>
      <c r="C2053" t="s">
        <v>4430</v>
      </c>
      <c r="D2053" t="s">
        <v>143</v>
      </c>
      <c r="F2053">
        <v>222594855</v>
      </c>
      <c r="G2053">
        <v>177962990</v>
      </c>
      <c r="H2053">
        <v>161998902</v>
      </c>
      <c r="I2053">
        <v>92487039</v>
      </c>
      <c r="J2053">
        <v>37912577</v>
      </c>
      <c r="P2053">
        <v>47</v>
      </c>
      <c r="Q2053" t="s">
        <v>4431</v>
      </c>
    </row>
    <row r="2054" spans="1:17" x14ac:dyDescent="0.3">
      <c r="A2054" t="s">
        <v>17</v>
      </c>
      <c r="B2054" t="str">
        <f>"688579"</f>
        <v>688579</v>
      </c>
      <c r="C2054" t="s">
        <v>4432</v>
      </c>
      <c r="D2054" t="s">
        <v>945</v>
      </c>
      <c r="F2054">
        <v>101649101</v>
      </c>
      <c r="G2054">
        <v>100762155</v>
      </c>
      <c r="H2054">
        <v>76583756</v>
      </c>
      <c r="I2054">
        <v>59287947</v>
      </c>
      <c r="J2054">
        <v>44425596</v>
      </c>
      <c r="K2054">
        <v>38769635</v>
      </c>
      <c r="P2054">
        <v>34</v>
      </c>
      <c r="Q2054" t="s">
        <v>4433</v>
      </c>
    </row>
    <row r="2055" spans="1:17" x14ac:dyDescent="0.3">
      <c r="A2055" t="s">
        <v>17</v>
      </c>
      <c r="B2055" t="str">
        <f>"688580"</f>
        <v>688580</v>
      </c>
      <c r="C2055" t="s">
        <v>4434</v>
      </c>
      <c r="D2055" t="s">
        <v>122</v>
      </c>
      <c r="F2055">
        <v>63519527</v>
      </c>
      <c r="G2055">
        <v>34287377</v>
      </c>
      <c r="H2055">
        <v>27383494</v>
      </c>
      <c r="I2055">
        <v>18543128</v>
      </c>
      <c r="J2055">
        <v>13041169</v>
      </c>
      <c r="K2055">
        <v>8986946</v>
      </c>
      <c r="P2055">
        <v>246</v>
      </c>
      <c r="Q2055" t="s">
        <v>4435</v>
      </c>
    </row>
    <row r="2056" spans="1:17" x14ac:dyDescent="0.3">
      <c r="A2056" t="s">
        <v>17</v>
      </c>
      <c r="B2056" t="str">
        <f>"688585"</f>
        <v>688585</v>
      </c>
      <c r="C2056" t="s">
        <v>4436</v>
      </c>
      <c r="D2056" t="s">
        <v>3377</v>
      </c>
      <c r="F2056">
        <v>33816087</v>
      </c>
      <c r="G2056">
        <v>30144961</v>
      </c>
      <c r="H2056">
        <v>25439335</v>
      </c>
      <c r="I2056">
        <v>25886462</v>
      </c>
      <c r="J2056">
        <v>22425355</v>
      </c>
      <c r="K2056">
        <v>21246147</v>
      </c>
      <c r="P2056">
        <v>26</v>
      </c>
      <c r="Q2056" t="s">
        <v>4437</v>
      </c>
    </row>
    <row r="2057" spans="1:17" x14ac:dyDescent="0.3">
      <c r="A2057" t="s">
        <v>17</v>
      </c>
      <c r="B2057" t="str">
        <f>"688586"</f>
        <v>688586</v>
      </c>
      <c r="C2057" t="s">
        <v>4438</v>
      </c>
      <c r="D2057" t="s">
        <v>98</v>
      </c>
      <c r="F2057">
        <v>51082954</v>
      </c>
      <c r="G2057">
        <v>51075719</v>
      </c>
      <c r="H2057">
        <v>25283800</v>
      </c>
      <c r="I2057">
        <v>27427715</v>
      </c>
      <c r="J2057">
        <v>22562527</v>
      </c>
      <c r="K2057">
        <v>21113817</v>
      </c>
      <c r="P2057">
        <v>70</v>
      </c>
      <c r="Q2057" t="s">
        <v>4439</v>
      </c>
    </row>
    <row r="2058" spans="1:17" x14ac:dyDescent="0.3">
      <c r="A2058" t="s">
        <v>17</v>
      </c>
      <c r="B2058" t="str">
        <f>"688588"</f>
        <v>688588</v>
      </c>
      <c r="C2058" t="s">
        <v>4440</v>
      </c>
      <c r="D2058" t="s">
        <v>945</v>
      </c>
      <c r="F2058">
        <v>63574793</v>
      </c>
      <c r="G2058">
        <v>59358164</v>
      </c>
      <c r="H2058">
        <v>54069769</v>
      </c>
      <c r="I2058">
        <v>42751113</v>
      </c>
      <c r="J2058">
        <v>38866140</v>
      </c>
      <c r="K2058">
        <v>35908423</v>
      </c>
      <c r="P2058">
        <v>79</v>
      </c>
      <c r="Q2058" t="s">
        <v>4441</v>
      </c>
    </row>
    <row r="2059" spans="1:17" x14ac:dyDescent="0.3">
      <c r="A2059" t="s">
        <v>17</v>
      </c>
      <c r="B2059" t="str">
        <f>"688589"</f>
        <v>688589</v>
      </c>
      <c r="C2059" t="s">
        <v>4442</v>
      </c>
      <c r="D2059" t="s">
        <v>461</v>
      </c>
      <c r="F2059">
        <v>56348047</v>
      </c>
      <c r="G2059">
        <v>45976663</v>
      </c>
      <c r="H2059">
        <v>42721433</v>
      </c>
      <c r="I2059">
        <v>35741498</v>
      </c>
      <c r="J2059">
        <v>34068670</v>
      </c>
      <c r="K2059">
        <v>30409680</v>
      </c>
      <c r="P2059">
        <v>73</v>
      </c>
      <c r="Q2059" t="s">
        <v>4443</v>
      </c>
    </row>
    <row r="2060" spans="1:17" x14ac:dyDescent="0.3">
      <c r="A2060" t="s">
        <v>17</v>
      </c>
      <c r="B2060" t="str">
        <f>"688590"</f>
        <v>688590</v>
      </c>
      <c r="C2060" t="s">
        <v>4444</v>
      </c>
      <c r="D2060" t="s">
        <v>945</v>
      </c>
      <c r="F2060">
        <v>121285337</v>
      </c>
      <c r="G2060">
        <v>100958905</v>
      </c>
      <c r="H2060">
        <v>91478132</v>
      </c>
      <c r="I2060">
        <v>77710908</v>
      </c>
      <c r="J2060">
        <v>61848224</v>
      </c>
      <c r="K2060">
        <v>38813159</v>
      </c>
      <c r="P2060">
        <v>29</v>
      </c>
      <c r="Q2060" t="s">
        <v>4445</v>
      </c>
    </row>
    <row r="2061" spans="1:17" x14ac:dyDescent="0.3">
      <c r="A2061" t="s">
        <v>17</v>
      </c>
      <c r="B2061" t="str">
        <f>"688595"</f>
        <v>688595</v>
      </c>
      <c r="C2061" t="s">
        <v>4446</v>
      </c>
      <c r="D2061" t="s">
        <v>401</v>
      </c>
      <c r="F2061">
        <v>169121696</v>
      </c>
      <c r="G2061">
        <v>74391506</v>
      </c>
      <c r="H2061">
        <v>51086106</v>
      </c>
      <c r="I2061">
        <v>41156909</v>
      </c>
      <c r="J2061">
        <v>40196639</v>
      </c>
      <c r="P2061">
        <v>128</v>
      </c>
      <c r="Q2061" t="s">
        <v>4447</v>
      </c>
    </row>
    <row r="2062" spans="1:17" x14ac:dyDescent="0.3">
      <c r="A2062" t="s">
        <v>17</v>
      </c>
      <c r="B2062" t="str">
        <f>"688596"</f>
        <v>688596</v>
      </c>
      <c r="C2062" t="s">
        <v>4448</v>
      </c>
      <c r="D2062" t="s">
        <v>741</v>
      </c>
      <c r="F2062">
        <v>78221016</v>
      </c>
      <c r="G2062">
        <v>52490206</v>
      </c>
      <c r="H2062">
        <v>45986683</v>
      </c>
      <c r="I2062">
        <v>39587660</v>
      </c>
      <c r="J2062">
        <v>32037923</v>
      </c>
      <c r="P2062">
        <v>61</v>
      </c>
      <c r="Q2062" t="s">
        <v>4449</v>
      </c>
    </row>
    <row r="2063" spans="1:17" x14ac:dyDescent="0.3">
      <c r="A2063" t="s">
        <v>17</v>
      </c>
      <c r="B2063" t="str">
        <f>"688597"</f>
        <v>688597</v>
      </c>
      <c r="C2063" t="s">
        <v>4450</v>
      </c>
      <c r="D2063" t="s">
        <v>2180</v>
      </c>
      <c r="F2063">
        <v>42365838</v>
      </c>
      <c r="G2063">
        <v>35517220</v>
      </c>
      <c r="H2063">
        <v>40066209</v>
      </c>
      <c r="I2063">
        <v>25870259</v>
      </c>
      <c r="J2063">
        <v>25740462</v>
      </c>
      <c r="P2063">
        <v>17</v>
      </c>
      <c r="Q2063" t="s">
        <v>4451</v>
      </c>
    </row>
    <row r="2064" spans="1:17" x14ac:dyDescent="0.3">
      <c r="A2064" t="s">
        <v>17</v>
      </c>
      <c r="B2064" t="str">
        <f>"688598"</f>
        <v>688598</v>
      </c>
      <c r="C2064" t="s">
        <v>4452</v>
      </c>
      <c r="D2064" t="s">
        <v>478</v>
      </c>
      <c r="F2064">
        <v>64972361</v>
      </c>
      <c r="G2064">
        <v>34632868</v>
      </c>
      <c r="H2064">
        <v>28953004</v>
      </c>
      <c r="I2064">
        <v>28127751</v>
      </c>
      <c r="J2064">
        <v>15462016</v>
      </c>
      <c r="K2064">
        <v>7733936</v>
      </c>
      <c r="P2064">
        <v>262</v>
      </c>
      <c r="Q2064" t="s">
        <v>4453</v>
      </c>
    </row>
    <row r="2065" spans="1:17" x14ac:dyDescent="0.3">
      <c r="A2065" t="s">
        <v>17</v>
      </c>
      <c r="B2065" t="str">
        <f>"688599"</f>
        <v>688599</v>
      </c>
      <c r="C2065" t="s">
        <v>4454</v>
      </c>
      <c r="D2065" t="s">
        <v>356</v>
      </c>
      <c r="F2065">
        <v>924819503</v>
      </c>
      <c r="G2065">
        <v>363486753</v>
      </c>
      <c r="H2065">
        <v>298435330</v>
      </c>
      <c r="I2065">
        <v>221341624</v>
      </c>
      <c r="J2065">
        <v>202129271</v>
      </c>
      <c r="K2065">
        <v>328649498</v>
      </c>
      <c r="P2065">
        <v>371</v>
      </c>
      <c r="Q2065" t="s">
        <v>4455</v>
      </c>
    </row>
    <row r="2066" spans="1:17" x14ac:dyDescent="0.3">
      <c r="A2066" t="s">
        <v>17</v>
      </c>
      <c r="B2066" t="str">
        <f>"688600"</f>
        <v>688600</v>
      </c>
      <c r="C2066" t="s">
        <v>4456</v>
      </c>
      <c r="D2066" t="s">
        <v>1070</v>
      </c>
      <c r="F2066">
        <v>117311003</v>
      </c>
      <c r="G2066">
        <v>68793203</v>
      </c>
      <c r="H2066">
        <v>51289666</v>
      </c>
      <c r="I2066">
        <v>35415230</v>
      </c>
      <c r="J2066">
        <v>30765568</v>
      </c>
      <c r="K2066">
        <v>32436782</v>
      </c>
      <c r="P2066">
        <v>62</v>
      </c>
      <c r="Q2066" t="s">
        <v>4457</v>
      </c>
    </row>
    <row r="2067" spans="1:17" x14ac:dyDescent="0.3">
      <c r="A2067" t="s">
        <v>17</v>
      </c>
      <c r="B2067" t="str">
        <f>"688601"</f>
        <v>688601</v>
      </c>
      <c r="C2067" t="s">
        <v>4458</v>
      </c>
      <c r="D2067" t="s">
        <v>401</v>
      </c>
      <c r="F2067">
        <v>64112121</v>
      </c>
      <c r="G2067">
        <v>38981820</v>
      </c>
      <c r="H2067">
        <v>35590557</v>
      </c>
      <c r="I2067">
        <v>27451968</v>
      </c>
      <c r="J2067">
        <v>23333584</v>
      </c>
      <c r="P2067">
        <v>57</v>
      </c>
      <c r="Q2067" t="s">
        <v>4459</v>
      </c>
    </row>
    <row r="2068" spans="1:17" x14ac:dyDescent="0.3">
      <c r="A2068" t="s">
        <v>17</v>
      </c>
      <c r="B2068" t="str">
        <f>"688606"</f>
        <v>688606</v>
      </c>
      <c r="C2068" t="s">
        <v>4460</v>
      </c>
      <c r="D2068" t="s">
        <v>1305</v>
      </c>
      <c r="F2068">
        <v>95460326</v>
      </c>
      <c r="G2068">
        <v>55110796</v>
      </c>
      <c r="H2068">
        <v>35929843</v>
      </c>
      <c r="I2068">
        <v>30936491</v>
      </c>
      <c r="J2068">
        <v>25938402</v>
      </c>
      <c r="P2068">
        <v>104</v>
      </c>
      <c r="Q2068" t="s">
        <v>4461</v>
      </c>
    </row>
    <row r="2069" spans="1:17" x14ac:dyDescent="0.3">
      <c r="A2069" t="s">
        <v>17</v>
      </c>
      <c r="B2069" t="str">
        <f>"688607"</f>
        <v>688607</v>
      </c>
      <c r="C2069" t="s">
        <v>4462</v>
      </c>
      <c r="D2069" t="s">
        <v>122</v>
      </c>
      <c r="F2069">
        <v>32366646</v>
      </c>
      <c r="G2069">
        <v>26065610</v>
      </c>
      <c r="H2069">
        <v>19312708</v>
      </c>
      <c r="I2069">
        <v>13178341</v>
      </c>
      <c r="J2069">
        <v>12882867</v>
      </c>
      <c r="P2069">
        <v>55</v>
      </c>
      <c r="Q2069" t="s">
        <v>4463</v>
      </c>
    </row>
    <row r="2070" spans="1:17" x14ac:dyDescent="0.3">
      <c r="A2070" t="s">
        <v>17</v>
      </c>
      <c r="B2070" t="str">
        <f>"688608"</f>
        <v>688608</v>
      </c>
      <c r="C2070" t="s">
        <v>4464</v>
      </c>
      <c r="D2070" t="s">
        <v>461</v>
      </c>
      <c r="F2070">
        <v>289185209</v>
      </c>
      <c r="G2070">
        <v>172638021</v>
      </c>
      <c r="H2070">
        <v>132362866</v>
      </c>
      <c r="I2070">
        <v>87240215</v>
      </c>
      <c r="J2070">
        <v>44936665</v>
      </c>
      <c r="P2070">
        <v>125</v>
      </c>
      <c r="Q2070" t="s">
        <v>4465</v>
      </c>
    </row>
    <row r="2071" spans="1:17" x14ac:dyDescent="0.3">
      <c r="A2071" t="s">
        <v>17</v>
      </c>
      <c r="B2071" t="str">
        <f>"688609"</f>
        <v>688609</v>
      </c>
      <c r="C2071" t="s">
        <v>4466</v>
      </c>
      <c r="D2071" t="s">
        <v>4467</v>
      </c>
      <c r="F2071">
        <v>155334971</v>
      </c>
      <c r="G2071">
        <v>131300577</v>
      </c>
      <c r="H2071">
        <v>157745341</v>
      </c>
      <c r="I2071">
        <v>97288374</v>
      </c>
      <c r="J2071">
        <v>80350247</v>
      </c>
      <c r="P2071">
        <v>31</v>
      </c>
      <c r="Q2071" t="s">
        <v>4468</v>
      </c>
    </row>
    <row r="2072" spans="1:17" x14ac:dyDescent="0.3">
      <c r="A2072" t="s">
        <v>17</v>
      </c>
      <c r="B2072" t="str">
        <f>"688611"</f>
        <v>688611</v>
      </c>
      <c r="C2072" t="s">
        <v>4469</v>
      </c>
      <c r="D2072" t="s">
        <v>610</v>
      </c>
      <c r="F2072">
        <v>25475321</v>
      </c>
      <c r="G2072">
        <v>21583145</v>
      </c>
      <c r="H2072">
        <v>17600660</v>
      </c>
      <c r="I2072">
        <v>13081683</v>
      </c>
      <c r="J2072">
        <v>7609791</v>
      </c>
      <c r="P2072">
        <v>38</v>
      </c>
      <c r="Q2072" t="s">
        <v>4470</v>
      </c>
    </row>
    <row r="2073" spans="1:17" x14ac:dyDescent="0.3">
      <c r="A2073" t="s">
        <v>17</v>
      </c>
      <c r="B2073" t="str">
        <f>"688613"</f>
        <v>688613</v>
      </c>
      <c r="C2073" t="s">
        <v>4471</v>
      </c>
      <c r="D2073" t="s">
        <v>1077</v>
      </c>
      <c r="F2073">
        <v>33231943</v>
      </c>
      <c r="G2073">
        <v>16008485</v>
      </c>
      <c r="H2073">
        <v>22491503</v>
      </c>
      <c r="I2073">
        <v>18017267</v>
      </c>
      <c r="J2073">
        <v>12364046</v>
      </c>
      <c r="P2073">
        <v>51</v>
      </c>
      <c r="Q2073" t="s">
        <v>4472</v>
      </c>
    </row>
    <row r="2074" spans="1:17" x14ac:dyDescent="0.3">
      <c r="A2074" t="s">
        <v>17</v>
      </c>
      <c r="B2074" t="str">
        <f>"688616"</f>
        <v>688616</v>
      </c>
      <c r="C2074" t="s">
        <v>4473</v>
      </c>
      <c r="D2074" t="s">
        <v>2180</v>
      </c>
      <c r="F2074">
        <v>22585502</v>
      </c>
      <c r="G2074">
        <v>23358051</v>
      </c>
      <c r="H2074">
        <v>21047079</v>
      </c>
      <c r="I2074">
        <v>20291855</v>
      </c>
      <c r="J2074">
        <v>17629672</v>
      </c>
      <c r="P2074">
        <v>23</v>
      </c>
      <c r="Q2074" t="s">
        <v>4474</v>
      </c>
    </row>
    <row r="2075" spans="1:17" x14ac:dyDescent="0.3">
      <c r="A2075" t="s">
        <v>17</v>
      </c>
      <c r="B2075" t="str">
        <f>"688617"</f>
        <v>688617</v>
      </c>
      <c r="C2075" t="s">
        <v>4475</v>
      </c>
      <c r="D2075" t="s">
        <v>1077</v>
      </c>
      <c r="F2075">
        <v>134876803</v>
      </c>
      <c r="G2075">
        <v>71899384</v>
      </c>
      <c r="H2075">
        <v>70422726</v>
      </c>
      <c r="I2075">
        <v>53377853</v>
      </c>
      <c r="J2075">
        <v>49984565</v>
      </c>
      <c r="P2075">
        <v>137</v>
      </c>
      <c r="Q2075" t="s">
        <v>4476</v>
      </c>
    </row>
    <row r="2076" spans="1:17" x14ac:dyDescent="0.3">
      <c r="A2076" t="s">
        <v>17</v>
      </c>
      <c r="B2076" t="str">
        <f>"688618"</f>
        <v>688618</v>
      </c>
      <c r="C2076" t="s">
        <v>4477</v>
      </c>
      <c r="D2076" t="s">
        <v>1019</v>
      </c>
      <c r="F2076">
        <v>53579488</v>
      </c>
      <c r="G2076">
        <v>36776101</v>
      </c>
      <c r="H2076">
        <v>27871178</v>
      </c>
      <c r="I2076">
        <v>20262480</v>
      </c>
      <c r="J2076">
        <v>16355770</v>
      </c>
      <c r="P2076">
        <v>41</v>
      </c>
      <c r="Q2076" t="s">
        <v>4478</v>
      </c>
    </row>
    <row r="2077" spans="1:17" x14ac:dyDescent="0.3">
      <c r="A2077" t="s">
        <v>17</v>
      </c>
      <c r="B2077" t="str">
        <f>"688619"</f>
        <v>688619</v>
      </c>
      <c r="C2077" t="s">
        <v>4479</v>
      </c>
      <c r="D2077" t="s">
        <v>2980</v>
      </c>
      <c r="F2077">
        <v>41888799</v>
      </c>
      <c r="G2077">
        <v>38135740</v>
      </c>
      <c r="H2077">
        <v>33845710</v>
      </c>
      <c r="I2077">
        <v>29380350</v>
      </c>
      <c r="J2077">
        <v>18268188</v>
      </c>
      <c r="P2077">
        <v>31</v>
      </c>
      <c r="Q2077" t="s">
        <v>4480</v>
      </c>
    </row>
    <row r="2078" spans="1:17" x14ac:dyDescent="0.3">
      <c r="A2078" t="s">
        <v>17</v>
      </c>
      <c r="B2078" t="str">
        <f>"688621"</f>
        <v>688621</v>
      </c>
      <c r="C2078" t="s">
        <v>4481</v>
      </c>
      <c r="D2078" t="s">
        <v>1461</v>
      </c>
      <c r="F2078">
        <v>47577001</v>
      </c>
      <c r="G2078">
        <v>34192321</v>
      </c>
      <c r="H2078">
        <v>19065505</v>
      </c>
      <c r="I2078">
        <v>8460565</v>
      </c>
      <c r="J2078">
        <v>2804853</v>
      </c>
      <c r="P2078">
        <v>63</v>
      </c>
      <c r="Q2078" t="s">
        <v>4482</v>
      </c>
    </row>
    <row r="2079" spans="1:17" x14ac:dyDescent="0.3">
      <c r="A2079" t="s">
        <v>17</v>
      </c>
      <c r="B2079" t="str">
        <f>"688622"</f>
        <v>688622</v>
      </c>
      <c r="C2079" t="s">
        <v>4483</v>
      </c>
      <c r="D2079" t="s">
        <v>2566</v>
      </c>
      <c r="F2079">
        <v>50527024</v>
      </c>
      <c r="G2079">
        <v>34874595</v>
      </c>
      <c r="H2079">
        <v>35147169</v>
      </c>
      <c r="I2079">
        <v>16114317</v>
      </c>
      <c r="J2079">
        <v>28167809</v>
      </c>
      <c r="K2079">
        <v>32479265</v>
      </c>
      <c r="P2079">
        <v>29</v>
      </c>
      <c r="Q2079" t="s">
        <v>4484</v>
      </c>
    </row>
    <row r="2080" spans="1:17" x14ac:dyDescent="0.3">
      <c r="A2080" t="s">
        <v>17</v>
      </c>
      <c r="B2080" t="str">
        <f>"688625"</f>
        <v>688625</v>
      </c>
      <c r="C2080" t="s">
        <v>4485</v>
      </c>
      <c r="D2080" t="s">
        <v>386</v>
      </c>
      <c r="F2080">
        <v>23548265</v>
      </c>
      <c r="G2080">
        <v>17845193</v>
      </c>
      <c r="H2080">
        <v>15793773</v>
      </c>
      <c r="I2080">
        <v>12806921</v>
      </c>
      <c r="J2080">
        <v>9061975</v>
      </c>
      <c r="P2080">
        <v>63</v>
      </c>
      <c r="Q2080" t="s">
        <v>4486</v>
      </c>
    </row>
    <row r="2081" spans="1:17" x14ac:dyDescent="0.3">
      <c r="A2081" t="s">
        <v>17</v>
      </c>
      <c r="B2081" t="str">
        <f>"688626"</f>
        <v>688626</v>
      </c>
      <c r="C2081" t="s">
        <v>4487</v>
      </c>
      <c r="D2081" t="s">
        <v>122</v>
      </c>
      <c r="F2081">
        <v>68605759</v>
      </c>
      <c r="G2081">
        <v>51551365</v>
      </c>
      <c r="H2081">
        <v>41493126</v>
      </c>
      <c r="I2081">
        <v>28816696</v>
      </c>
      <c r="J2081">
        <v>17419961</v>
      </c>
      <c r="P2081">
        <v>82</v>
      </c>
      <c r="Q2081" t="s">
        <v>4488</v>
      </c>
    </row>
    <row r="2082" spans="1:17" x14ac:dyDescent="0.3">
      <c r="A2082" t="s">
        <v>17</v>
      </c>
      <c r="B2082" t="str">
        <f>"688628"</f>
        <v>688628</v>
      </c>
      <c r="C2082" t="s">
        <v>4489</v>
      </c>
      <c r="D2082" t="s">
        <v>2566</v>
      </c>
      <c r="F2082">
        <v>59352382</v>
      </c>
      <c r="G2082">
        <v>42025433</v>
      </c>
      <c r="H2082">
        <v>34800474</v>
      </c>
      <c r="I2082">
        <v>29793420</v>
      </c>
      <c r="J2082">
        <v>29542884</v>
      </c>
      <c r="P2082">
        <v>35</v>
      </c>
      <c r="Q2082" t="s">
        <v>4490</v>
      </c>
    </row>
    <row r="2083" spans="1:17" x14ac:dyDescent="0.3">
      <c r="A2083" t="s">
        <v>17</v>
      </c>
      <c r="B2083" t="str">
        <f>"688630"</f>
        <v>688630</v>
      </c>
      <c r="C2083" t="s">
        <v>4491</v>
      </c>
      <c r="D2083" t="s">
        <v>741</v>
      </c>
      <c r="F2083">
        <v>56479768</v>
      </c>
      <c r="G2083">
        <v>33943567</v>
      </c>
      <c r="H2083">
        <v>28549459</v>
      </c>
      <c r="I2083">
        <v>16981030</v>
      </c>
      <c r="J2083">
        <v>7918036</v>
      </c>
      <c r="P2083">
        <v>63</v>
      </c>
      <c r="Q2083" t="s">
        <v>4492</v>
      </c>
    </row>
    <row r="2084" spans="1:17" x14ac:dyDescent="0.3">
      <c r="A2084" t="s">
        <v>17</v>
      </c>
      <c r="B2084" t="str">
        <f>"688633"</f>
        <v>688633</v>
      </c>
      <c r="C2084" t="s">
        <v>4493</v>
      </c>
      <c r="D2084" t="s">
        <v>395</v>
      </c>
      <c r="F2084">
        <v>41694265</v>
      </c>
      <c r="G2084">
        <v>32746549</v>
      </c>
      <c r="H2084">
        <v>25124191</v>
      </c>
      <c r="I2084">
        <v>42897029</v>
      </c>
      <c r="J2084">
        <v>12335247</v>
      </c>
      <c r="P2084">
        <v>38</v>
      </c>
      <c r="Q2084" t="s">
        <v>4494</v>
      </c>
    </row>
    <row r="2085" spans="1:17" x14ac:dyDescent="0.3">
      <c r="A2085" t="s">
        <v>17</v>
      </c>
      <c r="B2085" t="str">
        <f>"688636"</f>
        <v>688636</v>
      </c>
      <c r="C2085" t="s">
        <v>4495</v>
      </c>
      <c r="D2085" t="s">
        <v>1136</v>
      </c>
      <c r="F2085">
        <v>94642187</v>
      </c>
      <c r="G2085">
        <v>56205263</v>
      </c>
      <c r="H2085">
        <v>52051788</v>
      </c>
      <c r="I2085">
        <v>48884062</v>
      </c>
      <c r="J2085">
        <v>45273672</v>
      </c>
      <c r="P2085">
        <v>32</v>
      </c>
      <c r="Q2085" t="s">
        <v>4496</v>
      </c>
    </row>
    <row r="2086" spans="1:17" x14ac:dyDescent="0.3">
      <c r="A2086" t="s">
        <v>17</v>
      </c>
      <c r="B2086" t="str">
        <f>"688639"</f>
        <v>688639</v>
      </c>
      <c r="C2086" t="s">
        <v>4497</v>
      </c>
      <c r="D2086" t="s">
        <v>677</v>
      </c>
      <c r="F2086">
        <v>52842998</v>
      </c>
      <c r="G2086">
        <v>30123886</v>
      </c>
      <c r="H2086">
        <v>29953955</v>
      </c>
      <c r="I2086">
        <v>21725390</v>
      </c>
      <c r="J2086">
        <v>19842622</v>
      </c>
      <c r="P2086">
        <v>58</v>
      </c>
      <c r="Q2086" t="s">
        <v>4498</v>
      </c>
    </row>
    <row r="2087" spans="1:17" x14ac:dyDescent="0.3">
      <c r="A2087" t="s">
        <v>17</v>
      </c>
      <c r="B2087" t="str">
        <f>"688655"</f>
        <v>688655</v>
      </c>
      <c r="C2087" t="s">
        <v>4499</v>
      </c>
      <c r="D2087" t="s">
        <v>425</v>
      </c>
      <c r="F2087">
        <v>37087971</v>
      </c>
      <c r="G2087">
        <v>28394899</v>
      </c>
      <c r="H2087">
        <v>29227237</v>
      </c>
      <c r="I2087">
        <v>28022893</v>
      </c>
      <c r="J2087">
        <v>19719100</v>
      </c>
      <c r="P2087">
        <v>21</v>
      </c>
      <c r="Q2087" t="s">
        <v>4500</v>
      </c>
    </row>
    <row r="2088" spans="1:17" x14ac:dyDescent="0.3">
      <c r="A2088" t="s">
        <v>17</v>
      </c>
      <c r="B2088" t="str">
        <f>"688656"</f>
        <v>688656</v>
      </c>
      <c r="C2088" t="s">
        <v>4501</v>
      </c>
      <c r="D2088" t="s">
        <v>1305</v>
      </c>
      <c r="F2088">
        <v>31785633</v>
      </c>
      <c r="G2088">
        <v>24130970</v>
      </c>
      <c r="H2088">
        <v>25438868</v>
      </c>
      <c r="I2088">
        <v>24152771</v>
      </c>
      <c r="J2088">
        <v>19686664</v>
      </c>
      <c r="K2088">
        <v>23348479</v>
      </c>
      <c r="P2088">
        <v>59</v>
      </c>
      <c r="Q2088" t="s">
        <v>4502</v>
      </c>
    </row>
    <row r="2089" spans="1:17" x14ac:dyDescent="0.3">
      <c r="A2089" t="s">
        <v>17</v>
      </c>
      <c r="B2089" t="str">
        <f>"688658"</f>
        <v>688658</v>
      </c>
      <c r="C2089" t="s">
        <v>4503</v>
      </c>
      <c r="D2089" t="s">
        <v>143</v>
      </c>
      <c r="F2089">
        <v>200031843</v>
      </c>
      <c r="G2089">
        <v>127894940</v>
      </c>
      <c r="H2089">
        <v>126186172</v>
      </c>
      <c r="I2089">
        <v>98101270</v>
      </c>
      <c r="J2089">
        <v>81675187</v>
      </c>
      <c r="P2089">
        <v>75</v>
      </c>
      <c r="Q2089" t="s">
        <v>4504</v>
      </c>
    </row>
    <row r="2090" spans="1:17" x14ac:dyDescent="0.3">
      <c r="A2090" t="s">
        <v>17</v>
      </c>
      <c r="B2090" t="str">
        <f>"688659"</f>
        <v>688659</v>
      </c>
      <c r="C2090" t="s">
        <v>4505</v>
      </c>
      <c r="D2090" t="s">
        <v>386</v>
      </c>
      <c r="F2090">
        <v>32384174</v>
      </c>
      <c r="G2090">
        <v>25429095</v>
      </c>
      <c r="H2090">
        <v>19058202</v>
      </c>
      <c r="I2090">
        <v>16397982</v>
      </c>
      <c r="J2090">
        <v>13481354</v>
      </c>
      <c r="P2090">
        <v>40</v>
      </c>
      <c r="Q2090" t="s">
        <v>4506</v>
      </c>
    </row>
    <row r="2091" spans="1:17" x14ac:dyDescent="0.3">
      <c r="A2091" t="s">
        <v>17</v>
      </c>
      <c r="B2091" t="str">
        <f>"688660"</f>
        <v>688660</v>
      </c>
      <c r="C2091" t="s">
        <v>4507</v>
      </c>
      <c r="D2091" t="s">
        <v>895</v>
      </c>
      <c r="F2091">
        <v>925137833</v>
      </c>
      <c r="G2091">
        <v>559814945</v>
      </c>
      <c r="H2091">
        <v>294385474</v>
      </c>
      <c r="I2091">
        <v>404870282</v>
      </c>
      <c r="J2091">
        <v>234565624</v>
      </c>
      <c r="P2091">
        <v>54</v>
      </c>
      <c r="Q2091" t="s">
        <v>4508</v>
      </c>
    </row>
    <row r="2092" spans="1:17" x14ac:dyDescent="0.3">
      <c r="A2092" t="s">
        <v>17</v>
      </c>
      <c r="B2092" t="str">
        <f>"688661"</f>
        <v>688661</v>
      </c>
      <c r="C2092" t="s">
        <v>4509</v>
      </c>
      <c r="D2092" t="s">
        <v>313</v>
      </c>
      <c r="F2092">
        <v>28000456</v>
      </c>
      <c r="G2092">
        <v>14141071</v>
      </c>
      <c r="H2092">
        <v>11611193</v>
      </c>
      <c r="I2092">
        <v>9034550</v>
      </c>
      <c r="J2092">
        <v>6991870</v>
      </c>
      <c r="P2092">
        <v>64</v>
      </c>
      <c r="Q2092" t="s">
        <v>4510</v>
      </c>
    </row>
    <row r="2093" spans="1:17" x14ac:dyDescent="0.3">
      <c r="A2093" t="s">
        <v>17</v>
      </c>
      <c r="B2093" t="str">
        <f>"688662"</f>
        <v>688662</v>
      </c>
      <c r="C2093" t="s">
        <v>4511</v>
      </c>
      <c r="D2093" t="s">
        <v>651</v>
      </c>
      <c r="F2093">
        <v>35588485</v>
      </c>
      <c r="G2093">
        <v>27280642</v>
      </c>
      <c r="H2093">
        <v>26874952</v>
      </c>
      <c r="I2093">
        <v>22815005</v>
      </c>
      <c r="J2093">
        <v>18455910</v>
      </c>
      <c r="P2093">
        <v>23</v>
      </c>
      <c r="Q2093" t="s">
        <v>4512</v>
      </c>
    </row>
    <row r="2094" spans="1:17" x14ac:dyDescent="0.3">
      <c r="A2094" t="s">
        <v>17</v>
      </c>
      <c r="B2094" t="str">
        <f>"688663"</f>
        <v>688663</v>
      </c>
      <c r="C2094" t="s">
        <v>4513</v>
      </c>
      <c r="D2094" t="s">
        <v>657</v>
      </c>
      <c r="F2094">
        <v>39316918</v>
      </c>
      <c r="G2094">
        <v>32232861</v>
      </c>
      <c r="H2094">
        <v>28030650</v>
      </c>
      <c r="I2094">
        <v>20691065</v>
      </c>
      <c r="J2094">
        <v>16170343</v>
      </c>
      <c r="P2094">
        <v>32</v>
      </c>
      <c r="Q2094" t="s">
        <v>4514</v>
      </c>
    </row>
    <row r="2095" spans="1:17" x14ac:dyDescent="0.3">
      <c r="A2095" t="s">
        <v>17</v>
      </c>
      <c r="B2095" t="str">
        <f>"688665"</f>
        <v>688665</v>
      </c>
      <c r="C2095" t="s">
        <v>4515</v>
      </c>
      <c r="D2095" t="s">
        <v>2566</v>
      </c>
      <c r="F2095">
        <v>43719164</v>
      </c>
      <c r="G2095">
        <v>19895072</v>
      </c>
      <c r="H2095">
        <v>19597713</v>
      </c>
      <c r="I2095">
        <v>13847328</v>
      </c>
      <c r="J2095">
        <v>11027986</v>
      </c>
      <c r="P2095">
        <v>63</v>
      </c>
      <c r="Q2095" t="s">
        <v>4516</v>
      </c>
    </row>
    <row r="2096" spans="1:17" x14ac:dyDescent="0.3">
      <c r="A2096" t="s">
        <v>17</v>
      </c>
      <c r="B2096" t="str">
        <f>"688667"</f>
        <v>688667</v>
      </c>
      <c r="C2096" t="s">
        <v>4517</v>
      </c>
      <c r="D2096" t="s">
        <v>1415</v>
      </c>
      <c r="F2096">
        <v>101167433</v>
      </c>
      <c r="G2096">
        <v>47411821</v>
      </c>
      <c r="H2096">
        <v>40737474</v>
      </c>
      <c r="I2096">
        <v>22103110</v>
      </c>
      <c r="J2096">
        <v>13687506</v>
      </c>
      <c r="P2096">
        <v>66</v>
      </c>
      <c r="Q2096" t="s">
        <v>4518</v>
      </c>
    </row>
    <row r="2097" spans="1:17" x14ac:dyDescent="0.3">
      <c r="A2097" t="s">
        <v>17</v>
      </c>
      <c r="B2097" t="str">
        <f>"688668"</f>
        <v>688668</v>
      </c>
      <c r="C2097" t="s">
        <v>4519</v>
      </c>
      <c r="D2097" t="s">
        <v>1019</v>
      </c>
      <c r="F2097">
        <v>37155560</v>
      </c>
      <c r="G2097">
        <v>27959036</v>
      </c>
      <c r="H2097">
        <v>17807608</v>
      </c>
      <c r="I2097">
        <v>14647252</v>
      </c>
      <c r="J2097">
        <v>9007831</v>
      </c>
      <c r="P2097">
        <v>44</v>
      </c>
      <c r="Q2097" t="s">
        <v>4520</v>
      </c>
    </row>
    <row r="2098" spans="1:17" x14ac:dyDescent="0.3">
      <c r="A2098" t="s">
        <v>17</v>
      </c>
      <c r="B2098" t="str">
        <f>"688669"</f>
        <v>688669</v>
      </c>
      <c r="C2098" t="s">
        <v>4521</v>
      </c>
      <c r="D2098" t="s">
        <v>341</v>
      </c>
      <c r="F2098">
        <v>97511267</v>
      </c>
      <c r="G2098">
        <v>59691900</v>
      </c>
      <c r="H2098">
        <v>45394221</v>
      </c>
      <c r="I2098">
        <v>33572780</v>
      </c>
      <c r="J2098">
        <v>25947903</v>
      </c>
      <c r="P2098">
        <v>36</v>
      </c>
      <c r="Q2098" t="s">
        <v>4522</v>
      </c>
    </row>
    <row r="2099" spans="1:17" x14ac:dyDescent="0.3">
      <c r="A2099" t="s">
        <v>17</v>
      </c>
      <c r="B2099" t="str">
        <f>"688670"</f>
        <v>688670</v>
      </c>
      <c r="C2099" t="s">
        <v>4523</v>
      </c>
      <c r="D2099" t="s">
        <v>1499</v>
      </c>
      <c r="F2099">
        <v>35259882</v>
      </c>
      <c r="G2099">
        <v>28533101</v>
      </c>
      <c r="H2099">
        <v>23753902</v>
      </c>
      <c r="I2099">
        <v>12077255</v>
      </c>
      <c r="J2099">
        <v>18315545</v>
      </c>
      <c r="P2099">
        <v>19</v>
      </c>
      <c r="Q2099" t="s">
        <v>4524</v>
      </c>
    </row>
    <row r="2100" spans="1:17" x14ac:dyDescent="0.3">
      <c r="A2100" t="s">
        <v>17</v>
      </c>
      <c r="B2100" t="str">
        <f>"688676"</f>
        <v>688676</v>
      </c>
      <c r="C2100" t="s">
        <v>4525</v>
      </c>
      <c r="D2100" t="s">
        <v>210</v>
      </c>
      <c r="F2100">
        <v>157580847</v>
      </c>
      <c r="G2100">
        <v>111905342</v>
      </c>
      <c r="H2100">
        <v>101460877</v>
      </c>
      <c r="I2100">
        <v>95954739</v>
      </c>
      <c r="J2100">
        <v>95412431</v>
      </c>
      <c r="P2100">
        <v>42</v>
      </c>
      <c r="Q2100" t="s">
        <v>4526</v>
      </c>
    </row>
    <row r="2101" spans="1:17" x14ac:dyDescent="0.3">
      <c r="A2101" t="s">
        <v>17</v>
      </c>
      <c r="B2101" t="str">
        <f>"688677"</f>
        <v>688677</v>
      </c>
      <c r="C2101" t="s">
        <v>4527</v>
      </c>
      <c r="D2101" t="s">
        <v>122</v>
      </c>
      <c r="F2101">
        <v>41342913</v>
      </c>
      <c r="G2101">
        <v>30920677</v>
      </c>
      <c r="H2101">
        <v>28537993</v>
      </c>
      <c r="I2101">
        <v>22278777</v>
      </c>
      <c r="J2101">
        <v>16107012</v>
      </c>
      <c r="P2101">
        <v>94</v>
      </c>
      <c r="Q2101" t="s">
        <v>4528</v>
      </c>
    </row>
    <row r="2102" spans="1:17" x14ac:dyDescent="0.3">
      <c r="A2102" t="s">
        <v>17</v>
      </c>
      <c r="B2102" t="str">
        <f>"688678"</f>
        <v>688678</v>
      </c>
      <c r="C2102" t="s">
        <v>4529</v>
      </c>
      <c r="D2102" t="s">
        <v>313</v>
      </c>
      <c r="F2102">
        <v>60570184</v>
      </c>
      <c r="G2102">
        <v>41570736</v>
      </c>
      <c r="H2102">
        <v>21890816</v>
      </c>
      <c r="I2102">
        <v>19234474</v>
      </c>
      <c r="J2102">
        <v>13271804</v>
      </c>
      <c r="P2102">
        <v>29</v>
      </c>
      <c r="Q2102" t="s">
        <v>4530</v>
      </c>
    </row>
    <row r="2103" spans="1:17" x14ac:dyDescent="0.3">
      <c r="A2103" t="s">
        <v>17</v>
      </c>
      <c r="B2103" t="str">
        <f>"688679"</f>
        <v>688679</v>
      </c>
      <c r="C2103" t="s">
        <v>4531</v>
      </c>
      <c r="D2103" t="s">
        <v>499</v>
      </c>
      <c r="F2103">
        <v>34955581</v>
      </c>
      <c r="G2103">
        <v>32122136</v>
      </c>
      <c r="H2103">
        <v>30870136</v>
      </c>
      <c r="I2103">
        <v>20022525</v>
      </c>
      <c r="J2103">
        <v>14126981</v>
      </c>
      <c r="P2103">
        <v>31</v>
      </c>
      <c r="Q2103" t="s">
        <v>4532</v>
      </c>
    </row>
    <row r="2104" spans="1:17" x14ac:dyDescent="0.3">
      <c r="A2104" t="s">
        <v>17</v>
      </c>
      <c r="B2104" t="str">
        <f>"688680"</f>
        <v>688680</v>
      </c>
      <c r="C2104" t="s">
        <v>4533</v>
      </c>
      <c r="D2104" t="s">
        <v>478</v>
      </c>
      <c r="F2104">
        <v>131020536</v>
      </c>
      <c r="G2104">
        <v>65484992</v>
      </c>
      <c r="H2104">
        <v>38665053</v>
      </c>
      <c r="I2104">
        <v>25342141</v>
      </c>
      <c r="J2104">
        <v>24375543</v>
      </c>
      <c r="P2104">
        <v>79</v>
      </c>
      <c r="Q2104" t="s">
        <v>4534</v>
      </c>
    </row>
    <row r="2105" spans="1:17" x14ac:dyDescent="0.3">
      <c r="A2105" t="s">
        <v>17</v>
      </c>
      <c r="B2105" t="str">
        <f>"688681"</f>
        <v>688681</v>
      </c>
      <c r="C2105" t="s">
        <v>4535</v>
      </c>
      <c r="D2105" t="s">
        <v>610</v>
      </c>
      <c r="F2105">
        <v>33563275</v>
      </c>
      <c r="G2105">
        <v>27579940</v>
      </c>
      <c r="H2105">
        <v>25758689</v>
      </c>
      <c r="I2105">
        <v>20565110</v>
      </c>
      <c r="J2105">
        <v>23418575</v>
      </c>
      <c r="P2105">
        <v>31</v>
      </c>
      <c r="Q2105" t="s">
        <v>4536</v>
      </c>
    </row>
    <row r="2106" spans="1:17" x14ac:dyDescent="0.3">
      <c r="A2106" t="s">
        <v>17</v>
      </c>
      <c r="B2106" t="str">
        <f>"688682"</f>
        <v>688682</v>
      </c>
      <c r="C2106" t="s">
        <v>4537</v>
      </c>
      <c r="D2106" t="s">
        <v>1136</v>
      </c>
      <c r="F2106">
        <v>30944936</v>
      </c>
      <c r="G2106">
        <v>15857382</v>
      </c>
      <c r="H2106">
        <v>12577528</v>
      </c>
      <c r="I2106">
        <v>11010711</v>
      </c>
      <c r="J2106">
        <v>8867426</v>
      </c>
      <c r="P2106">
        <v>33</v>
      </c>
      <c r="Q2106" t="s">
        <v>4538</v>
      </c>
    </row>
    <row r="2107" spans="1:17" x14ac:dyDescent="0.3">
      <c r="A2107" t="s">
        <v>17</v>
      </c>
      <c r="B2107" t="str">
        <f>"688683"</f>
        <v>688683</v>
      </c>
      <c r="C2107" t="s">
        <v>4539</v>
      </c>
      <c r="D2107" t="s">
        <v>313</v>
      </c>
      <c r="F2107">
        <v>25375254</v>
      </c>
      <c r="G2107">
        <v>22703292</v>
      </c>
      <c r="H2107">
        <v>19576669</v>
      </c>
      <c r="I2107">
        <v>20169182</v>
      </c>
      <c r="J2107">
        <v>19743575</v>
      </c>
      <c r="P2107">
        <v>18</v>
      </c>
      <c r="Q2107" t="s">
        <v>4540</v>
      </c>
    </row>
    <row r="2108" spans="1:17" x14ac:dyDescent="0.3">
      <c r="A2108" t="s">
        <v>17</v>
      </c>
      <c r="B2108" t="str">
        <f>"688685"</f>
        <v>688685</v>
      </c>
      <c r="C2108" t="s">
        <v>4541</v>
      </c>
      <c r="D2108" t="s">
        <v>98</v>
      </c>
      <c r="F2108">
        <v>16449238</v>
      </c>
      <c r="G2108">
        <v>16488115</v>
      </c>
      <c r="H2108">
        <v>16980643</v>
      </c>
      <c r="I2108">
        <v>14868672</v>
      </c>
      <c r="J2108">
        <v>6473545</v>
      </c>
      <c r="P2108">
        <v>21</v>
      </c>
      <c r="Q2108" t="s">
        <v>4542</v>
      </c>
    </row>
    <row r="2109" spans="1:17" x14ac:dyDescent="0.3">
      <c r="A2109" t="s">
        <v>17</v>
      </c>
      <c r="B2109" t="str">
        <f>"688686"</f>
        <v>688686</v>
      </c>
      <c r="C2109" t="s">
        <v>4543</v>
      </c>
      <c r="D2109" t="s">
        <v>3477</v>
      </c>
      <c r="F2109">
        <v>137105711</v>
      </c>
      <c r="G2109">
        <v>76441471</v>
      </c>
      <c r="H2109">
        <v>58183825</v>
      </c>
      <c r="I2109">
        <v>49915998</v>
      </c>
      <c r="J2109">
        <v>46463252</v>
      </c>
      <c r="P2109">
        <v>119</v>
      </c>
      <c r="Q2109" t="s">
        <v>4544</v>
      </c>
    </row>
    <row r="2110" spans="1:17" x14ac:dyDescent="0.3">
      <c r="A2110" t="s">
        <v>17</v>
      </c>
      <c r="B2110" t="str">
        <f>"688687"</f>
        <v>688687</v>
      </c>
      <c r="C2110" t="s">
        <v>4545</v>
      </c>
      <c r="D2110" t="s">
        <v>1379</v>
      </c>
      <c r="F2110">
        <v>77399382</v>
      </c>
      <c r="G2110">
        <v>56424165</v>
      </c>
      <c r="H2110">
        <v>35381787</v>
      </c>
      <c r="I2110">
        <v>53221925</v>
      </c>
      <c r="J2110">
        <v>43491366</v>
      </c>
      <c r="P2110">
        <v>41</v>
      </c>
      <c r="Q2110" t="s">
        <v>4546</v>
      </c>
    </row>
    <row r="2111" spans="1:17" x14ac:dyDescent="0.3">
      <c r="A2111" t="s">
        <v>17</v>
      </c>
      <c r="B2111" t="str">
        <f>"688688"</f>
        <v>688688</v>
      </c>
      <c r="C2111" t="s">
        <v>4547</v>
      </c>
      <c r="H2111">
        <v>10605456000</v>
      </c>
      <c r="I2111">
        <v>6903324000</v>
      </c>
      <c r="J2111">
        <v>4789332000</v>
      </c>
      <c r="P2111">
        <v>42</v>
      </c>
      <c r="Q2111" t="s">
        <v>4548</v>
      </c>
    </row>
    <row r="2112" spans="1:17" x14ac:dyDescent="0.3">
      <c r="A2112" t="s">
        <v>17</v>
      </c>
      <c r="B2112" t="str">
        <f>"688689"</f>
        <v>688689</v>
      </c>
      <c r="C2112" t="s">
        <v>4549</v>
      </c>
      <c r="D2112" t="s">
        <v>795</v>
      </c>
      <c r="F2112">
        <v>47515202</v>
      </c>
      <c r="G2112">
        <v>35356638</v>
      </c>
      <c r="H2112">
        <v>32218540</v>
      </c>
      <c r="I2112">
        <v>34543339</v>
      </c>
      <c r="J2112">
        <v>34986156</v>
      </c>
      <c r="P2112">
        <v>46</v>
      </c>
      <c r="Q2112" t="s">
        <v>4550</v>
      </c>
    </row>
    <row r="2113" spans="1:17" x14ac:dyDescent="0.3">
      <c r="A2113" t="s">
        <v>17</v>
      </c>
      <c r="B2113" t="str">
        <f>"688690"</f>
        <v>688690</v>
      </c>
      <c r="C2113" t="s">
        <v>4551</v>
      </c>
      <c r="D2113" t="s">
        <v>496</v>
      </c>
      <c r="F2113">
        <v>66096566</v>
      </c>
      <c r="G2113">
        <v>33273114</v>
      </c>
      <c r="H2113">
        <v>29386515</v>
      </c>
      <c r="I2113">
        <v>26111837</v>
      </c>
      <c r="J2113">
        <v>14659553</v>
      </c>
      <c r="P2113">
        <v>116</v>
      </c>
      <c r="Q2113" t="s">
        <v>4552</v>
      </c>
    </row>
    <row r="2114" spans="1:17" x14ac:dyDescent="0.3">
      <c r="A2114" t="s">
        <v>17</v>
      </c>
      <c r="B2114" t="str">
        <f>"688696"</f>
        <v>688696</v>
      </c>
      <c r="C2114" t="s">
        <v>4553</v>
      </c>
      <c r="D2114" t="s">
        <v>137</v>
      </c>
      <c r="F2114">
        <v>262879043</v>
      </c>
      <c r="G2114">
        <v>139069884</v>
      </c>
      <c r="H2114">
        <v>81060896</v>
      </c>
      <c r="I2114">
        <v>63001709</v>
      </c>
      <c r="J2114">
        <v>33050784</v>
      </c>
      <c r="P2114">
        <v>152</v>
      </c>
      <c r="Q2114" t="s">
        <v>4554</v>
      </c>
    </row>
    <row r="2115" spans="1:17" x14ac:dyDescent="0.3">
      <c r="A2115" t="s">
        <v>17</v>
      </c>
      <c r="B2115" t="str">
        <f>"688697"</f>
        <v>688697</v>
      </c>
      <c r="C2115" t="s">
        <v>4555</v>
      </c>
      <c r="D2115" t="s">
        <v>2321</v>
      </c>
      <c r="F2115">
        <v>73689023</v>
      </c>
      <c r="G2115">
        <v>49988890</v>
      </c>
      <c r="H2115">
        <v>39869133</v>
      </c>
      <c r="I2115">
        <v>31208748</v>
      </c>
      <c r="J2115">
        <v>29960642</v>
      </c>
      <c r="P2115">
        <v>16</v>
      </c>
      <c r="Q2115" t="s">
        <v>4556</v>
      </c>
    </row>
    <row r="2116" spans="1:17" x14ac:dyDescent="0.3">
      <c r="A2116" t="s">
        <v>17</v>
      </c>
      <c r="B2116" t="str">
        <f>"688698"</f>
        <v>688698</v>
      </c>
      <c r="C2116" t="s">
        <v>4557</v>
      </c>
      <c r="D2116" t="s">
        <v>2432</v>
      </c>
      <c r="F2116">
        <v>75970994</v>
      </c>
      <c r="G2116">
        <v>52723012</v>
      </c>
      <c r="H2116">
        <v>42954848</v>
      </c>
      <c r="I2116">
        <v>36735474</v>
      </c>
      <c r="J2116">
        <v>33838192</v>
      </c>
      <c r="P2116">
        <v>74</v>
      </c>
      <c r="Q2116" t="s">
        <v>4558</v>
      </c>
    </row>
    <row r="2117" spans="1:17" x14ac:dyDescent="0.3">
      <c r="A2117" t="s">
        <v>17</v>
      </c>
      <c r="B2117" t="str">
        <f>"688699"</f>
        <v>688699</v>
      </c>
      <c r="C2117" t="s">
        <v>4559</v>
      </c>
      <c r="D2117" t="s">
        <v>401</v>
      </c>
      <c r="F2117">
        <v>94795916</v>
      </c>
      <c r="G2117">
        <v>37413529</v>
      </c>
      <c r="H2117">
        <v>35940313</v>
      </c>
      <c r="I2117">
        <v>34876317</v>
      </c>
      <c r="J2117">
        <v>32794631</v>
      </c>
      <c r="P2117">
        <v>140</v>
      </c>
      <c r="Q2117" t="s">
        <v>4560</v>
      </c>
    </row>
    <row r="2118" spans="1:17" x14ac:dyDescent="0.3">
      <c r="A2118" t="s">
        <v>17</v>
      </c>
      <c r="B2118" t="str">
        <f>"688700"</f>
        <v>688700</v>
      </c>
      <c r="C2118" t="s">
        <v>4561</v>
      </c>
      <c r="D2118" t="s">
        <v>741</v>
      </c>
      <c r="F2118">
        <v>60368313</v>
      </c>
      <c r="G2118">
        <v>41964253</v>
      </c>
      <c r="H2118">
        <v>35662070</v>
      </c>
      <c r="I2118">
        <v>29639947</v>
      </c>
      <c r="J2118">
        <v>27962699</v>
      </c>
      <c r="P2118">
        <v>34</v>
      </c>
      <c r="Q2118" t="s">
        <v>4562</v>
      </c>
    </row>
    <row r="2119" spans="1:17" x14ac:dyDescent="0.3">
      <c r="A2119" t="s">
        <v>17</v>
      </c>
      <c r="B2119" t="str">
        <f>"688701"</f>
        <v>688701</v>
      </c>
      <c r="C2119" t="s">
        <v>4563</v>
      </c>
      <c r="D2119" t="s">
        <v>3575</v>
      </c>
      <c r="F2119">
        <v>25272443</v>
      </c>
      <c r="G2119">
        <v>21385591</v>
      </c>
      <c r="H2119">
        <v>17141323</v>
      </c>
      <c r="I2119">
        <v>10306265</v>
      </c>
      <c r="J2119">
        <v>7088707</v>
      </c>
      <c r="P2119">
        <v>19</v>
      </c>
      <c r="Q2119" t="s">
        <v>4564</v>
      </c>
    </row>
    <row r="2120" spans="1:17" x14ac:dyDescent="0.3">
      <c r="A2120" t="s">
        <v>17</v>
      </c>
      <c r="B2120" t="str">
        <f>"688707"</f>
        <v>688707</v>
      </c>
      <c r="C2120" t="s">
        <v>4565</v>
      </c>
      <c r="D2120" t="s">
        <v>1790</v>
      </c>
      <c r="F2120">
        <v>149435386</v>
      </c>
      <c r="G2120">
        <v>64961043</v>
      </c>
      <c r="H2120">
        <v>66664405</v>
      </c>
      <c r="I2120">
        <v>56517837</v>
      </c>
      <c r="J2120">
        <v>51171815</v>
      </c>
      <c r="P2120">
        <v>31</v>
      </c>
      <c r="Q2120" t="s">
        <v>4566</v>
      </c>
    </row>
    <row r="2121" spans="1:17" x14ac:dyDescent="0.3">
      <c r="A2121" t="s">
        <v>17</v>
      </c>
      <c r="B2121" t="str">
        <f>"688711"</f>
        <v>688711</v>
      </c>
      <c r="C2121" t="s">
        <v>4567</v>
      </c>
      <c r="D2121" t="s">
        <v>795</v>
      </c>
      <c r="F2121">
        <v>37901236</v>
      </c>
      <c r="G2121">
        <v>23006291</v>
      </c>
      <c r="H2121">
        <v>24559566</v>
      </c>
      <c r="I2121">
        <v>22089615</v>
      </c>
      <c r="J2121">
        <v>17759218</v>
      </c>
      <c r="P2121">
        <v>38</v>
      </c>
      <c r="Q2121" t="s">
        <v>4568</v>
      </c>
    </row>
    <row r="2122" spans="1:17" x14ac:dyDescent="0.3">
      <c r="A2122" t="s">
        <v>17</v>
      </c>
      <c r="B2122" t="str">
        <f>"688718"</f>
        <v>688718</v>
      </c>
      <c r="C2122" t="s">
        <v>4569</v>
      </c>
      <c r="D2122" t="s">
        <v>324</v>
      </c>
      <c r="F2122">
        <v>23778862</v>
      </c>
      <c r="G2122">
        <v>21275422</v>
      </c>
      <c r="H2122">
        <v>23601916</v>
      </c>
      <c r="I2122">
        <v>20654569</v>
      </c>
      <c r="J2122">
        <v>17670335</v>
      </c>
      <c r="P2122">
        <v>20</v>
      </c>
      <c r="Q2122" t="s">
        <v>4570</v>
      </c>
    </row>
    <row r="2123" spans="1:17" x14ac:dyDescent="0.3">
      <c r="A2123" t="s">
        <v>17</v>
      </c>
      <c r="B2123" t="str">
        <f>"688722"</f>
        <v>688722</v>
      </c>
      <c r="C2123" t="s">
        <v>4571</v>
      </c>
      <c r="D2123" t="s">
        <v>146</v>
      </c>
      <c r="F2123">
        <v>22293565</v>
      </c>
      <c r="G2123">
        <v>19371548</v>
      </c>
      <c r="H2123">
        <v>13027235</v>
      </c>
      <c r="I2123">
        <v>10959240</v>
      </c>
      <c r="J2123">
        <v>8577507</v>
      </c>
      <c r="P2123">
        <v>13</v>
      </c>
      <c r="Q2123" t="s">
        <v>4572</v>
      </c>
    </row>
    <row r="2124" spans="1:17" x14ac:dyDescent="0.3">
      <c r="A2124" t="s">
        <v>17</v>
      </c>
      <c r="B2124" t="str">
        <f>"688728"</f>
        <v>688728</v>
      </c>
      <c r="C2124" t="s">
        <v>4573</v>
      </c>
      <c r="D2124" t="s">
        <v>461</v>
      </c>
      <c r="F2124">
        <v>520290957</v>
      </c>
      <c r="G2124">
        <v>595034434</v>
      </c>
      <c r="H2124">
        <v>357160254</v>
      </c>
      <c r="I2124">
        <v>215683829</v>
      </c>
      <c r="J2124">
        <v>249064140</v>
      </c>
      <c r="P2124">
        <v>58</v>
      </c>
      <c r="Q2124" t="s">
        <v>4574</v>
      </c>
    </row>
    <row r="2125" spans="1:17" x14ac:dyDescent="0.3">
      <c r="A2125" t="s">
        <v>17</v>
      </c>
      <c r="B2125" t="str">
        <f>"688733"</f>
        <v>688733</v>
      </c>
      <c r="C2125" t="s">
        <v>4575</v>
      </c>
      <c r="D2125" t="s">
        <v>1790</v>
      </c>
      <c r="F2125">
        <v>24252173</v>
      </c>
      <c r="G2125">
        <v>14628114</v>
      </c>
      <c r="H2125">
        <v>10826405</v>
      </c>
      <c r="I2125">
        <v>6966182</v>
      </c>
      <c r="J2125">
        <v>4478180</v>
      </c>
      <c r="P2125">
        <v>47</v>
      </c>
      <c r="Q2125" t="s">
        <v>4576</v>
      </c>
    </row>
    <row r="2126" spans="1:17" x14ac:dyDescent="0.3">
      <c r="A2126" t="s">
        <v>17</v>
      </c>
      <c r="B2126" t="str">
        <f>"688737"</f>
        <v>688737</v>
      </c>
      <c r="C2126" t="s">
        <v>4577</v>
      </c>
      <c r="D2126" t="s">
        <v>985</v>
      </c>
      <c r="F2126">
        <v>81154598</v>
      </c>
      <c r="G2126">
        <v>68831105</v>
      </c>
      <c r="H2126">
        <v>34538485</v>
      </c>
      <c r="I2126">
        <v>40990094</v>
      </c>
      <c r="J2126">
        <v>23435716</v>
      </c>
      <c r="P2126">
        <v>15</v>
      </c>
      <c r="Q2126" t="s">
        <v>4578</v>
      </c>
    </row>
    <row r="2127" spans="1:17" x14ac:dyDescent="0.3">
      <c r="A2127" t="s">
        <v>17</v>
      </c>
      <c r="B2127" t="str">
        <f>"688739"</f>
        <v>688739</v>
      </c>
      <c r="C2127" t="s">
        <v>4579</v>
      </c>
      <c r="D2127" t="s">
        <v>1499</v>
      </c>
      <c r="F2127">
        <v>237732767</v>
      </c>
      <c r="G2127">
        <v>222367875</v>
      </c>
      <c r="H2127">
        <v>153277151</v>
      </c>
      <c r="I2127">
        <v>74957107</v>
      </c>
      <c r="J2127">
        <v>51665930</v>
      </c>
      <c r="P2127">
        <v>36</v>
      </c>
      <c r="Q2127" t="s">
        <v>4580</v>
      </c>
    </row>
    <row r="2128" spans="1:17" x14ac:dyDescent="0.3">
      <c r="A2128" t="s">
        <v>17</v>
      </c>
      <c r="B2128" t="str">
        <f>"688766"</f>
        <v>688766</v>
      </c>
      <c r="C2128" t="s">
        <v>4581</v>
      </c>
      <c r="D2128" t="s">
        <v>461</v>
      </c>
      <c r="F2128">
        <v>91488724</v>
      </c>
      <c r="G2128">
        <v>45971457</v>
      </c>
      <c r="H2128">
        <v>31141110</v>
      </c>
      <c r="I2128">
        <v>13457943</v>
      </c>
      <c r="J2128">
        <v>12909130</v>
      </c>
      <c r="P2128">
        <v>42</v>
      </c>
      <c r="Q2128" t="s">
        <v>4582</v>
      </c>
    </row>
    <row r="2129" spans="1:17" x14ac:dyDescent="0.3">
      <c r="A2129" t="s">
        <v>17</v>
      </c>
      <c r="B2129" t="str">
        <f>"688767"</f>
        <v>688767</v>
      </c>
      <c r="C2129" t="s">
        <v>4583</v>
      </c>
      <c r="D2129" t="s">
        <v>1305</v>
      </c>
      <c r="F2129">
        <v>61924538</v>
      </c>
      <c r="G2129">
        <v>41324148</v>
      </c>
      <c r="H2129">
        <v>16845402</v>
      </c>
      <c r="I2129">
        <v>9667052</v>
      </c>
      <c r="J2129">
        <v>10852234</v>
      </c>
      <c r="P2129">
        <v>43</v>
      </c>
      <c r="Q2129" t="s">
        <v>4584</v>
      </c>
    </row>
    <row r="2130" spans="1:17" x14ac:dyDescent="0.3">
      <c r="A2130" t="s">
        <v>17</v>
      </c>
      <c r="B2130" t="str">
        <f>"688768"</f>
        <v>688768</v>
      </c>
      <c r="C2130" t="s">
        <v>4585</v>
      </c>
      <c r="D2130" t="s">
        <v>2566</v>
      </c>
      <c r="F2130">
        <v>58687325</v>
      </c>
      <c r="G2130">
        <v>40131799</v>
      </c>
      <c r="H2130">
        <v>31003241</v>
      </c>
      <c r="I2130">
        <v>24567959</v>
      </c>
      <c r="J2130">
        <v>18356703</v>
      </c>
      <c r="P2130">
        <v>30</v>
      </c>
      <c r="Q2130" t="s">
        <v>4586</v>
      </c>
    </row>
    <row r="2131" spans="1:17" x14ac:dyDescent="0.3">
      <c r="A2131" t="s">
        <v>17</v>
      </c>
      <c r="B2131" t="str">
        <f>"688772"</f>
        <v>688772</v>
      </c>
      <c r="C2131" t="s">
        <v>4587</v>
      </c>
      <c r="D2131" t="s">
        <v>359</v>
      </c>
      <c r="F2131">
        <v>623366913</v>
      </c>
      <c r="G2131">
        <v>405775042</v>
      </c>
      <c r="H2131">
        <v>318864370</v>
      </c>
      <c r="I2131">
        <v>170378545</v>
      </c>
      <c r="J2131">
        <v>122084025</v>
      </c>
      <c r="P2131">
        <v>33</v>
      </c>
      <c r="Q2131" t="s">
        <v>4588</v>
      </c>
    </row>
    <row r="2132" spans="1:17" x14ac:dyDescent="0.3">
      <c r="A2132" t="s">
        <v>17</v>
      </c>
      <c r="B2132" t="str">
        <f>"688776"</f>
        <v>688776</v>
      </c>
      <c r="C2132" t="s">
        <v>4589</v>
      </c>
      <c r="D2132" t="s">
        <v>1136</v>
      </c>
      <c r="F2132">
        <v>25603212</v>
      </c>
      <c r="G2132">
        <v>23426319</v>
      </c>
      <c r="H2132">
        <v>20114715</v>
      </c>
      <c r="I2132">
        <v>16422866</v>
      </c>
      <c r="J2132">
        <v>19601795</v>
      </c>
      <c r="P2132">
        <v>23</v>
      </c>
      <c r="Q2132" t="s">
        <v>4590</v>
      </c>
    </row>
    <row r="2133" spans="1:17" x14ac:dyDescent="0.3">
      <c r="A2133" t="s">
        <v>17</v>
      </c>
      <c r="B2133" t="str">
        <f>"688777"</f>
        <v>688777</v>
      </c>
      <c r="C2133" t="s">
        <v>4591</v>
      </c>
      <c r="D2133" t="s">
        <v>2432</v>
      </c>
      <c r="F2133">
        <v>496671293</v>
      </c>
      <c r="G2133">
        <v>362027516</v>
      </c>
      <c r="H2133">
        <v>304346090</v>
      </c>
      <c r="I2133">
        <v>241743877</v>
      </c>
      <c r="J2133">
        <v>209917705</v>
      </c>
      <c r="K2133">
        <v>166335749</v>
      </c>
      <c r="P2133">
        <v>180</v>
      </c>
      <c r="Q2133" t="s">
        <v>4592</v>
      </c>
    </row>
    <row r="2134" spans="1:17" x14ac:dyDescent="0.3">
      <c r="A2134" t="s">
        <v>17</v>
      </c>
      <c r="B2134" t="str">
        <f>"688778"</f>
        <v>688778</v>
      </c>
      <c r="C2134" t="s">
        <v>4593</v>
      </c>
      <c r="D2134" t="s">
        <v>1790</v>
      </c>
      <c r="F2134">
        <v>451858021</v>
      </c>
      <c r="G2134">
        <v>261183954</v>
      </c>
      <c r="H2134">
        <v>245426488</v>
      </c>
      <c r="I2134">
        <v>332344810</v>
      </c>
      <c r="J2134">
        <v>172592412</v>
      </c>
      <c r="P2134">
        <v>44</v>
      </c>
      <c r="Q2134" t="s">
        <v>4594</v>
      </c>
    </row>
    <row r="2135" spans="1:17" x14ac:dyDescent="0.3">
      <c r="A2135" t="s">
        <v>17</v>
      </c>
      <c r="B2135" t="str">
        <f>"688779"</f>
        <v>688779</v>
      </c>
      <c r="C2135" t="s">
        <v>4595</v>
      </c>
      <c r="D2135" t="s">
        <v>1790</v>
      </c>
      <c r="F2135">
        <v>286548269</v>
      </c>
      <c r="G2135">
        <v>102210953</v>
      </c>
      <c r="H2135">
        <v>165235766</v>
      </c>
      <c r="I2135">
        <v>118189773</v>
      </c>
      <c r="J2135">
        <v>54562664</v>
      </c>
      <c r="P2135">
        <v>53</v>
      </c>
      <c r="Q2135" t="s">
        <v>4596</v>
      </c>
    </row>
    <row r="2136" spans="1:17" x14ac:dyDescent="0.3">
      <c r="A2136" t="s">
        <v>17</v>
      </c>
      <c r="B2136" t="str">
        <f>"688786"</f>
        <v>688786</v>
      </c>
      <c r="C2136" t="s">
        <v>4597</v>
      </c>
      <c r="D2136" t="s">
        <v>581</v>
      </c>
      <c r="F2136">
        <v>22450070</v>
      </c>
      <c r="G2136">
        <v>16444993</v>
      </c>
      <c r="H2136">
        <v>13386965</v>
      </c>
      <c r="I2136">
        <v>8980396</v>
      </c>
      <c r="J2136">
        <v>6802104</v>
      </c>
      <c r="P2136">
        <v>31</v>
      </c>
      <c r="Q2136" t="s">
        <v>4598</v>
      </c>
    </row>
    <row r="2137" spans="1:17" x14ac:dyDescent="0.3">
      <c r="A2137" t="s">
        <v>17</v>
      </c>
      <c r="B2137" t="str">
        <f>"688787"</f>
        <v>688787</v>
      </c>
      <c r="C2137" t="s">
        <v>4599</v>
      </c>
      <c r="D2137" t="s">
        <v>316</v>
      </c>
      <c r="F2137">
        <v>60520934</v>
      </c>
      <c r="G2137">
        <v>43497497</v>
      </c>
      <c r="H2137">
        <v>41696074</v>
      </c>
      <c r="I2137">
        <v>27345337</v>
      </c>
      <c r="J2137">
        <v>25279942</v>
      </c>
      <c r="K2137">
        <v>21749209</v>
      </c>
      <c r="P2137">
        <v>32</v>
      </c>
      <c r="Q2137" t="s">
        <v>4600</v>
      </c>
    </row>
    <row r="2138" spans="1:17" x14ac:dyDescent="0.3">
      <c r="A2138" t="s">
        <v>17</v>
      </c>
      <c r="B2138" t="str">
        <f>"688788"</f>
        <v>688788</v>
      </c>
      <c r="C2138" t="s">
        <v>4601</v>
      </c>
      <c r="D2138" t="s">
        <v>1136</v>
      </c>
      <c r="F2138">
        <v>198580686</v>
      </c>
      <c r="G2138">
        <v>181693333</v>
      </c>
      <c r="H2138">
        <v>117714492</v>
      </c>
      <c r="I2138">
        <v>56728499</v>
      </c>
      <c r="J2138">
        <v>43635191</v>
      </c>
      <c r="P2138">
        <v>59</v>
      </c>
      <c r="Q2138" t="s">
        <v>4602</v>
      </c>
    </row>
    <row r="2139" spans="1:17" x14ac:dyDescent="0.3">
      <c r="A2139" t="s">
        <v>17</v>
      </c>
      <c r="B2139" t="str">
        <f>"688789"</f>
        <v>688789</v>
      </c>
      <c r="C2139" t="s">
        <v>4603</v>
      </c>
      <c r="D2139" t="s">
        <v>534</v>
      </c>
      <c r="F2139">
        <v>55627022</v>
      </c>
      <c r="G2139">
        <v>46528539</v>
      </c>
      <c r="H2139">
        <v>37875916</v>
      </c>
      <c r="I2139">
        <v>31387367</v>
      </c>
      <c r="J2139">
        <v>22947085</v>
      </c>
      <c r="P2139">
        <v>43</v>
      </c>
      <c r="Q2139" t="s">
        <v>4604</v>
      </c>
    </row>
    <row r="2140" spans="1:17" x14ac:dyDescent="0.3">
      <c r="A2140" t="s">
        <v>17</v>
      </c>
      <c r="B2140" t="str">
        <f>"688793"</f>
        <v>688793</v>
      </c>
      <c r="C2140" t="s">
        <v>4605</v>
      </c>
      <c r="D2140" t="s">
        <v>3364</v>
      </c>
      <c r="F2140">
        <v>47204970</v>
      </c>
      <c r="G2140">
        <v>36891232</v>
      </c>
      <c r="H2140">
        <v>40656738</v>
      </c>
      <c r="I2140">
        <v>25577983</v>
      </c>
      <c r="J2140">
        <v>18661358</v>
      </c>
      <c r="P2140">
        <v>48</v>
      </c>
      <c r="Q2140" t="s">
        <v>4606</v>
      </c>
    </row>
    <row r="2141" spans="1:17" x14ac:dyDescent="0.3">
      <c r="A2141" t="s">
        <v>17</v>
      </c>
      <c r="B2141" t="str">
        <f>"688798"</f>
        <v>688798</v>
      </c>
      <c r="C2141" t="s">
        <v>4607</v>
      </c>
      <c r="D2141" t="s">
        <v>401</v>
      </c>
      <c r="F2141">
        <v>416725235</v>
      </c>
      <c r="G2141">
        <v>205378538</v>
      </c>
      <c r="H2141">
        <v>139470495</v>
      </c>
      <c r="I2141">
        <v>91371411</v>
      </c>
      <c r="J2141">
        <v>59836768</v>
      </c>
      <c r="P2141">
        <v>67</v>
      </c>
      <c r="Q2141" t="s">
        <v>4608</v>
      </c>
    </row>
    <row r="2142" spans="1:17" x14ac:dyDescent="0.3">
      <c r="A2142" t="s">
        <v>17</v>
      </c>
      <c r="B2142" t="str">
        <f>"688799"</f>
        <v>688799</v>
      </c>
      <c r="C2142" t="s">
        <v>4609</v>
      </c>
      <c r="D2142" t="s">
        <v>143</v>
      </c>
      <c r="F2142">
        <v>70058260</v>
      </c>
      <c r="G2142">
        <v>63658119</v>
      </c>
      <c r="H2142">
        <v>45426388</v>
      </c>
      <c r="I2142">
        <v>25615256</v>
      </c>
      <c r="J2142">
        <v>15196161</v>
      </c>
      <c r="P2142">
        <v>35</v>
      </c>
      <c r="Q2142" t="s">
        <v>4610</v>
      </c>
    </row>
    <row r="2143" spans="1:17" x14ac:dyDescent="0.3">
      <c r="A2143" t="s">
        <v>17</v>
      </c>
      <c r="B2143" t="str">
        <f>"688800"</f>
        <v>688800</v>
      </c>
      <c r="C2143" t="s">
        <v>4611</v>
      </c>
      <c r="D2143" t="s">
        <v>651</v>
      </c>
      <c r="F2143">
        <v>46289261</v>
      </c>
      <c r="G2143">
        <v>30665544</v>
      </c>
      <c r="H2143">
        <v>34453979</v>
      </c>
      <c r="I2143">
        <v>30585974</v>
      </c>
      <c r="J2143">
        <v>30598879</v>
      </c>
      <c r="P2143">
        <v>51</v>
      </c>
      <c r="Q2143" t="s">
        <v>4612</v>
      </c>
    </row>
    <row r="2144" spans="1:17" x14ac:dyDescent="0.3">
      <c r="A2144" t="s">
        <v>17</v>
      </c>
      <c r="B2144" t="str">
        <f>"688819"</f>
        <v>688819</v>
      </c>
      <c r="C2144" t="s">
        <v>4613</v>
      </c>
      <c r="D2144" t="s">
        <v>555</v>
      </c>
      <c r="F2144">
        <v>1429358844</v>
      </c>
      <c r="G2144">
        <v>1242389536</v>
      </c>
      <c r="H2144">
        <v>1140661321</v>
      </c>
      <c r="I2144">
        <v>1116572503</v>
      </c>
      <c r="J2144">
        <v>895197247</v>
      </c>
      <c r="K2144">
        <v>697409555</v>
      </c>
      <c r="P2144">
        <v>159</v>
      </c>
      <c r="Q2144" t="s">
        <v>4614</v>
      </c>
    </row>
    <row r="2145" spans="1:17" x14ac:dyDescent="0.3">
      <c r="A2145" t="s">
        <v>17</v>
      </c>
      <c r="B2145" t="str">
        <f>"688981"</f>
        <v>688981</v>
      </c>
      <c r="C2145" t="s">
        <v>4615</v>
      </c>
      <c r="D2145" t="s">
        <v>4332</v>
      </c>
      <c r="F2145">
        <v>4120592000</v>
      </c>
      <c r="G2145">
        <v>4671919000</v>
      </c>
      <c r="H2145">
        <v>4744456581</v>
      </c>
      <c r="I2145">
        <v>4470900053</v>
      </c>
      <c r="J2145">
        <v>3576077837</v>
      </c>
      <c r="P2145">
        <v>1041</v>
      </c>
      <c r="Q2145" t="s">
        <v>4616</v>
      </c>
    </row>
    <row r="2146" spans="1:17" x14ac:dyDescent="0.3">
      <c r="A2146" t="s">
        <v>17</v>
      </c>
      <c r="B2146" t="str">
        <f>"689009"</f>
        <v>689009</v>
      </c>
      <c r="C2146" t="s">
        <v>4617</v>
      </c>
      <c r="D2146" t="s">
        <v>233</v>
      </c>
      <c r="F2146">
        <v>503514474</v>
      </c>
      <c r="G2146">
        <v>462187797</v>
      </c>
      <c r="H2146">
        <v>317087120</v>
      </c>
      <c r="I2146">
        <v>123083820</v>
      </c>
      <c r="J2146">
        <v>91330279</v>
      </c>
      <c r="K2146">
        <v>71336670</v>
      </c>
      <c r="P2146">
        <v>114</v>
      </c>
      <c r="Q2146" t="s">
        <v>4618</v>
      </c>
    </row>
    <row r="2147" spans="1:17" x14ac:dyDescent="0.3">
      <c r="A2147" t="s">
        <v>17</v>
      </c>
      <c r="B2147" t="str">
        <f>"900901"</f>
        <v>900901</v>
      </c>
      <c r="C2147" t="s">
        <v>4619</v>
      </c>
      <c r="G2147">
        <v>45736565.440899998</v>
      </c>
      <c r="H2147">
        <v>47281023.313199997</v>
      </c>
      <c r="I2147">
        <v>43827682.526199996</v>
      </c>
      <c r="P2147">
        <v>7</v>
      </c>
      <c r="Q2147" t="s">
        <v>4620</v>
      </c>
    </row>
    <row r="2148" spans="1:17" x14ac:dyDescent="0.3">
      <c r="A2148" t="s">
        <v>17</v>
      </c>
      <c r="B2148" t="str">
        <f>"900902"</f>
        <v>900902</v>
      </c>
      <c r="C2148" t="s">
        <v>4621</v>
      </c>
      <c r="P2148">
        <v>10</v>
      </c>
      <c r="Q2148" t="s">
        <v>4622</v>
      </c>
    </row>
    <row r="2149" spans="1:17" x14ac:dyDescent="0.3">
      <c r="A2149" t="s">
        <v>17</v>
      </c>
      <c r="B2149" t="str">
        <f>"900903"</f>
        <v>900903</v>
      </c>
      <c r="C2149" t="s">
        <v>4623</v>
      </c>
      <c r="G2149">
        <v>795519.62690000003</v>
      </c>
      <c r="H2149">
        <v>891907.64159999997</v>
      </c>
      <c r="I2149">
        <v>954152.16780000005</v>
      </c>
      <c r="P2149">
        <v>32</v>
      </c>
      <c r="Q2149" t="s">
        <v>4624</v>
      </c>
    </row>
    <row r="2150" spans="1:17" x14ac:dyDescent="0.3">
      <c r="A2150" t="s">
        <v>17</v>
      </c>
      <c r="B2150" t="str">
        <f>"900904"</f>
        <v>900904</v>
      </c>
      <c r="C2150" t="s">
        <v>4625</v>
      </c>
      <c r="G2150">
        <v>6543117.3739999998</v>
      </c>
      <c r="H2150">
        <v>2866130.2064</v>
      </c>
      <c r="I2150">
        <v>3322097.3097999999</v>
      </c>
      <c r="P2150">
        <v>8</v>
      </c>
      <c r="Q2150" t="s">
        <v>4626</v>
      </c>
    </row>
    <row r="2151" spans="1:17" x14ac:dyDescent="0.3">
      <c r="A2151" t="s">
        <v>17</v>
      </c>
      <c r="B2151" t="str">
        <f>"900905"</f>
        <v>900905</v>
      </c>
      <c r="C2151" t="s">
        <v>4627</v>
      </c>
      <c r="G2151">
        <v>3059977.5787999998</v>
      </c>
      <c r="H2151">
        <v>3183094.6091999998</v>
      </c>
      <c r="I2151">
        <v>2958433.8802</v>
      </c>
      <c r="P2151">
        <v>473</v>
      </c>
      <c r="Q2151" t="s">
        <v>4628</v>
      </c>
    </row>
    <row r="2152" spans="1:17" x14ac:dyDescent="0.3">
      <c r="A2152" t="s">
        <v>17</v>
      </c>
      <c r="B2152" t="str">
        <f>"900906"</f>
        <v>900906</v>
      </c>
      <c r="C2152" t="s">
        <v>4629</v>
      </c>
      <c r="G2152">
        <v>1310464.236</v>
      </c>
      <c r="H2152">
        <v>403745.76</v>
      </c>
      <c r="P2152">
        <v>4</v>
      </c>
      <c r="Q2152" t="s">
        <v>4630</v>
      </c>
    </row>
    <row r="2153" spans="1:17" x14ac:dyDescent="0.3">
      <c r="A2153" t="s">
        <v>17</v>
      </c>
      <c r="B2153" t="str">
        <f>"900907"</f>
        <v>900907</v>
      </c>
      <c r="C2153" t="s">
        <v>4631</v>
      </c>
      <c r="G2153">
        <v>1752331.1683</v>
      </c>
      <c r="H2153">
        <v>9475591.3232000005</v>
      </c>
      <c r="I2153">
        <v>11019120.824999999</v>
      </c>
      <c r="P2153">
        <v>4</v>
      </c>
      <c r="Q2153" t="s">
        <v>4632</v>
      </c>
    </row>
    <row r="2154" spans="1:17" x14ac:dyDescent="0.3">
      <c r="A2154" t="s">
        <v>17</v>
      </c>
      <c r="B2154" t="str">
        <f>"900908"</f>
        <v>900908</v>
      </c>
      <c r="C2154" t="s">
        <v>4633</v>
      </c>
      <c r="G2154">
        <v>18487206.932700001</v>
      </c>
      <c r="H2154">
        <v>21353838.8268</v>
      </c>
      <c r="I2154">
        <v>20804339.3006</v>
      </c>
      <c r="P2154">
        <v>50</v>
      </c>
      <c r="Q2154" t="s">
        <v>4634</v>
      </c>
    </row>
    <row r="2155" spans="1:17" x14ac:dyDescent="0.3">
      <c r="A2155" t="s">
        <v>17</v>
      </c>
      <c r="B2155" t="str">
        <f>"900909"</f>
        <v>900909</v>
      </c>
      <c r="C2155" t="s">
        <v>4635</v>
      </c>
      <c r="G2155">
        <v>76600012.504299998</v>
      </c>
      <c r="H2155">
        <v>59260392.357199997</v>
      </c>
      <c r="I2155">
        <v>46612363.6972</v>
      </c>
      <c r="P2155">
        <v>24</v>
      </c>
      <c r="Q2155" t="s">
        <v>4636</v>
      </c>
    </row>
    <row r="2156" spans="1:17" x14ac:dyDescent="0.3">
      <c r="A2156" t="s">
        <v>17</v>
      </c>
      <c r="B2156" t="str">
        <f>"900910"</f>
        <v>900910</v>
      </c>
      <c r="C2156" t="s">
        <v>4637</v>
      </c>
      <c r="G2156">
        <v>75324830.874699995</v>
      </c>
      <c r="H2156">
        <v>78390371.507200003</v>
      </c>
      <c r="I2156">
        <v>66016263.268799998</v>
      </c>
      <c r="P2156">
        <v>13</v>
      </c>
      <c r="Q2156" t="s">
        <v>4638</v>
      </c>
    </row>
    <row r="2157" spans="1:17" x14ac:dyDescent="0.3">
      <c r="A2157" t="s">
        <v>17</v>
      </c>
      <c r="B2157" t="str">
        <f>"900911"</f>
        <v>900911</v>
      </c>
      <c r="C2157" t="s">
        <v>4639</v>
      </c>
      <c r="P2157">
        <v>73</v>
      </c>
      <c r="Q2157" t="s">
        <v>4640</v>
      </c>
    </row>
    <row r="2158" spans="1:17" x14ac:dyDescent="0.3">
      <c r="A2158" t="s">
        <v>17</v>
      </c>
      <c r="B2158" t="str">
        <f>"900912"</f>
        <v>900912</v>
      </c>
      <c r="C2158" t="s">
        <v>4641</v>
      </c>
      <c r="G2158">
        <v>1612029.2094000001</v>
      </c>
      <c r="H2158">
        <v>1009282.2608</v>
      </c>
      <c r="I2158">
        <v>928308.48100000003</v>
      </c>
      <c r="P2158">
        <v>18</v>
      </c>
      <c r="Q2158" t="s">
        <v>4642</v>
      </c>
    </row>
    <row r="2159" spans="1:17" x14ac:dyDescent="0.3">
      <c r="A2159" t="s">
        <v>17</v>
      </c>
      <c r="B2159" t="str">
        <f>"900913"</f>
        <v>900913</v>
      </c>
      <c r="C2159" t="s">
        <v>4643</v>
      </c>
      <c r="G2159">
        <v>2585902.4485999998</v>
      </c>
      <c r="H2159">
        <v>1300669.4931999999</v>
      </c>
      <c r="I2159">
        <v>588196.071</v>
      </c>
      <c r="P2159">
        <v>7</v>
      </c>
      <c r="Q2159" t="s">
        <v>4644</v>
      </c>
    </row>
    <row r="2160" spans="1:17" x14ac:dyDescent="0.3">
      <c r="A2160" t="s">
        <v>17</v>
      </c>
      <c r="B2160" t="str">
        <f>"900914"</f>
        <v>900914</v>
      </c>
      <c r="C2160" t="s">
        <v>4645</v>
      </c>
      <c r="P2160">
        <v>20</v>
      </c>
      <c r="Q2160" t="s">
        <v>4646</v>
      </c>
    </row>
    <row r="2161" spans="1:17" x14ac:dyDescent="0.3">
      <c r="A2161" t="s">
        <v>17</v>
      </c>
      <c r="B2161" t="str">
        <f>"900915"</f>
        <v>900915</v>
      </c>
      <c r="C2161" t="s">
        <v>4647</v>
      </c>
      <c r="G2161">
        <v>4190983.8862999999</v>
      </c>
      <c r="H2161">
        <v>4458021.6484000003</v>
      </c>
      <c r="I2161">
        <v>4422593.5597999999</v>
      </c>
      <c r="P2161">
        <v>6</v>
      </c>
      <c r="Q2161" t="s">
        <v>4648</v>
      </c>
    </row>
    <row r="2162" spans="1:17" x14ac:dyDescent="0.3">
      <c r="A2162" t="s">
        <v>17</v>
      </c>
      <c r="B2162" t="str">
        <f>"900916"</f>
        <v>900916</v>
      </c>
      <c r="C2162" t="s">
        <v>4649</v>
      </c>
      <c r="G2162">
        <v>2246496.5317000002</v>
      </c>
      <c r="H2162">
        <v>1060309.8027999999</v>
      </c>
      <c r="I2162">
        <v>946569.99399999995</v>
      </c>
      <c r="P2162">
        <v>7</v>
      </c>
      <c r="Q2162" t="s">
        <v>4650</v>
      </c>
    </row>
    <row r="2163" spans="1:17" x14ac:dyDescent="0.3">
      <c r="A2163" t="s">
        <v>17</v>
      </c>
      <c r="B2163" t="str">
        <f>"900917"</f>
        <v>900917</v>
      </c>
      <c r="C2163" t="s">
        <v>4651</v>
      </c>
      <c r="G2163">
        <v>3304471.0353999999</v>
      </c>
      <c r="H2163">
        <v>2863492.4180000001</v>
      </c>
      <c r="I2163">
        <v>2297434.7206000001</v>
      </c>
      <c r="P2163">
        <v>12</v>
      </c>
      <c r="Q2163" t="s">
        <v>4652</v>
      </c>
    </row>
    <row r="2164" spans="1:17" x14ac:dyDescent="0.3">
      <c r="A2164" t="s">
        <v>17</v>
      </c>
      <c r="B2164" t="str">
        <f>"900918"</f>
        <v>900918</v>
      </c>
      <c r="C2164" t="s">
        <v>4653</v>
      </c>
      <c r="G2164">
        <v>28178293.0275</v>
      </c>
      <c r="H2164">
        <v>25183174.218400002</v>
      </c>
      <c r="I2164">
        <v>20366654.621199999</v>
      </c>
      <c r="P2164">
        <v>10</v>
      </c>
      <c r="Q2164" t="s">
        <v>4654</v>
      </c>
    </row>
    <row r="2165" spans="1:17" x14ac:dyDescent="0.3">
      <c r="A2165" t="s">
        <v>17</v>
      </c>
      <c r="B2165" t="str">
        <f>"900919"</f>
        <v>900919</v>
      </c>
      <c r="C2165" t="s">
        <v>4655</v>
      </c>
      <c r="P2165">
        <v>5</v>
      </c>
      <c r="Q2165" t="s">
        <v>4656</v>
      </c>
    </row>
    <row r="2166" spans="1:17" x14ac:dyDescent="0.3">
      <c r="A2166" t="s">
        <v>17</v>
      </c>
      <c r="B2166" t="str">
        <f>"900920"</f>
        <v>900920</v>
      </c>
      <c r="C2166" t="s">
        <v>4657</v>
      </c>
      <c r="G2166">
        <v>36913740.400600001</v>
      </c>
      <c r="H2166">
        <v>30984213</v>
      </c>
      <c r="I2166">
        <v>26632433.672600001</v>
      </c>
      <c r="P2166">
        <v>12</v>
      </c>
      <c r="Q2166" t="s">
        <v>4658</v>
      </c>
    </row>
    <row r="2167" spans="1:17" x14ac:dyDescent="0.3">
      <c r="A2167" t="s">
        <v>17</v>
      </c>
      <c r="B2167" t="str">
        <f>"900921"</f>
        <v>900921</v>
      </c>
      <c r="C2167" t="s">
        <v>4659</v>
      </c>
      <c r="G2167">
        <v>6341711.9675000003</v>
      </c>
      <c r="H2167">
        <v>7001851.7067999998</v>
      </c>
      <c r="I2167">
        <v>5841875.9655999998</v>
      </c>
      <c r="P2167">
        <v>6</v>
      </c>
      <c r="Q2167" t="s">
        <v>4660</v>
      </c>
    </row>
    <row r="2168" spans="1:17" x14ac:dyDescent="0.3">
      <c r="A2168" t="s">
        <v>17</v>
      </c>
      <c r="B2168" t="str">
        <f>"900922"</f>
        <v>900922</v>
      </c>
      <c r="C2168" t="s">
        <v>4661</v>
      </c>
      <c r="P2168">
        <v>9</v>
      </c>
      <c r="Q2168" t="s">
        <v>4662</v>
      </c>
    </row>
    <row r="2169" spans="1:17" x14ac:dyDescent="0.3">
      <c r="A2169" t="s">
        <v>17</v>
      </c>
      <c r="B2169" t="str">
        <f>"900923"</f>
        <v>900923</v>
      </c>
      <c r="C2169" t="s">
        <v>4663</v>
      </c>
      <c r="G2169">
        <v>2663882.7259</v>
      </c>
      <c r="H2169">
        <v>2102944.1688000001</v>
      </c>
      <c r="I2169">
        <v>1208889.7690000001</v>
      </c>
      <c r="P2169">
        <v>26</v>
      </c>
      <c r="Q2169" t="s">
        <v>4664</v>
      </c>
    </row>
    <row r="2170" spans="1:17" x14ac:dyDescent="0.3">
      <c r="A2170" t="s">
        <v>17</v>
      </c>
      <c r="B2170" t="str">
        <f>"900924"</f>
        <v>900924</v>
      </c>
      <c r="C2170" t="s">
        <v>4665</v>
      </c>
      <c r="G2170">
        <v>18893529.170899998</v>
      </c>
      <c r="H2170">
        <v>14498438.872400001</v>
      </c>
      <c r="I2170">
        <v>14197969.473200001</v>
      </c>
      <c r="P2170">
        <v>11</v>
      </c>
      <c r="Q2170" t="s">
        <v>4666</v>
      </c>
    </row>
    <row r="2171" spans="1:17" x14ac:dyDescent="0.3">
      <c r="A2171" t="s">
        <v>17</v>
      </c>
      <c r="B2171" t="str">
        <f>"900925"</f>
        <v>900925</v>
      </c>
      <c r="C2171" t="s">
        <v>4667</v>
      </c>
      <c r="G2171">
        <v>120822644.93520001</v>
      </c>
      <c r="H2171">
        <v>104916637.09999999</v>
      </c>
      <c r="I2171">
        <v>101350031.117</v>
      </c>
      <c r="P2171">
        <v>83</v>
      </c>
      <c r="Q2171" t="s">
        <v>4668</v>
      </c>
    </row>
    <row r="2172" spans="1:17" x14ac:dyDescent="0.3">
      <c r="A2172" t="s">
        <v>17</v>
      </c>
      <c r="B2172" t="str">
        <f>"900926"</f>
        <v>900926</v>
      </c>
      <c r="C2172" t="s">
        <v>4669</v>
      </c>
      <c r="G2172">
        <v>145076544.5571</v>
      </c>
      <c r="H2172">
        <v>103931061.18880001</v>
      </c>
      <c r="I2172">
        <v>80146453.950399995</v>
      </c>
      <c r="P2172">
        <v>63</v>
      </c>
      <c r="Q2172" t="s">
        <v>4670</v>
      </c>
    </row>
    <row r="2173" spans="1:17" x14ac:dyDescent="0.3">
      <c r="A2173" t="s">
        <v>17</v>
      </c>
      <c r="B2173" t="str">
        <f>"900927"</f>
        <v>900927</v>
      </c>
      <c r="C2173" t="s">
        <v>4671</v>
      </c>
      <c r="P2173">
        <v>5</v>
      </c>
      <c r="Q2173" t="s">
        <v>4672</v>
      </c>
    </row>
    <row r="2174" spans="1:17" x14ac:dyDescent="0.3">
      <c r="A2174" t="s">
        <v>17</v>
      </c>
      <c r="B2174" t="str">
        <f>"900928"</f>
        <v>900928</v>
      </c>
      <c r="C2174" t="s">
        <v>4673</v>
      </c>
      <c r="P2174">
        <v>14</v>
      </c>
      <c r="Q2174" t="s">
        <v>4674</v>
      </c>
    </row>
    <row r="2175" spans="1:17" x14ac:dyDescent="0.3">
      <c r="A2175" t="s">
        <v>17</v>
      </c>
      <c r="B2175" t="str">
        <f>"900929"</f>
        <v>900929</v>
      </c>
      <c r="C2175" t="s">
        <v>4675</v>
      </c>
      <c r="F2175">
        <v>0</v>
      </c>
      <c r="G2175">
        <v>0</v>
      </c>
      <c r="P2175">
        <v>11</v>
      </c>
      <c r="Q2175" t="s">
        <v>4676</v>
      </c>
    </row>
    <row r="2176" spans="1:17" x14ac:dyDescent="0.3">
      <c r="A2176" t="s">
        <v>17</v>
      </c>
      <c r="B2176" t="str">
        <f>"900930"</f>
        <v>900930</v>
      </c>
      <c r="C2176" t="s">
        <v>4677</v>
      </c>
      <c r="H2176">
        <v>1219843.0844000001</v>
      </c>
      <c r="I2176">
        <v>1770040.8584</v>
      </c>
      <c r="P2176">
        <v>1</v>
      </c>
      <c r="Q2176" t="s">
        <v>4678</v>
      </c>
    </row>
    <row r="2177" spans="1:17" x14ac:dyDescent="0.3">
      <c r="A2177" t="s">
        <v>17</v>
      </c>
      <c r="B2177" t="str">
        <f>"900931"</f>
        <v>900931</v>
      </c>
      <c r="C2177" t="s">
        <v>4679</v>
      </c>
      <c r="P2177">
        <v>1</v>
      </c>
      <c r="Q2177" t="s">
        <v>4680</v>
      </c>
    </row>
    <row r="2178" spans="1:17" x14ac:dyDescent="0.3">
      <c r="A2178" t="s">
        <v>17</v>
      </c>
      <c r="B2178" t="str">
        <f>"900932"</f>
        <v>900932</v>
      </c>
      <c r="C2178" t="s">
        <v>4681</v>
      </c>
      <c r="P2178">
        <v>138</v>
      </c>
      <c r="Q2178" t="s">
        <v>4682</v>
      </c>
    </row>
    <row r="2179" spans="1:17" x14ac:dyDescent="0.3">
      <c r="A2179" t="s">
        <v>17</v>
      </c>
      <c r="B2179" t="str">
        <f>"900933"</f>
        <v>900933</v>
      </c>
      <c r="C2179" t="s">
        <v>4683</v>
      </c>
      <c r="G2179">
        <v>8559815.8646000009</v>
      </c>
      <c r="H2179">
        <v>5359545.7511999998</v>
      </c>
      <c r="I2179">
        <v>1566403.0693999999</v>
      </c>
      <c r="P2179">
        <v>142</v>
      </c>
      <c r="Q2179" t="s">
        <v>4684</v>
      </c>
    </row>
    <row r="2180" spans="1:17" x14ac:dyDescent="0.3">
      <c r="A2180" t="s">
        <v>17</v>
      </c>
      <c r="B2180" t="str">
        <f>"900934"</f>
        <v>900934</v>
      </c>
      <c r="C2180" t="s">
        <v>4685</v>
      </c>
      <c r="G2180">
        <v>3961694.4238999998</v>
      </c>
      <c r="H2180">
        <v>3998715.4687999999</v>
      </c>
      <c r="I2180">
        <v>3684047.3457999998</v>
      </c>
      <c r="P2180">
        <v>47</v>
      </c>
      <c r="Q2180" t="s">
        <v>4686</v>
      </c>
    </row>
    <row r="2181" spans="1:17" x14ac:dyDescent="0.3">
      <c r="A2181" t="s">
        <v>17</v>
      </c>
      <c r="B2181" t="str">
        <f>"900935"</f>
        <v>900935</v>
      </c>
      <c r="C2181" t="s">
        <v>4687</v>
      </c>
      <c r="P2181">
        <v>1</v>
      </c>
      <c r="Q2181" t="s">
        <v>4688</v>
      </c>
    </row>
    <row r="2182" spans="1:17" x14ac:dyDescent="0.3">
      <c r="A2182" t="s">
        <v>17</v>
      </c>
      <c r="B2182" t="str">
        <f>"900936"</f>
        <v>900936</v>
      </c>
      <c r="C2182" t="s">
        <v>4689</v>
      </c>
      <c r="G2182">
        <v>81029409.687000006</v>
      </c>
      <c r="H2182">
        <v>37092124.550800003</v>
      </c>
      <c r="I2182">
        <v>5096695.0042000003</v>
      </c>
      <c r="P2182">
        <v>53</v>
      </c>
      <c r="Q2182" t="s">
        <v>4690</v>
      </c>
    </row>
    <row r="2183" spans="1:17" x14ac:dyDescent="0.3">
      <c r="A2183" t="s">
        <v>17</v>
      </c>
      <c r="B2183" t="str">
        <f>"900937"</f>
        <v>900937</v>
      </c>
      <c r="C2183" t="s">
        <v>4691</v>
      </c>
      <c r="G2183">
        <v>1607721.1231</v>
      </c>
      <c r="H2183">
        <v>1603705.5575999999</v>
      </c>
      <c r="I2183">
        <v>1554459.9134</v>
      </c>
      <c r="P2183">
        <v>10</v>
      </c>
      <c r="Q2183" t="s">
        <v>4692</v>
      </c>
    </row>
    <row r="2184" spans="1:17" x14ac:dyDescent="0.3">
      <c r="A2184" t="s">
        <v>17</v>
      </c>
      <c r="B2184" t="str">
        <f>"900938"</f>
        <v>900938</v>
      </c>
      <c r="C2184" t="s">
        <v>4693</v>
      </c>
      <c r="I2184">
        <v>10240812.800000001</v>
      </c>
      <c r="P2184">
        <v>12</v>
      </c>
      <c r="Q2184" t="s">
        <v>4694</v>
      </c>
    </row>
    <row r="2185" spans="1:17" x14ac:dyDescent="0.3">
      <c r="A2185" t="s">
        <v>17</v>
      </c>
      <c r="B2185" t="str">
        <f>"900939"</f>
        <v>900939</v>
      </c>
      <c r="C2185" t="s">
        <v>4695</v>
      </c>
      <c r="F2185">
        <v>0</v>
      </c>
      <c r="G2185">
        <v>0</v>
      </c>
      <c r="P2185">
        <v>7</v>
      </c>
      <c r="Q2185" t="s">
        <v>4696</v>
      </c>
    </row>
    <row r="2186" spans="1:17" x14ac:dyDescent="0.3">
      <c r="A2186" t="s">
        <v>17</v>
      </c>
      <c r="B2186" t="str">
        <f>"900940"</f>
        <v>900940</v>
      </c>
      <c r="C2186" t="s">
        <v>4697</v>
      </c>
      <c r="P2186">
        <v>15</v>
      </c>
      <c r="Q2186" t="s">
        <v>4698</v>
      </c>
    </row>
    <row r="2187" spans="1:17" x14ac:dyDescent="0.3">
      <c r="A2187" t="s">
        <v>17</v>
      </c>
      <c r="B2187" t="str">
        <f>"900941"</f>
        <v>900941</v>
      </c>
      <c r="C2187" t="s">
        <v>4699</v>
      </c>
      <c r="G2187">
        <v>27032774.6435</v>
      </c>
      <c r="H2187">
        <v>23997999.6204</v>
      </c>
      <c r="I2187">
        <v>21583936.005800001</v>
      </c>
      <c r="P2187">
        <v>8</v>
      </c>
      <c r="Q2187" t="s">
        <v>4700</v>
      </c>
    </row>
    <row r="2188" spans="1:17" x14ac:dyDescent="0.3">
      <c r="A2188" t="s">
        <v>17</v>
      </c>
      <c r="B2188" t="str">
        <f>"900942"</f>
        <v>900942</v>
      </c>
      <c r="C2188" t="s">
        <v>4701</v>
      </c>
      <c r="P2188">
        <v>55</v>
      </c>
      <c r="Q2188" t="s">
        <v>4702</v>
      </c>
    </row>
    <row r="2189" spans="1:17" x14ac:dyDescent="0.3">
      <c r="A2189" t="s">
        <v>17</v>
      </c>
      <c r="B2189" t="str">
        <f>"900943"</f>
        <v>900943</v>
      </c>
      <c r="C2189" t="s">
        <v>4703</v>
      </c>
      <c r="P2189">
        <v>3</v>
      </c>
      <c r="Q2189" t="s">
        <v>4704</v>
      </c>
    </row>
    <row r="2190" spans="1:17" x14ac:dyDescent="0.3">
      <c r="A2190" t="s">
        <v>17</v>
      </c>
      <c r="B2190" t="str">
        <f>"900945"</f>
        <v>900945</v>
      </c>
      <c r="C2190" t="s">
        <v>4705</v>
      </c>
      <c r="G2190">
        <v>18140783.670000002</v>
      </c>
      <c r="H2190">
        <v>4870624.8</v>
      </c>
      <c r="P2190">
        <v>7</v>
      </c>
      <c r="Q2190" t="s">
        <v>4706</v>
      </c>
    </row>
    <row r="2191" spans="1:17" x14ac:dyDescent="0.3">
      <c r="A2191" t="s">
        <v>17</v>
      </c>
      <c r="B2191" t="str">
        <f>"900946"</f>
        <v>900946</v>
      </c>
      <c r="C2191" t="s">
        <v>4707</v>
      </c>
      <c r="G2191">
        <v>5016698.0392000005</v>
      </c>
      <c r="H2191">
        <v>3825294.344</v>
      </c>
      <c r="I2191">
        <v>4917596.6639999999</v>
      </c>
      <c r="P2191">
        <v>3</v>
      </c>
      <c r="Q2191" t="s">
        <v>4708</v>
      </c>
    </row>
    <row r="2192" spans="1:17" x14ac:dyDescent="0.3">
      <c r="A2192" t="s">
        <v>17</v>
      </c>
      <c r="B2192" t="str">
        <f>"900947"</f>
        <v>900947</v>
      </c>
      <c r="C2192" t="s">
        <v>4709</v>
      </c>
      <c r="G2192">
        <v>112766252.82870001</v>
      </c>
      <c r="H2192">
        <v>127387011.1608</v>
      </c>
      <c r="I2192">
        <v>97798086.214200005</v>
      </c>
      <c r="P2192">
        <v>18</v>
      </c>
      <c r="Q2192" t="s">
        <v>4710</v>
      </c>
    </row>
    <row r="2193" spans="1:17" x14ac:dyDescent="0.3">
      <c r="A2193" t="s">
        <v>17</v>
      </c>
      <c r="B2193" t="str">
        <f>"900948"</f>
        <v>900948</v>
      </c>
      <c r="C2193" t="s">
        <v>4711</v>
      </c>
      <c r="F2193">
        <v>44529059.366999999</v>
      </c>
      <c r="G2193">
        <v>47546584.353200004</v>
      </c>
      <c r="H2193">
        <v>90359923.049999997</v>
      </c>
      <c r="I2193">
        <v>125537838.59559999</v>
      </c>
      <c r="P2193">
        <v>225</v>
      </c>
      <c r="Q2193" t="s">
        <v>4712</v>
      </c>
    </row>
    <row r="2194" spans="1:17" x14ac:dyDescent="0.3">
      <c r="A2194" t="s">
        <v>17</v>
      </c>
      <c r="B2194" t="str">
        <f>"900949"</f>
        <v>900949</v>
      </c>
      <c r="C2194" t="s">
        <v>4713</v>
      </c>
      <c r="P2194">
        <v>2</v>
      </c>
      <c r="Q2194" t="s">
        <v>4714</v>
      </c>
    </row>
    <row r="2195" spans="1:17" x14ac:dyDescent="0.3">
      <c r="A2195" t="s">
        <v>17</v>
      </c>
      <c r="B2195" t="str">
        <f>"900950"</f>
        <v>900950</v>
      </c>
      <c r="C2195" t="s">
        <v>4715</v>
      </c>
      <c r="P2195">
        <v>7</v>
      </c>
      <c r="Q2195" t="s">
        <v>4716</v>
      </c>
    </row>
    <row r="2196" spans="1:17" x14ac:dyDescent="0.3">
      <c r="A2196" t="s">
        <v>17</v>
      </c>
      <c r="B2196" t="str">
        <f>"900951"</f>
        <v>900951</v>
      </c>
      <c r="C2196" t="s">
        <v>4717</v>
      </c>
      <c r="H2196">
        <v>0</v>
      </c>
      <c r="I2196">
        <v>0</v>
      </c>
      <c r="P2196">
        <v>2</v>
      </c>
      <c r="Q2196" t="s">
        <v>4718</v>
      </c>
    </row>
    <row r="2197" spans="1:17" x14ac:dyDescent="0.3">
      <c r="A2197" t="s">
        <v>17</v>
      </c>
      <c r="B2197" t="str">
        <f>"900952"</f>
        <v>900952</v>
      </c>
      <c r="C2197" t="s">
        <v>4719</v>
      </c>
      <c r="P2197">
        <v>8</v>
      </c>
      <c r="Q2197" t="s">
        <v>4720</v>
      </c>
    </row>
    <row r="2198" spans="1:17" x14ac:dyDescent="0.3">
      <c r="A2198" t="s">
        <v>17</v>
      </c>
      <c r="B2198" t="str">
        <f>"900953"</f>
        <v>900953</v>
      </c>
      <c r="C2198" t="s">
        <v>4721</v>
      </c>
      <c r="F2198">
        <v>6607675.9453999996</v>
      </c>
      <c r="G2198">
        <v>7126614.5943999998</v>
      </c>
      <c r="H2198">
        <v>5409649.6579999998</v>
      </c>
      <c r="I2198">
        <v>2498352.0756000001</v>
      </c>
      <c r="P2198">
        <v>6</v>
      </c>
      <c r="Q2198" t="s">
        <v>4722</v>
      </c>
    </row>
    <row r="2199" spans="1:17" x14ac:dyDescent="0.3">
      <c r="A2199" t="s">
        <v>17</v>
      </c>
      <c r="B2199" t="str">
        <f>"900955"</f>
        <v>900955</v>
      </c>
      <c r="C2199" t="s">
        <v>4723</v>
      </c>
      <c r="P2199">
        <v>4</v>
      </c>
      <c r="Q2199" t="s">
        <v>4724</v>
      </c>
    </row>
    <row r="2200" spans="1:17" x14ac:dyDescent="0.3">
      <c r="A2200" t="s">
        <v>17</v>
      </c>
      <c r="B2200" t="str">
        <f>"900956"</f>
        <v>900956</v>
      </c>
      <c r="C2200" t="s">
        <v>4725</v>
      </c>
      <c r="H2200">
        <v>34301974.684</v>
      </c>
      <c r="I2200">
        <v>25728182.203200001</v>
      </c>
      <c r="P2200">
        <v>10</v>
      </c>
      <c r="Q2200" t="s">
        <v>4726</v>
      </c>
    </row>
    <row r="2201" spans="1:17" x14ac:dyDescent="0.3">
      <c r="A2201" t="s">
        <v>17</v>
      </c>
      <c r="B2201" t="str">
        <f>"900957"</f>
        <v>900957</v>
      </c>
      <c r="C2201" t="s">
        <v>4727</v>
      </c>
      <c r="F2201">
        <v>0</v>
      </c>
      <c r="G2201">
        <v>0</v>
      </c>
      <c r="P2201">
        <v>2</v>
      </c>
      <c r="Q2201" t="s">
        <v>4728</v>
      </c>
    </row>
    <row r="2202" spans="1:17" x14ac:dyDescent="0.3">
      <c r="A2202" t="s">
        <v>4729</v>
      </c>
      <c r="B2202" t="str">
        <f>"000001"</f>
        <v>000001</v>
      </c>
      <c r="C2202" t="s">
        <v>4730</v>
      </c>
      <c r="D2202" t="s">
        <v>19</v>
      </c>
      <c r="P2202">
        <v>6180</v>
      </c>
      <c r="Q2202" t="s">
        <v>4731</v>
      </c>
    </row>
    <row r="2203" spans="1:17" x14ac:dyDescent="0.3">
      <c r="A2203" t="s">
        <v>4729</v>
      </c>
      <c r="B2203" t="str">
        <f>"000002"</f>
        <v>000002</v>
      </c>
      <c r="C2203" t="s">
        <v>4732</v>
      </c>
      <c r="D2203" t="s">
        <v>104</v>
      </c>
      <c r="F2203">
        <v>642366252</v>
      </c>
      <c r="G2203">
        <v>665687473</v>
      </c>
      <c r="H2203">
        <v>1066676029</v>
      </c>
      <c r="I2203">
        <v>946064361</v>
      </c>
      <c r="P2203">
        <v>12436</v>
      </c>
      <c r="Q2203" t="s">
        <v>4733</v>
      </c>
    </row>
    <row r="2204" spans="1:17" x14ac:dyDescent="0.3">
      <c r="A2204" t="s">
        <v>4729</v>
      </c>
      <c r="B2204" t="str">
        <f>"000003"</f>
        <v>000003</v>
      </c>
      <c r="C2204" t="s">
        <v>4734</v>
      </c>
      <c r="P2204">
        <v>12</v>
      </c>
      <c r="Q2204" t="s">
        <v>4735</v>
      </c>
    </row>
    <row r="2205" spans="1:17" x14ac:dyDescent="0.3">
      <c r="A2205" t="s">
        <v>4729</v>
      </c>
      <c r="B2205" t="str">
        <f>"000004"</f>
        <v>000004</v>
      </c>
      <c r="C2205" t="s">
        <v>4736</v>
      </c>
      <c r="D2205" t="s">
        <v>1189</v>
      </c>
      <c r="F2205">
        <v>31762562</v>
      </c>
      <c r="G2205">
        <v>23308492</v>
      </c>
      <c r="H2205">
        <v>1017600</v>
      </c>
      <c r="I2205">
        <v>17465777</v>
      </c>
      <c r="P2205">
        <v>187</v>
      </c>
      <c r="Q2205" t="s">
        <v>4737</v>
      </c>
    </row>
    <row r="2206" spans="1:17" x14ac:dyDescent="0.3">
      <c r="A2206" t="s">
        <v>4729</v>
      </c>
      <c r="B2206" t="str">
        <f>"000005"</f>
        <v>000005</v>
      </c>
      <c r="C2206" t="s">
        <v>4738</v>
      </c>
      <c r="D2206" t="s">
        <v>3575</v>
      </c>
      <c r="F2206">
        <v>24989417</v>
      </c>
      <c r="G2206">
        <v>23819400</v>
      </c>
      <c r="H2206">
        <v>22311212</v>
      </c>
      <c r="I2206">
        <v>16128028</v>
      </c>
      <c r="P2206">
        <v>87</v>
      </c>
      <c r="Q2206" t="s">
        <v>4739</v>
      </c>
    </row>
    <row r="2207" spans="1:17" x14ac:dyDescent="0.3">
      <c r="A2207" t="s">
        <v>4729</v>
      </c>
      <c r="B2207" t="str">
        <f>"000006"</f>
        <v>000006</v>
      </c>
      <c r="C2207" t="s">
        <v>4740</v>
      </c>
      <c r="D2207" t="s">
        <v>104</v>
      </c>
      <c r="F2207">
        <v>0</v>
      </c>
      <c r="G2207">
        <v>0</v>
      </c>
      <c r="H2207">
        <v>0</v>
      </c>
      <c r="I2207">
        <v>0</v>
      </c>
      <c r="P2207">
        <v>424</v>
      </c>
      <c r="Q2207" t="s">
        <v>4741</v>
      </c>
    </row>
    <row r="2208" spans="1:17" x14ac:dyDescent="0.3">
      <c r="A2208" t="s">
        <v>4729</v>
      </c>
      <c r="B2208" t="str">
        <f>"000007"</f>
        <v>000007</v>
      </c>
      <c r="C2208" t="s">
        <v>4742</v>
      </c>
      <c r="D2208" t="s">
        <v>271</v>
      </c>
      <c r="F2208">
        <v>0</v>
      </c>
      <c r="G2208">
        <v>0</v>
      </c>
      <c r="H2208">
        <v>0</v>
      </c>
      <c r="I2208">
        <v>0</v>
      </c>
      <c r="P2208">
        <v>93</v>
      </c>
      <c r="Q2208" t="s">
        <v>4743</v>
      </c>
    </row>
    <row r="2209" spans="1:17" x14ac:dyDescent="0.3">
      <c r="A2209" t="s">
        <v>4729</v>
      </c>
      <c r="B2209" t="str">
        <f>"000008"</f>
        <v>000008</v>
      </c>
      <c r="C2209" t="s">
        <v>4744</v>
      </c>
      <c r="D2209" t="s">
        <v>1012</v>
      </c>
      <c r="F2209">
        <v>208737156</v>
      </c>
      <c r="G2209">
        <v>209629776</v>
      </c>
      <c r="H2209">
        <v>248262854</v>
      </c>
      <c r="I2209">
        <v>214315392</v>
      </c>
      <c r="P2209">
        <v>301</v>
      </c>
      <c r="Q2209" t="s">
        <v>4745</v>
      </c>
    </row>
    <row r="2210" spans="1:17" x14ac:dyDescent="0.3">
      <c r="A2210" t="s">
        <v>4729</v>
      </c>
      <c r="B2210" t="str">
        <f>"000009"</f>
        <v>000009</v>
      </c>
      <c r="C2210" t="s">
        <v>4746</v>
      </c>
      <c r="D2210" t="s">
        <v>1790</v>
      </c>
      <c r="F2210">
        <v>807125219</v>
      </c>
      <c r="G2210">
        <v>435825763</v>
      </c>
      <c r="H2210">
        <v>400788674</v>
      </c>
      <c r="I2210">
        <v>370862737</v>
      </c>
      <c r="P2210">
        <v>468</v>
      </c>
      <c r="Q2210" t="s">
        <v>4747</v>
      </c>
    </row>
    <row r="2211" spans="1:17" x14ac:dyDescent="0.3">
      <c r="A2211" t="s">
        <v>4729</v>
      </c>
      <c r="B2211" t="str">
        <f>"000010"</f>
        <v>000010</v>
      </c>
      <c r="C2211" t="s">
        <v>4748</v>
      </c>
      <c r="D2211" t="s">
        <v>2417</v>
      </c>
      <c r="F2211">
        <v>0</v>
      </c>
      <c r="G2211">
        <v>0</v>
      </c>
      <c r="H2211">
        <v>1690183</v>
      </c>
      <c r="I2211">
        <v>2055716</v>
      </c>
      <c r="P2211">
        <v>93</v>
      </c>
      <c r="Q2211" t="s">
        <v>4749</v>
      </c>
    </row>
    <row r="2212" spans="1:17" x14ac:dyDescent="0.3">
      <c r="A2212" t="s">
        <v>4729</v>
      </c>
      <c r="B2212" t="str">
        <f>"000011"</f>
        <v>000011</v>
      </c>
      <c r="C2212" t="s">
        <v>4750</v>
      </c>
      <c r="D2212" t="s">
        <v>104</v>
      </c>
      <c r="F2212">
        <v>2171798</v>
      </c>
      <c r="G2212">
        <v>0</v>
      </c>
      <c r="P2212">
        <v>479</v>
      </c>
      <c r="Q2212" t="s">
        <v>4751</v>
      </c>
    </row>
    <row r="2213" spans="1:17" x14ac:dyDescent="0.3">
      <c r="A2213" t="s">
        <v>4729</v>
      </c>
      <c r="B2213" t="str">
        <f>"000012"</f>
        <v>000012</v>
      </c>
      <c r="C2213" t="s">
        <v>4752</v>
      </c>
      <c r="D2213" t="s">
        <v>666</v>
      </c>
      <c r="F2213">
        <v>511738848</v>
      </c>
      <c r="G2213">
        <v>404842498</v>
      </c>
      <c r="H2213">
        <v>366871283</v>
      </c>
      <c r="I2213">
        <v>338791891</v>
      </c>
      <c r="P2213">
        <v>411</v>
      </c>
      <c r="Q2213" t="s">
        <v>4753</v>
      </c>
    </row>
    <row r="2214" spans="1:17" x14ac:dyDescent="0.3">
      <c r="A2214" t="s">
        <v>4729</v>
      </c>
      <c r="B2214" t="str">
        <f>"000014"</f>
        <v>000014</v>
      </c>
      <c r="C2214" t="s">
        <v>4754</v>
      </c>
      <c r="D2214" t="s">
        <v>104</v>
      </c>
      <c r="F2214">
        <v>0</v>
      </c>
      <c r="G2214">
        <v>0</v>
      </c>
      <c r="P2214">
        <v>96</v>
      </c>
      <c r="Q2214" t="s">
        <v>4755</v>
      </c>
    </row>
    <row r="2215" spans="1:17" x14ac:dyDescent="0.3">
      <c r="A2215" t="s">
        <v>4729</v>
      </c>
      <c r="B2215" t="str">
        <f>"000015"</f>
        <v>000015</v>
      </c>
      <c r="C2215" t="s">
        <v>4756</v>
      </c>
      <c r="P2215">
        <v>13</v>
      </c>
      <c r="Q2215" t="s">
        <v>4757</v>
      </c>
    </row>
    <row r="2216" spans="1:17" x14ac:dyDescent="0.3">
      <c r="A2216" t="s">
        <v>4729</v>
      </c>
      <c r="B2216" t="str">
        <f>"000016"</f>
        <v>000016</v>
      </c>
      <c r="C2216" t="s">
        <v>4758</v>
      </c>
      <c r="D2216" t="s">
        <v>137</v>
      </c>
      <c r="F2216">
        <v>616335488</v>
      </c>
      <c r="G2216">
        <v>681878612</v>
      </c>
      <c r="H2216">
        <v>500600102</v>
      </c>
      <c r="I2216">
        <v>396460145</v>
      </c>
      <c r="P2216">
        <v>266</v>
      </c>
      <c r="Q2216" t="s">
        <v>4759</v>
      </c>
    </row>
    <row r="2217" spans="1:17" x14ac:dyDescent="0.3">
      <c r="A2217" t="s">
        <v>4729</v>
      </c>
      <c r="B2217" t="str">
        <f>"000017"</f>
        <v>000017</v>
      </c>
      <c r="C2217" t="s">
        <v>4760</v>
      </c>
      <c r="D2217" t="s">
        <v>233</v>
      </c>
      <c r="F2217">
        <v>2037198</v>
      </c>
      <c r="G2217">
        <v>2506878</v>
      </c>
      <c r="H2217">
        <v>2753278</v>
      </c>
      <c r="P2217">
        <v>64</v>
      </c>
      <c r="Q2217" t="s">
        <v>4761</v>
      </c>
    </row>
    <row r="2218" spans="1:17" x14ac:dyDescent="0.3">
      <c r="A2218" t="s">
        <v>4729</v>
      </c>
      <c r="B2218" t="str">
        <f>"000018"</f>
        <v>000018</v>
      </c>
      <c r="C2218" t="s">
        <v>4762</v>
      </c>
      <c r="H2218">
        <v>0</v>
      </c>
      <c r="I2218">
        <v>0</v>
      </c>
      <c r="P2218">
        <v>99</v>
      </c>
      <c r="Q2218" t="s">
        <v>4763</v>
      </c>
    </row>
    <row r="2219" spans="1:17" x14ac:dyDescent="0.3">
      <c r="A2219" t="s">
        <v>4729</v>
      </c>
      <c r="B2219" t="str">
        <f>"000019"</f>
        <v>000019</v>
      </c>
      <c r="C2219" t="s">
        <v>4764</v>
      </c>
      <c r="D2219" t="s">
        <v>306</v>
      </c>
      <c r="F2219">
        <v>20689494</v>
      </c>
      <c r="G2219">
        <v>16617944</v>
      </c>
      <c r="H2219">
        <v>13599527</v>
      </c>
      <c r="I2219">
        <v>10979465</v>
      </c>
      <c r="P2219">
        <v>176</v>
      </c>
      <c r="Q2219" t="s">
        <v>4765</v>
      </c>
    </row>
    <row r="2220" spans="1:17" x14ac:dyDescent="0.3">
      <c r="A2220" t="s">
        <v>4729</v>
      </c>
      <c r="B2220" t="str">
        <f>"000020"</f>
        <v>000020</v>
      </c>
      <c r="C2220" t="s">
        <v>4766</v>
      </c>
      <c r="D2220" t="s">
        <v>1117</v>
      </c>
      <c r="F2220">
        <v>10794873</v>
      </c>
      <c r="G2220">
        <v>7285834</v>
      </c>
      <c r="H2220">
        <v>6649163</v>
      </c>
      <c r="P2220">
        <v>75</v>
      </c>
      <c r="Q2220" t="s">
        <v>4767</v>
      </c>
    </row>
    <row r="2221" spans="1:17" x14ac:dyDescent="0.3">
      <c r="A2221" t="s">
        <v>4729</v>
      </c>
      <c r="B2221" t="str">
        <f>"000021"</f>
        <v>000021</v>
      </c>
      <c r="C2221" t="s">
        <v>4768</v>
      </c>
      <c r="D2221" t="s">
        <v>313</v>
      </c>
      <c r="F2221">
        <v>310326547</v>
      </c>
      <c r="G2221">
        <v>255116920</v>
      </c>
      <c r="H2221">
        <v>208160094</v>
      </c>
      <c r="I2221">
        <v>199815961</v>
      </c>
      <c r="P2221">
        <v>442</v>
      </c>
      <c r="Q2221" t="s">
        <v>4769</v>
      </c>
    </row>
    <row r="2222" spans="1:17" x14ac:dyDescent="0.3">
      <c r="A2222" t="s">
        <v>4729</v>
      </c>
      <c r="B2222" t="str">
        <f>"000022"</f>
        <v>000022</v>
      </c>
      <c r="C2222" t="s">
        <v>4770</v>
      </c>
      <c r="P2222">
        <v>83</v>
      </c>
      <c r="Q2222" t="s">
        <v>4771</v>
      </c>
    </row>
    <row r="2223" spans="1:17" x14ac:dyDescent="0.3">
      <c r="A2223" t="s">
        <v>4729</v>
      </c>
      <c r="B2223" t="str">
        <f>"000023"</f>
        <v>000023</v>
      </c>
      <c r="C2223" t="s">
        <v>4772</v>
      </c>
      <c r="D2223" t="s">
        <v>3098</v>
      </c>
      <c r="F2223">
        <v>0</v>
      </c>
      <c r="G2223">
        <v>0</v>
      </c>
      <c r="P2223">
        <v>78</v>
      </c>
      <c r="Q2223" t="s">
        <v>4773</v>
      </c>
    </row>
    <row r="2224" spans="1:17" x14ac:dyDescent="0.3">
      <c r="A2224" t="s">
        <v>4729</v>
      </c>
      <c r="B2224" t="str">
        <f>"000024"</f>
        <v>000024</v>
      </c>
      <c r="C2224" t="s">
        <v>4774</v>
      </c>
      <c r="P2224">
        <v>36</v>
      </c>
      <c r="Q2224" t="s">
        <v>4775</v>
      </c>
    </row>
    <row r="2225" spans="1:17" x14ac:dyDescent="0.3">
      <c r="A2225" t="s">
        <v>4729</v>
      </c>
      <c r="B2225" t="str">
        <f>"000025"</f>
        <v>000025</v>
      </c>
      <c r="C2225" t="s">
        <v>4776</v>
      </c>
      <c r="D2225" t="s">
        <v>672</v>
      </c>
      <c r="F2225">
        <v>0</v>
      </c>
      <c r="G2225">
        <v>0</v>
      </c>
      <c r="P2225">
        <v>140</v>
      </c>
      <c r="Q2225" t="s">
        <v>4777</v>
      </c>
    </row>
    <row r="2226" spans="1:17" x14ac:dyDescent="0.3">
      <c r="A2226" t="s">
        <v>4729</v>
      </c>
      <c r="B2226" t="str">
        <f>"000026"</f>
        <v>000026</v>
      </c>
      <c r="C2226" t="s">
        <v>4778</v>
      </c>
      <c r="D2226" t="s">
        <v>1238</v>
      </c>
      <c r="F2226">
        <v>57802569</v>
      </c>
      <c r="G2226">
        <v>51489323</v>
      </c>
      <c r="H2226">
        <v>45057740</v>
      </c>
      <c r="I2226">
        <v>47350343</v>
      </c>
      <c r="P2226">
        <v>323</v>
      </c>
      <c r="Q2226" t="s">
        <v>4779</v>
      </c>
    </row>
    <row r="2227" spans="1:17" x14ac:dyDescent="0.3">
      <c r="A2227" t="s">
        <v>4729</v>
      </c>
      <c r="B2227" t="str">
        <f>"000027"</f>
        <v>000027</v>
      </c>
      <c r="C2227" t="s">
        <v>4780</v>
      </c>
      <c r="D2227" t="s">
        <v>41</v>
      </c>
      <c r="F2227">
        <v>244770831</v>
      </c>
      <c r="G2227">
        <v>246265836</v>
      </c>
      <c r="H2227">
        <v>186085052</v>
      </c>
      <c r="I2227">
        <v>155206318</v>
      </c>
      <c r="P2227">
        <v>509</v>
      </c>
      <c r="Q2227" t="s">
        <v>4781</v>
      </c>
    </row>
    <row r="2228" spans="1:17" x14ac:dyDescent="0.3">
      <c r="A2228" t="s">
        <v>4729</v>
      </c>
      <c r="B2228" t="str">
        <f>"000028"</f>
        <v>000028</v>
      </c>
      <c r="C2228" t="s">
        <v>4782</v>
      </c>
      <c r="D2228" t="s">
        <v>125</v>
      </c>
      <c r="F2228">
        <v>0</v>
      </c>
      <c r="G2228">
        <v>0</v>
      </c>
      <c r="P2228">
        <v>1098</v>
      </c>
      <c r="Q2228" t="s">
        <v>4783</v>
      </c>
    </row>
    <row r="2229" spans="1:17" x14ac:dyDescent="0.3">
      <c r="A2229" t="s">
        <v>4729</v>
      </c>
      <c r="B2229" t="str">
        <f>"000029"</f>
        <v>000029</v>
      </c>
      <c r="C2229" t="s">
        <v>4784</v>
      </c>
      <c r="D2229" t="s">
        <v>104</v>
      </c>
      <c r="F2229">
        <v>0</v>
      </c>
      <c r="G2229">
        <v>0</v>
      </c>
      <c r="P2229">
        <v>137</v>
      </c>
      <c r="Q2229" t="s">
        <v>4785</v>
      </c>
    </row>
    <row r="2230" spans="1:17" x14ac:dyDescent="0.3">
      <c r="A2230" t="s">
        <v>4729</v>
      </c>
      <c r="B2230" t="str">
        <f>"000030"</f>
        <v>000030</v>
      </c>
      <c r="C2230" t="s">
        <v>4786</v>
      </c>
      <c r="D2230" t="s">
        <v>348</v>
      </c>
      <c r="F2230">
        <v>380017696</v>
      </c>
      <c r="G2230">
        <v>242280517</v>
      </c>
      <c r="H2230">
        <v>213844137</v>
      </c>
      <c r="I2230">
        <v>213964695</v>
      </c>
      <c r="P2230">
        <v>330</v>
      </c>
      <c r="Q2230" t="s">
        <v>4787</v>
      </c>
    </row>
    <row r="2231" spans="1:17" x14ac:dyDescent="0.3">
      <c r="A2231" t="s">
        <v>4729</v>
      </c>
      <c r="B2231" t="str">
        <f>"000031"</f>
        <v>000031</v>
      </c>
      <c r="C2231" t="s">
        <v>4788</v>
      </c>
      <c r="D2231" t="s">
        <v>30</v>
      </c>
      <c r="F2231">
        <v>14542972</v>
      </c>
      <c r="G2231">
        <v>19034258</v>
      </c>
      <c r="P2231">
        <v>327</v>
      </c>
      <c r="Q2231" t="s">
        <v>4789</v>
      </c>
    </row>
    <row r="2232" spans="1:17" x14ac:dyDescent="0.3">
      <c r="A2232" t="s">
        <v>4729</v>
      </c>
      <c r="B2232" t="str">
        <f>"000032"</f>
        <v>000032</v>
      </c>
      <c r="C2232" t="s">
        <v>4790</v>
      </c>
      <c r="D2232" t="s">
        <v>786</v>
      </c>
      <c r="F2232">
        <v>1011260027</v>
      </c>
      <c r="G2232">
        <v>30393372</v>
      </c>
      <c r="H2232">
        <v>24391808</v>
      </c>
      <c r="I2232">
        <v>30226903</v>
      </c>
      <c r="P2232">
        <v>121</v>
      </c>
      <c r="Q2232" t="s">
        <v>4791</v>
      </c>
    </row>
    <row r="2233" spans="1:17" x14ac:dyDescent="0.3">
      <c r="A2233" t="s">
        <v>4729</v>
      </c>
      <c r="B2233" t="str">
        <f>"000033"</f>
        <v>000033</v>
      </c>
      <c r="C2233" t="s">
        <v>4792</v>
      </c>
      <c r="P2233">
        <v>7</v>
      </c>
      <c r="Q2233" t="s">
        <v>4793</v>
      </c>
    </row>
    <row r="2234" spans="1:17" x14ac:dyDescent="0.3">
      <c r="A2234" t="s">
        <v>4729</v>
      </c>
      <c r="B2234" t="str">
        <f>"000034"</f>
        <v>000034</v>
      </c>
      <c r="C2234" t="s">
        <v>4794</v>
      </c>
      <c r="D2234" t="s">
        <v>316</v>
      </c>
      <c r="F2234">
        <v>240321435</v>
      </c>
      <c r="G2234">
        <v>181767256</v>
      </c>
      <c r="H2234">
        <v>145505052</v>
      </c>
      <c r="I2234">
        <v>96764852</v>
      </c>
      <c r="P2234">
        <v>412</v>
      </c>
      <c r="Q2234" t="s">
        <v>4795</v>
      </c>
    </row>
    <row r="2235" spans="1:17" x14ac:dyDescent="0.3">
      <c r="A2235" t="s">
        <v>4729</v>
      </c>
      <c r="B2235" t="str">
        <f>"000035"</f>
        <v>000035</v>
      </c>
      <c r="C2235" t="s">
        <v>4796</v>
      </c>
      <c r="D2235" t="s">
        <v>499</v>
      </c>
      <c r="F2235">
        <v>56203563</v>
      </c>
      <c r="G2235">
        <v>41655223</v>
      </c>
      <c r="H2235">
        <v>53179775</v>
      </c>
      <c r="I2235">
        <v>22890932</v>
      </c>
      <c r="P2235">
        <v>198</v>
      </c>
      <c r="Q2235" t="s">
        <v>4797</v>
      </c>
    </row>
    <row r="2236" spans="1:17" x14ac:dyDescent="0.3">
      <c r="A2236" t="s">
        <v>4729</v>
      </c>
      <c r="B2236" t="str">
        <f>"000036"</f>
        <v>000036</v>
      </c>
      <c r="C2236" t="s">
        <v>4798</v>
      </c>
      <c r="D2236" t="s">
        <v>104</v>
      </c>
      <c r="F2236">
        <v>0</v>
      </c>
      <c r="G2236">
        <v>0</v>
      </c>
      <c r="P2236">
        <v>880</v>
      </c>
      <c r="Q2236" t="s">
        <v>4799</v>
      </c>
    </row>
    <row r="2237" spans="1:17" x14ac:dyDescent="0.3">
      <c r="A2237" t="s">
        <v>4729</v>
      </c>
      <c r="B2237" t="str">
        <f>"000037"</f>
        <v>000037</v>
      </c>
      <c r="C2237" t="s">
        <v>4800</v>
      </c>
      <c r="D2237" t="s">
        <v>351</v>
      </c>
      <c r="F2237">
        <v>20933713</v>
      </c>
      <c r="G2237">
        <v>8490883</v>
      </c>
      <c r="P2237">
        <v>112</v>
      </c>
      <c r="Q2237" t="s">
        <v>4801</v>
      </c>
    </row>
    <row r="2238" spans="1:17" x14ac:dyDescent="0.3">
      <c r="A2238" t="s">
        <v>4729</v>
      </c>
      <c r="B2238" t="str">
        <f>"000038"</f>
        <v>000038</v>
      </c>
      <c r="C2238" t="s">
        <v>4802</v>
      </c>
      <c r="D2238" t="s">
        <v>110</v>
      </c>
      <c r="F2238">
        <v>7660208</v>
      </c>
      <c r="G2238">
        <v>3636837</v>
      </c>
      <c r="H2238">
        <v>1994900</v>
      </c>
      <c r="I2238">
        <v>7720026</v>
      </c>
      <c r="P2238">
        <v>113</v>
      </c>
      <c r="Q2238" t="s">
        <v>4803</v>
      </c>
    </row>
    <row r="2239" spans="1:17" x14ac:dyDescent="0.3">
      <c r="A2239" t="s">
        <v>4729</v>
      </c>
      <c r="B2239" t="str">
        <f>"000039"</f>
        <v>000039</v>
      </c>
      <c r="C2239" t="s">
        <v>4804</v>
      </c>
      <c r="D2239" t="s">
        <v>274</v>
      </c>
      <c r="F2239">
        <v>2252355000</v>
      </c>
      <c r="G2239">
        <v>1608704000</v>
      </c>
      <c r="H2239">
        <v>1437046000</v>
      </c>
      <c r="I2239">
        <v>993416000</v>
      </c>
      <c r="P2239">
        <v>679</v>
      </c>
      <c r="Q2239" t="s">
        <v>4805</v>
      </c>
    </row>
    <row r="2240" spans="1:17" x14ac:dyDescent="0.3">
      <c r="A2240" t="s">
        <v>4729</v>
      </c>
      <c r="B2240" t="str">
        <f>"000040"</f>
        <v>000040</v>
      </c>
      <c r="C2240" t="s">
        <v>4806</v>
      </c>
      <c r="D2240" t="s">
        <v>86</v>
      </c>
      <c r="F2240">
        <v>36553365</v>
      </c>
      <c r="G2240">
        <v>26008249</v>
      </c>
      <c r="H2240">
        <v>35414974</v>
      </c>
      <c r="I2240">
        <v>51329255</v>
      </c>
      <c r="P2240">
        <v>219</v>
      </c>
      <c r="Q2240" t="s">
        <v>4807</v>
      </c>
    </row>
    <row r="2241" spans="1:17" x14ac:dyDescent="0.3">
      <c r="A2241" t="s">
        <v>4729</v>
      </c>
      <c r="B2241" t="str">
        <f>"000042"</f>
        <v>000042</v>
      </c>
      <c r="C2241" t="s">
        <v>4808</v>
      </c>
      <c r="D2241" t="s">
        <v>104</v>
      </c>
      <c r="F2241">
        <v>14689122</v>
      </c>
      <c r="G2241">
        <v>0</v>
      </c>
      <c r="P2241">
        <v>121</v>
      </c>
      <c r="Q2241" t="s">
        <v>4809</v>
      </c>
    </row>
    <row r="2242" spans="1:17" x14ac:dyDescent="0.3">
      <c r="A2242" t="s">
        <v>4729</v>
      </c>
      <c r="B2242" t="str">
        <f>"000043"</f>
        <v>000043</v>
      </c>
      <c r="C2242" t="s">
        <v>4810</v>
      </c>
      <c r="H2242">
        <v>17526847</v>
      </c>
      <c r="I2242">
        <v>14622697</v>
      </c>
      <c r="P2242">
        <v>73</v>
      </c>
      <c r="Q2242" t="s">
        <v>4811</v>
      </c>
    </row>
    <row r="2243" spans="1:17" x14ac:dyDescent="0.3">
      <c r="A2243" t="s">
        <v>4729</v>
      </c>
      <c r="B2243" t="str">
        <f>"000045"</f>
        <v>000045</v>
      </c>
      <c r="C2243" t="s">
        <v>4812</v>
      </c>
      <c r="D2243" t="s">
        <v>1117</v>
      </c>
      <c r="F2243">
        <v>103508765</v>
      </c>
      <c r="G2243">
        <v>67160964</v>
      </c>
      <c r="H2243">
        <v>53178714</v>
      </c>
      <c r="I2243">
        <v>41951786</v>
      </c>
      <c r="P2243">
        <v>86</v>
      </c>
      <c r="Q2243" t="s">
        <v>4813</v>
      </c>
    </row>
    <row r="2244" spans="1:17" x14ac:dyDescent="0.3">
      <c r="A2244" t="s">
        <v>4729</v>
      </c>
      <c r="B2244" t="str">
        <f>"000046"</f>
        <v>000046</v>
      </c>
      <c r="C2244" t="s">
        <v>4814</v>
      </c>
      <c r="D2244" t="s">
        <v>104</v>
      </c>
      <c r="F2244">
        <v>0</v>
      </c>
      <c r="G2244">
        <v>0</v>
      </c>
      <c r="P2244">
        <v>210</v>
      </c>
      <c r="Q2244" t="s">
        <v>4815</v>
      </c>
    </row>
    <row r="2245" spans="1:17" x14ac:dyDescent="0.3">
      <c r="A2245" t="s">
        <v>4729</v>
      </c>
      <c r="B2245" t="str">
        <f>"000047"</f>
        <v>000047</v>
      </c>
      <c r="C2245" t="s">
        <v>4816</v>
      </c>
      <c r="P2245">
        <v>6</v>
      </c>
      <c r="Q2245" t="s">
        <v>4817</v>
      </c>
    </row>
    <row r="2246" spans="1:17" x14ac:dyDescent="0.3">
      <c r="A2246" t="s">
        <v>4729</v>
      </c>
      <c r="B2246" t="str">
        <f>"000048"</f>
        <v>000048</v>
      </c>
      <c r="C2246" t="s">
        <v>4818</v>
      </c>
      <c r="D2246" t="s">
        <v>104</v>
      </c>
      <c r="F2246">
        <v>34629563</v>
      </c>
      <c r="G2246">
        <v>33527987</v>
      </c>
      <c r="H2246">
        <v>29754031</v>
      </c>
      <c r="I2246">
        <v>25201621</v>
      </c>
      <c r="J2246">
        <v>21972550</v>
      </c>
      <c r="P2246">
        <v>588</v>
      </c>
      <c r="Q2246" t="s">
        <v>4819</v>
      </c>
    </row>
    <row r="2247" spans="1:17" x14ac:dyDescent="0.3">
      <c r="A2247" t="s">
        <v>4729</v>
      </c>
      <c r="B2247" t="str">
        <f>"000049"</f>
        <v>000049</v>
      </c>
      <c r="C2247" t="s">
        <v>4820</v>
      </c>
      <c r="D2247" t="s">
        <v>359</v>
      </c>
      <c r="F2247">
        <v>407053959</v>
      </c>
      <c r="G2247">
        <v>350775103</v>
      </c>
      <c r="H2247">
        <v>296336111</v>
      </c>
      <c r="I2247">
        <v>306586937</v>
      </c>
      <c r="P2247">
        <v>41580</v>
      </c>
      <c r="Q2247" t="s">
        <v>4821</v>
      </c>
    </row>
    <row r="2248" spans="1:17" x14ac:dyDescent="0.3">
      <c r="A2248" t="s">
        <v>4729</v>
      </c>
      <c r="B2248" t="str">
        <f>"000050"</f>
        <v>000050</v>
      </c>
      <c r="C2248" t="s">
        <v>4822</v>
      </c>
      <c r="D2248" t="s">
        <v>1117</v>
      </c>
      <c r="F2248">
        <v>1998082218</v>
      </c>
      <c r="G2248">
        <v>2024136819</v>
      </c>
      <c r="H2248">
        <v>1856907234</v>
      </c>
      <c r="I2248">
        <v>1802626947</v>
      </c>
      <c r="P2248">
        <v>621</v>
      </c>
      <c r="Q2248" t="s">
        <v>4823</v>
      </c>
    </row>
    <row r="2249" spans="1:17" x14ac:dyDescent="0.3">
      <c r="A2249" t="s">
        <v>4729</v>
      </c>
      <c r="B2249" t="str">
        <f>"000055"</f>
        <v>000055</v>
      </c>
      <c r="C2249" t="s">
        <v>4824</v>
      </c>
      <c r="D2249" t="s">
        <v>722</v>
      </c>
      <c r="F2249">
        <v>152973582</v>
      </c>
      <c r="G2249">
        <v>141611939</v>
      </c>
      <c r="H2249">
        <v>59754971</v>
      </c>
      <c r="I2249">
        <v>19854245</v>
      </c>
      <c r="P2249">
        <v>318</v>
      </c>
      <c r="Q2249" t="s">
        <v>4825</v>
      </c>
    </row>
    <row r="2250" spans="1:17" x14ac:dyDescent="0.3">
      <c r="A2250" t="s">
        <v>4729</v>
      </c>
      <c r="B2250" t="str">
        <f>"000056"</f>
        <v>000056</v>
      </c>
      <c r="C2250" t="s">
        <v>4826</v>
      </c>
      <c r="D2250" t="s">
        <v>2975</v>
      </c>
      <c r="F2250">
        <v>0</v>
      </c>
      <c r="G2250">
        <v>0</v>
      </c>
      <c r="P2250">
        <v>100</v>
      </c>
      <c r="Q2250" t="s">
        <v>4827</v>
      </c>
    </row>
    <row r="2251" spans="1:17" x14ac:dyDescent="0.3">
      <c r="A2251" t="s">
        <v>4729</v>
      </c>
      <c r="B2251" t="str">
        <f>"000058"</f>
        <v>000058</v>
      </c>
      <c r="C2251" t="s">
        <v>4828</v>
      </c>
      <c r="D2251" t="s">
        <v>271</v>
      </c>
      <c r="F2251">
        <v>5046125</v>
      </c>
      <c r="G2251">
        <v>4245612</v>
      </c>
      <c r="H2251">
        <v>2862500</v>
      </c>
      <c r="P2251">
        <v>142</v>
      </c>
      <c r="Q2251" t="s">
        <v>4829</v>
      </c>
    </row>
    <row r="2252" spans="1:17" x14ac:dyDescent="0.3">
      <c r="A2252" t="s">
        <v>4729</v>
      </c>
      <c r="B2252" t="str">
        <f>"000059"</f>
        <v>000059</v>
      </c>
      <c r="C2252" t="s">
        <v>4830</v>
      </c>
      <c r="D2252" t="s">
        <v>74</v>
      </c>
      <c r="F2252">
        <v>110765357</v>
      </c>
      <c r="G2252">
        <v>112039286</v>
      </c>
      <c r="H2252">
        <v>100209483</v>
      </c>
      <c r="I2252">
        <v>89180247</v>
      </c>
      <c r="P2252">
        <v>387</v>
      </c>
      <c r="Q2252" t="s">
        <v>4831</v>
      </c>
    </row>
    <row r="2253" spans="1:17" x14ac:dyDescent="0.3">
      <c r="A2253" t="s">
        <v>4729</v>
      </c>
      <c r="B2253" t="str">
        <f>"000060"</f>
        <v>000060</v>
      </c>
      <c r="C2253" t="s">
        <v>4832</v>
      </c>
      <c r="D2253" t="s">
        <v>744</v>
      </c>
      <c r="F2253">
        <v>355243539</v>
      </c>
      <c r="G2253">
        <v>314374802</v>
      </c>
      <c r="H2253">
        <v>296244452</v>
      </c>
      <c r="I2253">
        <v>189332239</v>
      </c>
      <c r="P2253">
        <v>373</v>
      </c>
      <c r="Q2253" t="s">
        <v>4833</v>
      </c>
    </row>
    <row r="2254" spans="1:17" x14ac:dyDescent="0.3">
      <c r="A2254" t="s">
        <v>4729</v>
      </c>
      <c r="B2254" t="str">
        <f>"000061"</f>
        <v>000061</v>
      </c>
      <c r="C2254" t="s">
        <v>4834</v>
      </c>
      <c r="D2254" t="s">
        <v>271</v>
      </c>
      <c r="F2254">
        <v>9174115</v>
      </c>
      <c r="G2254">
        <v>7248094</v>
      </c>
      <c r="H2254">
        <v>9434160</v>
      </c>
      <c r="I2254">
        <v>7200731</v>
      </c>
      <c r="P2254">
        <v>211</v>
      </c>
      <c r="Q2254" t="s">
        <v>4835</v>
      </c>
    </row>
    <row r="2255" spans="1:17" x14ac:dyDescent="0.3">
      <c r="A2255" t="s">
        <v>4729</v>
      </c>
      <c r="B2255" t="str">
        <f>"000062"</f>
        <v>000062</v>
      </c>
      <c r="C2255" t="s">
        <v>4836</v>
      </c>
      <c r="D2255" t="s">
        <v>651</v>
      </c>
      <c r="F2255">
        <v>156675903</v>
      </c>
      <c r="G2255">
        <v>93087930</v>
      </c>
      <c r="H2255">
        <v>97125469</v>
      </c>
      <c r="I2255">
        <v>85968132</v>
      </c>
      <c r="P2255">
        <v>300</v>
      </c>
      <c r="Q2255" t="s">
        <v>4837</v>
      </c>
    </row>
    <row r="2256" spans="1:17" x14ac:dyDescent="0.3">
      <c r="A2256" t="s">
        <v>4729</v>
      </c>
      <c r="B2256" t="str">
        <f>"000063"</f>
        <v>000063</v>
      </c>
      <c r="C2256" t="s">
        <v>4838</v>
      </c>
      <c r="D2256" t="s">
        <v>1019</v>
      </c>
      <c r="F2256">
        <v>18804012000</v>
      </c>
      <c r="G2256">
        <v>14797025000</v>
      </c>
      <c r="H2256">
        <v>12547898000</v>
      </c>
      <c r="I2256">
        <v>10905584000</v>
      </c>
      <c r="J2256">
        <v>12962245000</v>
      </c>
      <c r="K2256">
        <v>12762055000</v>
      </c>
      <c r="L2256">
        <v>12200542000</v>
      </c>
      <c r="N2256">
        <v>7383892000</v>
      </c>
      <c r="O2256">
        <v>8829194000</v>
      </c>
      <c r="P2256">
        <v>3203</v>
      </c>
      <c r="Q2256" t="s">
        <v>4839</v>
      </c>
    </row>
    <row r="2257" spans="1:17" x14ac:dyDescent="0.3">
      <c r="A2257" t="s">
        <v>4729</v>
      </c>
      <c r="B2257" t="str">
        <f>"000065"</f>
        <v>000065</v>
      </c>
      <c r="C2257" t="s">
        <v>4840</v>
      </c>
      <c r="D2257" t="s">
        <v>1893</v>
      </c>
      <c r="F2257">
        <v>16076939</v>
      </c>
      <c r="G2257">
        <v>14941146</v>
      </c>
      <c r="H2257">
        <v>14812054</v>
      </c>
      <c r="I2257">
        <v>13373872</v>
      </c>
      <c r="P2257">
        <v>394</v>
      </c>
      <c r="Q2257" t="s">
        <v>4841</v>
      </c>
    </row>
    <row r="2258" spans="1:17" x14ac:dyDescent="0.3">
      <c r="A2258" t="s">
        <v>4729</v>
      </c>
      <c r="B2258" t="str">
        <f>"000066"</f>
        <v>000066</v>
      </c>
      <c r="C2258" t="s">
        <v>4842</v>
      </c>
      <c r="D2258" t="s">
        <v>236</v>
      </c>
      <c r="F2258">
        <v>1247009889</v>
      </c>
      <c r="G2258">
        <v>1002004702</v>
      </c>
      <c r="H2258">
        <v>849138655</v>
      </c>
      <c r="I2258">
        <v>644718338</v>
      </c>
      <c r="P2258">
        <v>712</v>
      </c>
      <c r="Q2258" t="s">
        <v>4843</v>
      </c>
    </row>
    <row r="2259" spans="1:17" x14ac:dyDescent="0.3">
      <c r="A2259" t="s">
        <v>4729</v>
      </c>
      <c r="B2259" t="str">
        <f>"000068"</f>
        <v>000068</v>
      </c>
      <c r="C2259" t="s">
        <v>4844</v>
      </c>
      <c r="D2259" t="s">
        <v>3575</v>
      </c>
      <c r="F2259">
        <v>22842478</v>
      </c>
      <c r="G2259">
        <v>9824043</v>
      </c>
      <c r="H2259">
        <v>14746067</v>
      </c>
      <c r="I2259">
        <v>20582560</v>
      </c>
      <c r="P2259">
        <v>144</v>
      </c>
      <c r="Q2259" t="s">
        <v>4845</v>
      </c>
    </row>
    <row r="2260" spans="1:17" x14ac:dyDescent="0.3">
      <c r="A2260" t="s">
        <v>4729</v>
      </c>
      <c r="B2260" t="str">
        <f>"000069"</f>
        <v>000069</v>
      </c>
      <c r="C2260" t="s">
        <v>4846</v>
      </c>
      <c r="D2260" t="s">
        <v>30</v>
      </c>
      <c r="F2260">
        <v>0</v>
      </c>
      <c r="G2260">
        <v>0</v>
      </c>
      <c r="H2260">
        <v>0</v>
      </c>
      <c r="P2260">
        <v>3953</v>
      </c>
      <c r="Q2260" t="s">
        <v>4847</v>
      </c>
    </row>
    <row r="2261" spans="1:17" x14ac:dyDescent="0.3">
      <c r="A2261" t="s">
        <v>4729</v>
      </c>
      <c r="B2261" t="str">
        <f>"000070"</f>
        <v>000070</v>
      </c>
      <c r="C2261" t="s">
        <v>4848</v>
      </c>
      <c r="D2261" t="s">
        <v>250</v>
      </c>
      <c r="F2261">
        <v>252564160</v>
      </c>
      <c r="G2261">
        <v>224230685</v>
      </c>
      <c r="H2261">
        <v>250827590</v>
      </c>
      <c r="I2261">
        <v>230212771</v>
      </c>
      <c r="P2261">
        <v>334</v>
      </c>
      <c r="Q2261" t="s">
        <v>4849</v>
      </c>
    </row>
    <row r="2262" spans="1:17" x14ac:dyDescent="0.3">
      <c r="A2262" t="s">
        <v>4729</v>
      </c>
      <c r="B2262" t="str">
        <f>"000078"</f>
        <v>000078</v>
      </c>
      <c r="C2262" t="s">
        <v>4850</v>
      </c>
      <c r="D2262" t="s">
        <v>125</v>
      </c>
      <c r="F2262">
        <v>39226809</v>
      </c>
      <c r="G2262">
        <v>38167122</v>
      </c>
      <c r="H2262">
        <v>42191100</v>
      </c>
      <c r="I2262">
        <v>44847511</v>
      </c>
      <c r="P2262">
        <v>291</v>
      </c>
      <c r="Q2262" t="s">
        <v>4851</v>
      </c>
    </row>
    <row r="2263" spans="1:17" x14ac:dyDescent="0.3">
      <c r="A2263" t="s">
        <v>4729</v>
      </c>
      <c r="B2263" t="str">
        <f>"000088"</f>
        <v>000088</v>
      </c>
      <c r="C2263" t="s">
        <v>4852</v>
      </c>
      <c r="D2263" t="s">
        <v>51</v>
      </c>
      <c r="F2263">
        <v>1553163</v>
      </c>
      <c r="G2263">
        <v>502505</v>
      </c>
      <c r="P2263">
        <v>170</v>
      </c>
      <c r="Q2263" t="s">
        <v>4853</v>
      </c>
    </row>
    <row r="2264" spans="1:17" x14ac:dyDescent="0.3">
      <c r="A2264" t="s">
        <v>4729</v>
      </c>
      <c r="B2264" t="str">
        <f>"000089"</f>
        <v>000089</v>
      </c>
      <c r="C2264" t="s">
        <v>4854</v>
      </c>
      <c r="D2264" t="s">
        <v>22</v>
      </c>
      <c r="F2264">
        <v>0</v>
      </c>
      <c r="G2264">
        <v>0</v>
      </c>
      <c r="P2264">
        <v>665</v>
      </c>
      <c r="Q2264" t="s">
        <v>4855</v>
      </c>
    </row>
    <row r="2265" spans="1:17" x14ac:dyDescent="0.3">
      <c r="A2265" t="s">
        <v>4729</v>
      </c>
      <c r="B2265" t="str">
        <f>"000090"</f>
        <v>000090</v>
      </c>
      <c r="C2265" t="s">
        <v>4856</v>
      </c>
      <c r="D2265" t="s">
        <v>104</v>
      </c>
      <c r="F2265">
        <v>416461503</v>
      </c>
      <c r="G2265">
        <v>142639375</v>
      </c>
      <c r="H2265">
        <v>113104554</v>
      </c>
      <c r="I2265">
        <v>18671585</v>
      </c>
      <c r="P2265">
        <v>424</v>
      </c>
      <c r="Q2265" t="s">
        <v>4857</v>
      </c>
    </row>
    <row r="2266" spans="1:17" x14ac:dyDescent="0.3">
      <c r="A2266" t="s">
        <v>4729</v>
      </c>
      <c r="B2266" t="str">
        <f>"000096"</f>
        <v>000096</v>
      </c>
      <c r="C2266" t="s">
        <v>4858</v>
      </c>
      <c r="D2266" t="s">
        <v>584</v>
      </c>
      <c r="F2266">
        <v>0</v>
      </c>
      <c r="G2266">
        <v>0</v>
      </c>
      <c r="P2266">
        <v>86</v>
      </c>
      <c r="Q2266" t="s">
        <v>4859</v>
      </c>
    </row>
    <row r="2267" spans="1:17" x14ac:dyDescent="0.3">
      <c r="A2267" t="s">
        <v>4729</v>
      </c>
      <c r="B2267" t="str">
        <f>"000099"</f>
        <v>000099</v>
      </c>
      <c r="C2267" t="s">
        <v>4860</v>
      </c>
      <c r="D2267" t="s">
        <v>77</v>
      </c>
      <c r="F2267">
        <v>50707578</v>
      </c>
      <c r="G2267">
        <v>22834568</v>
      </c>
      <c r="P2267">
        <v>166</v>
      </c>
      <c r="Q2267" t="s">
        <v>4861</v>
      </c>
    </row>
    <row r="2268" spans="1:17" x14ac:dyDescent="0.3">
      <c r="A2268" t="s">
        <v>4729</v>
      </c>
      <c r="B2268" t="str">
        <f>"000100"</f>
        <v>000100</v>
      </c>
      <c r="C2268" t="s">
        <v>4862</v>
      </c>
      <c r="D2268" t="s">
        <v>1117</v>
      </c>
      <c r="F2268">
        <v>7236340804</v>
      </c>
      <c r="G2268">
        <v>4402821000</v>
      </c>
      <c r="H2268">
        <v>3396804603</v>
      </c>
      <c r="I2268">
        <v>4677579000</v>
      </c>
      <c r="P2268">
        <v>2196</v>
      </c>
      <c r="Q2268" t="s">
        <v>4863</v>
      </c>
    </row>
    <row r="2269" spans="1:17" x14ac:dyDescent="0.3">
      <c r="A2269" t="s">
        <v>4729</v>
      </c>
      <c r="B2269" t="str">
        <f>"000150"</f>
        <v>000150</v>
      </c>
      <c r="C2269" t="s">
        <v>4864</v>
      </c>
      <c r="D2269" t="s">
        <v>1147</v>
      </c>
      <c r="F2269">
        <v>0</v>
      </c>
      <c r="G2269">
        <v>0</v>
      </c>
      <c r="I2269">
        <v>990672</v>
      </c>
      <c r="P2269">
        <v>184</v>
      </c>
      <c r="Q2269" t="s">
        <v>4865</v>
      </c>
    </row>
    <row r="2270" spans="1:17" x14ac:dyDescent="0.3">
      <c r="A2270" t="s">
        <v>4729</v>
      </c>
      <c r="B2270" t="str">
        <f>"000151"</f>
        <v>000151</v>
      </c>
      <c r="C2270" t="s">
        <v>4866</v>
      </c>
      <c r="D2270" t="s">
        <v>131</v>
      </c>
      <c r="F2270">
        <v>18556806</v>
      </c>
      <c r="G2270">
        <v>45149</v>
      </c>
      <c r="H2270">
        <v>660256</v>
      </c>
      <c r="I2270">
        <v>1169765</v>
      </c>
      <c r="P2270">
        <v>95</v>
      </c>
      <c r="Q2270" t="s">
        <v>4867</v>
      </c>
    </row>
    <row r="2271" spans="1:17" x14ac:dyDescent="0.3">
      <c r="A2271" t="s">
        <v>4729</v>
      </c>
      <c r="B2271" t="str">
        <f>"000153"</f>
        <v>000153</v>
      </c>
      <c r="C2271" t="s">
        <v>4868</v>
      </c>
      <c r="D2271" t="s">
        <v>143</v>
      </c>
      <c r="F2271">
        <v>70059996</v>
      </c>
      <c r="G2271">
        <v>75469902</v>
      </c>
      <c r="H2271">
        <v>77960213</v>
      </c>
      <c r="I2271">
        <v>72881509</v>
      </c>
      <c r="P2271">
        <v>118</v>
      </c>
      <c r="Q2271" t="s">
        <v>4869</v>
      </c>
    </row>
    <row r="2272" spans="1:17" x14ac:dyDescent="0.3">
      <c r="A2272" t="s">
        <v>4729</v>
      </c>
      <c r="B2272" t="str">
        <f>"000155"</f>
        <v>000155</v>
      </c>
      <c r="C2272" t="s">
        <v>4870</v>
      </c>
      <c r="D2272" t="s">
        <v>383</v>
      </c>
      <c r="F2272">
        <v>238652</v>
      </c>
      <c r="G2272">
        <v>0</v>
      </c>
      <c r="P2272">
        <v>309</v>
      </c>
      <c r="Q2272" t="s">
        <v>4871</v>
      </c>
    </row>
    <row r="2273" spans="1:17" x14ac:dyDescent="0.3">
      <c r="A2273" t="s">
        <v>4729</v>
      </c>
      <c r="B2273" t="str">
        <f>"000156"</f>
        <v>000156</v>
      </c>
      <c r="C2273" t="s">
        <v>4872</v>
      </c>
      <c r="D2273" t="s">
        <v>95</v>
      </c>
      <c r="F2273">
        <v>371631175</v>
      </c>
      <c r="G2273">
        <v>190637686</v>
      </c>
      <c r="H2273">
        <v>115349433</v>
      </c>
      <c r="I2273">
        <v>113600952</v>
      </c>
      <c r="P2273">
        <v>309</v>
      </c>
      <c r="Q2273" t="s">
        <v>4873</v>
      </c>
    </row>
    <row r="2274" spans="1:17" x14ac:dyDescent="0.3">
      <c r="A2274" t="s">
        <v>4729</v>
      </c>
      <c r="B2274" t="str">
        <f>"000157"</f>
        <v>000157</v>
      </c>
      <c r="C2274" t="s">
        <v>4874</v>
      </c>
      <c r="D2274" t="s">
        <v>83</v>
      </c>
      <c r="F2274">
        <v>3864940712</v>
      </c>
      <c r="G2274">
        <v>3344512409</v>
      </c>
      <c r="H2274">
        <v>1515648308</v>
      </c>
      <c r="I2274">
        <v>580853594</v>
      </c>
      <c r="P2274">
        <v>1683</v>
      </c>
      <c r="Q2274" t="s">
        <v>4875</v>
      </c>
    </row>
    <row r="2275" spans="1:17" x14ac:dyDescent="0.3">
      <c r="A2275" t="s">
        <v>4729</v>
      </c>
      <c r="B2275" t="str">
        <f>"000158"</f>
        <v>000158</v>
      </c>
      <c r="C2275" t="s">
        <v>4876</v>
      </c>
      <c r="D2275" t="s">
        <v>316</v>
      </c>
      <c r="F2275">
        <v>242024039</v>
      </c>
      <c r="G2275">
        <v>185743683</v>
      </c>
      <c r="H2275">
        <v>115315689</v>
      </c>
      <c r="I2275">
        <v>46048176</v>
      </c>
      <c r="P2275">
        <v>295</v>
      </c>
      <c r="Q2275" t="s">
        <v>4877</v>
      </c>
    </row>
    <row r="2276" spans="1:17" x14ac:dyDescent="0.3">
      <c r="A2276" t="s">
        <v>4729</v>
      </c>
      <c r="B2276" t="str">
        <f>"000159"</f>
        <v>000159</v>
      </c>
      <c r="C2276" t="s">
        <v>4878</v>
      </c>
      <c r="D2276" t="s">
        <v>584</v>
      </c>
      <c r="F2276">
        <v>18002851</v>
      </c>
      <c r="G2276">
        <v>6552959</v>
      </c>
      <c r="H2276">
        <v>6804178</v>
      </c>
      <c r="I2276">
        <v>7858347</v>
      </c>
      <c r="P2276">
        <v>100</v>
      </c>
      <c r="Q2276" t="s">
        <v>4879</v>
      </c>
    </row>
    <row r="2277" spans="1:17" x14ac:dyDescent="0.3">
      <c r="A2277" t="s">
        <v>4729</v>
      </c>
      <c r="B2277" t="str">
        <f>"000166"</f>
        <v>000166</v>
      </c>
      <c r="C2277" t="s">
        <v>4880</v>
      </c>
      <c r="D2277" t="s">
        <v>80</v>
      </c>
      <c r="P2277">
        <v>2819</v>
      </c>
      <c r="Q2277" t="s">
        <v>4881</v>
      </c>
    </row>
    <row r="2278" spans="1:17" x14ac:dyDescent="0.3">
      <c r="A2278" t="s">
        <v>4729</v>
      </c>
      <c r="B2278" t="str">
        <f>"000301"</f>
        <v>000301</v>
      </c>
      <c r="C2278" t="s">
        <v>4882</v>
      </c>
      <c r="D2278" t="s">
        <v>74</v>
      </c>
      <c r="F2278">
        <v>427210998</v>
      </c>
      <c r="G2278">
        <v>176470815</v>
      </c>
      <c r="H2278">
        <v>184645630</v>
      </c>
      <c r="I2278">
        <v>204820071</v>
      </c>
      <c r="P2278">
        <v>397</v>
      </c>
      <c r="Q2278" t="s">
        <v>4883</v>
      </c>
    </row>
    <row r="2279" spans="1:17" x14ac:dyDescent="0.3">
      <c r="A2279" t="s">
        <v>4729</v>
      </c>
      <c r="B2279" t="str">
        <f>"000333"</f>
        <v>000333</v>
      </c>
      <c r="C2279" t="s">
        <v>4884</v>
      </c>
      <c r="D2279" t="s">
        <v>1727</v>
      </c>
      <c r="F2279">
        <v>12014907000</v>
      </c>
      <c r="G2279">
        <v>10118667000</v>
      </c>
      <c r="H2279">
        <v>9638137000</v>
      </c>
      <c r="I2279">
        <v>8377201000</v>
      </c>
      <c r="J2279">
        <v>0</v>
      </c>
      <c r="P2279">
        <v>25064</v>
      </c>
      <c r="Q2279" t="s">
        <v>4885</v>
      </c>
    </row>
    <row r="2280" spans="1:17" x14ac:dyDescent="0.3">
      <c r="A2280" t="s">
        <v>4729</v>
      </c>
      <c r="B2280" t="str">
        <f>"000338"</f>
        <v>000338</v>
      </c>
      <c r="C2280" t="s">
        <v>4886</v>
      </c>
      <c r="D2280" t="s">
        <v>348</v>
      </c>
      <c r="F2280">
        <v>6887576041</v>
      </c>
      <c r="G2280">
        <v>6013083403</v>
      </c>
      <c r="H2280">
        <v>5227973550</v>
      </c>
      <c r="I2280">
        <v>4320202298</v>
      </c>
      <c r="P2280">
        <v>3423</v>
      </c>
      <c r="Q2280" t="s">
        <v>4887</v>
      </c>
    </row>
    <row r="2281" spans="1:17" x14ac:dyDescent="0.3">
      <c r="A2281" t="s">
        <v>4729</v>
      </c>
      <c r="B2281" t="str">
        <f>"000400"</f>
        <v>000400</v>
      </c>
      <c r="C2281" t="s">
        <v>4888</v>
      </c>
      <c r="D2281" t="s">
        <v>610</v>
      </c>
      <c r="F2281">
        <v>677421826</v>
      </c>
      <c r="G2281">
        <v>511964367</v>
      </c>
      <c r="H2281">
        <v>422518078</v>
      </c>
      <c r="I2281">
        <v>335026747</v>
      </c>
      <c r="P2281">
        <v>690</v>
      </c>
      <c r="Q2281" t="s">
        <v>4889</v>
      </c>
    </row>
    <row r="2282" spans="1:17" x14ac:dyDescent="0.3">
      <c r="A2282" t="s">
        <v>4729</v>
      </c>
      <c r="B2282" t="str">
        <f>"000401"</f>
        <v>000401</v>
      </c>
      <c r="C2282" t="s">
        <v>4890</v>
      </c>
      <c r="D2282" t="s">
        <v>731</v>
      </c>
      <c r="F2282">
        <v>99681247</v>
      </c>
      <c r="G2282">
        <v>97194368</v>
      </c>
      <c r="H2282">
        <v>71879142</v>
      </c>
      <c r="I2282">
        <v>44950850</v>
      </c>
      <c r="P2282">
        <v>826</v>
      </c>
      <c r="Q2282" t="s">
        <v>4891</v>
      </c>
    </row>
    <row r="2283" spans="1:17" x14ac:dyDescent="0.3">
      <c r="A2283" t="s">
        <v>4729</v>
      </c>
      <c r="B2283" t="str">
        <f>"000402"</f>
        <v>000402</v>
      </c>
      <c r="C2283" t="s">
        <v>4892</v>
      </c>
      <c r="D2283" t="s">
        <v>30</v>
      </c>
      <c r="F2283">
        <v>0</v>
      </c>
      <c r="G2283">
        <v>0</v>
      </c>
      <c r="P2283">
        <v>972</v>
      </c>
      <c r="Q2283" t="s">
        <v>4893</v>
      </c>
    </row>
    <row r="2284" spans="1:17" x14ac:dyDescent="0.3">
      <c r="A2284" t="s">
        <v>4729</v>
      </c>
      <c r="B2284" t="str">
        <f>"000403"</f>
        <v>000403</v>
      </c>
      <c r="C2284" t="s">
        <v>4894</v>
      </c>
      <c r="D2284" t="s">
        <v>378</v>
      </c>
      <c r="F2284">
        <v>35629799</v>
      </c>
      <c r="G2284">
        <v>10996254</v>
      </c>
      <c r="H2284">
        <v>14732484</v>
      </c>
      <c r="I2284">
        <v>28588409</v>
      </c>
      <c r="P2284">
        <v>294</v>
      </c>
      <c r="Q2284" t="s">
        <v>4895</v>
      </c>
    </row>
    <row r="2285" spans="1:17" x14ac:dyDescent="0.3">
      <c r="A2285" t="s">
        <v>4729</v>
      </c>
      <c r="B2285" t="str">
        <f>"000404"</f>
        <v>000404</v>
      </c>
      <c r="C2285" t="s">
        <v>4896</v>
      </c>
      <c r="D2285" t="s">
        <v>1253</v>
      </c>
      <c r="F2285">
        <v>434044530</v>
      </c>
      <c r="G2285">
        <v>378987182</v>
      </c>
      <c r="H2285">
        <v>317518379</v>
      </c>
      <c r="I2285">
        <v>295530410</v>
      </c>
      <c r="P2285">
        <v>113</v>
      </c>
      <c r="Q2285" t="s">
        <v>4897</v>
      </c>
    </row>
    <row r="2286" spans="1:17" x14ac:dyDescent="0.3">
      <c r="A2286" t="s">
        <v>4729</v>
      </c>
      <c r="B2286" t="str">
        <f>"000405"</f>
        <v>000405</v>
      </c>
      <c r="C2286" t="s">
        <v>4898</v>
      </c>
      <c r="P2286">
        <v>3</v>
      </c>
      <c r="Q2286" t="s">
        <v>4899</v>
      </c>
    </row>
    <row r="2287" spans="1:17" x14ac:dyDescent="0.3">
      <c r="A2287" t="s">
        <v>4729</v>
      </c>
      <c r="B2287" t="str">
        <f>"000407"</f>
        <v>000407</v>
      </c>
      <c r="C2287" t="s">
        <v>4900</v>
      </c>
      <c r="D2287" t="s">
        <v>749</v>
      </c>
      <c r="F2287">
        <v>25944174</v>
      </c>
      <c r="G2287">
        <v>28135940</v>
      </c>
      <c r="H2287">
        <v>19279557</v>
      </c>
      <c r="I2287">
        <v>17663319</v>
      </c>
      <c r="P2287">
        <v>113</v>
      </c>
      <c r="Q2287" t="s">
        <v>4901</v>
      </c>
    </row>
    <row r="2288" spans="1:17" x14ac:dyDescent="0.3">
      <c r="A2288" t="s">
        <v>4729</v>
      </c>
      <c r="B2288" t="str">
        <f>"000408"</f>
        <v>000408</v>
      </c>
      <c r="C2288" t="s">
        <v>4902</v>
      </c>
      <c r="D2288" t="s">
        <v>3458</v>
      </c>
      <c r="F2288">
        <v>17358067</v>
      </c>
      <c r="G2288">
        <v>5579210</v>
      </c>
      <c r="H2288">
        <v>1676916</v>
      </c>
      <c r="I2288">
        <v>107256</v>
      </c>
      <c r="P2288">
        <v>186</v>
      </c>
      <c r="Q2288" t="s">
        <v>4903</v>
      </c>
    </row>
    <row r="2289" spans="1:17" x14ac:dyDescent="0.3">
      <c r="A2289" t="s">
        <v>4729</v>
      </c>
      <c r="B2289" t="str">
        <f>"000409"</f>
        <v>000409</v>
      </c>
      <c r="C2289" t="s">
        <v>4904</v>
      </c>
      <c r="D2289" t="s">
        <v>110</v>
      </c>
      <c r="F2289">
        <v>32039267</v>
      </c>
      <c r="G2289">
        <v>11881876</v>
      </c>
      <c r="H2289">
        <v>9972259</v>
      </c>
      <c r="I2289">
        <v>902659</v>
      </c>
      <c r="P2289">
        <v>75</v>
      </c>
      <c r="Q2289" t="s">
        <v>4905</v>
      </c>
    </row>
    <row r="2290" spans="1:17" x14ac:dyDescent="0.3">
      <c r="A2290" t="s">
        <v>4729</v>
      </c>
      <c r="B2290" t="str">
        <f>"000410"</f>
        <v>000410</v>
      </c>
      <c r="C2290" t="s">
        <v>4906</v>
      </c>
      <c r="D2290" t="s">
        <v>2321</v>
      </c>
      <c r="F2290">
        <v>105528792</v>
      </c>
      <c r="G2290">
        <v>82845232</v>
      </c>
      <c r="H2290">
        <v>224564803</v>
      </c>
      <c r="I2290">
        <v>64490896</v>
      </c>
      <c r="P2290">
        <v>101</v>
      </c>
      <c r="Q2290" t="s">
        <v>4907</v>
      </c>
    </row>
    <row r="2291" spans="1:17" x14ac:dyDescent="0.3">
      <c r="A2291" t="s">
        <v>4729</v>
      </c>
      <c r="B2291" t="str">
        <f>"000411"</f>
        <v>000411</v>
      </c>
      <c r="C2291" t="s">
        <v>4908</v>
      </c>
      <c r="D2291" t="s">
        <v>125</v>
      </c>
      <c r="F2291">
        <v>8564101</v>
      </c>
      <c r="G2291">
        <v>2015715</v>
      </c>
      <c r="H2291">
        <v>1962519</v>
      </c>
      <c r="I2291">
        <v>2525221</v>
      </c>
      <c r="P2291">
        <v>236</v>
      </c>
      <c r="Q2291" t="s">
        <v>4909</v>
      </c>
    </row>
    <row r="2292" spans="1:17" x14ac:dyDescent="0.3">
      <c r="A2292" t="s">
        <v>4729</v>
      </c>
      <c r="B2292" t="str">
        <f>"000413"</f>
        <v>000413</v>
      </c>
      <c r="C2292" t="s">
        <v>4910</v>
      </c>
      <c r="D2292" t="s">
        <v>1117</v>
      </c>
      <c r="F2292">
        <v>162068135</v>
      </c>
      <c r="G2292">
        <v>246737389</v>
      </c>
      <c r="H2292">
        <v>483759366</v>
      </c>
      <c r="I2292">
        <v>572089634</v>
      </c>
      <c r="P2292">
        <v>525</v>
      </c>
      <c r="Q2292" t="s">
        <v>4911</v>
      </c>
    </row>
    <row r="2293" spans="1:17" x14ac:dyDescent="0.3">
      <c r="A2293" t="s">
        <v>4729</v>
      </c>
      <c r="B2293" t="str">
        <f>"000415"</f>
        <v>000415</v>
      </c>
      <c r="C2293" t="s">
        <v>4912</v>
      </c>
      <c r="D2293" t="s">
        <v>336</v>
      </c>
      <c r="F2293">
        <v>0</v>
      </c>
      <c r="G2293">
        <v>0</v>
      </c>
      <c r="P2293">
        <v>256</v>
      </c>
      <c r="Q2293" t="s">
        <v>4913</v>
      </c>
    </row>
    <row r="2294" spans="1:17" x14ac:dyDescent="0.3">
      <c r="A2294" t="s">
        <v>4729</v>
      </c>
      <c r="B2294" t="str">
        <f>"000416"</f>
        <v>000416</v>
      </c>
      <c r="C2294" t="s">
        <v>4914</v>
      </c>
      <c r="D2294" t="s">
        <v>140</v>
      </c>
      <c r="F2294">
        <v>0</v>
      </c>
      <c r="G2294">
        <v>0</v>
      </c>
      <c r="P2294">
        <v>119</v>
      </c>
      <c r="Q2294" t="s">
        <v>4915</v>
      </c>
    </row>
    <row r="2295" spans="1:17" x14ac:dyDescent="0.3">
      <c r="A2295" t="s">
        <v>4729</v>
      </c>
      <c r="B2295" t="str">
        <f>"000417"</f>
        <v>000417</v>
      </c>
      <c r="C2295" t="s">
        <v>4916</v>
      </c>
      <c r="D2295" t="s">
        <v>633</v>
      </c>
      <c r="F2295">
        <v>0</v>
      </c>
      <c r="G2295">
        <v>0</v>
      </c>
      <c r="P2295">
        <v>145</v>
      </c>
      <c r="Q2295" t="s">
        <v>4917</v>
      </c>
    </row>
    <row r="2296" spans="1:17" x14ac:dyDescent="0.3">
      <c r="A2296" t="s">
        <v>4729</v>
      </c>
      <c r="B2296" t="str">
        <f>"000418"</f>
        <v>000418</v>
      </c>
      <c r="C2296" t="s">
        <v>4918</v>
      </c>
      <c r="I2296">
        <v>733045216</v>
      </c>
      <c r="P2296">
        <v>653</v>
      </c>
      <c r="Q2296" t="s">
        <v>4919</v>
      </c>
    </row>
    <row r="2297" spans="1:17" x14ac:dyDescent="0.3">
      <c r="A2297" t="s">
        <v>4729</v>
      </c>
      <c r="B2297" t="str">
        <f>"000419"</f>
        <v>000419</v>
      </c>
      <c r="C2297" t="s">
        <v>4920</v>
      </c>
      <c r="D2297" t="s">
        <v>1404</v>
      </c>
      <c r="F2297">
        <v>0</v>
      </c>
      <c r="G2297">
        <v>0</v>
      </c>
      <c r="P2297">
        <v>115</v>
      </c>
      <c r="Q2297" t="s">
        <v>4921</v>
      </c>
    </row>
    <row r="2298" spans="1:17" x14ac:dyDescent="0.3">
      <c r="A2298" t="s">
        <v>4729</v>
      </c>
      <c r="B2298" t="str">
        <f>"000420"</f>
        <v>000420</v>
      </c>
      <c r="C2298" t="s">
        <v>4922</v>
      </c>
      <c r="D2298" t="s">
        <v>888</v>
      </c>
      <c r="G2298">
        <v>5510845</v>
      </c>
      <c r="H2298">
        <v>5579334</v>
      </c>
      <c r="I2298">
        <v>5890102</v>
      </c>
      <c r="P2298">
        <v>101</v>
      </c>
      <c r="Q2298" t="s">
        <v>4923</v>
      </c>
    </row>
    <row r="2299" spans="1:17" x14ac:dyDescent="0.3">
      <c r="A2299" t="s">
        <v>4729</v>
      </c>
      <c r="B2299" t="str">
        <f>"000421"</f>
        <v>000421</v>
      </c>
      <c r="C2299" t="s">
        <v>4924</v>
      </c>
      <c r="D2299" t="s">
        <v>749</v>
      </c>
      <c r="F2299">
        <v>8225029</v>
      </c>
      <c r="G2299">
        <v>5338679</v>
      </c>
      <c r="H2299">
        <v>3498717</v>
      </c>
      <c r="I2299">
        <v>2386000</v>
      </c>
      <c r="P2299">
        <v>159</v>
      </c>
      <c r="Q2299" t="s">
        <v>4925</v>
      </c>
    </row>
    <row r="2300" spans="1:17" x14ac:dyDescent="0.3">
      <c r="A2300" t="s">
        <v>4729</v>
      </c>
      <c r="B2300" t="str">
        <f>"000422"</f>
        <v>000422</v>
      </c>
      <c r="C2300" t="s">
        <v>4926</v>
      </c>
      <c r="D2300" t="s">
        <v>175</v>
      </c>
      <c r="F2300">
        <v>710640311</v>
      </c>
      <c r="G2300">
        <v>326179772</v>
      </c>
      <c r="H2300">
        <v>484127059</v>
      </c>
      <c r="I2300">
        <v>131004070</v>
      </c>
      <c r="P2300">
        <v>257</v>
      </c>
      <c r="Q2300" t="s">
        <v>4927</v>
      </c>
    </row>
    <row r="2301" spans="1:17" x14ac:dyDescent="0.3">
      <c r="A2301" t="s">
        <v>4729</v>
      </c>
      <c r="B2301" t="str">
        <f>"000423"</f>
        <v>000423</v>
      </c>
      <c r="C2301" t="s">
        <v>4928</v>
      </c>
      <c r="D2301" t="s">
        <v>188</v>
      </c>
      <c r="F2301">
        <v>147749402</v>
      </c>
      <c r="G2301">
        <v>153632752</v>
      </c>
      <c r="H2301">
        <v>205374091</v>
      </c>
      <c r="I2301">
        <v>240803070</v>
      </c>
      <c r="P2301">
        <v>24620</v>
      </c>
      <c r="Q2301" t="s">
        <v>4929</v>
      </c>
    </row>
    <row r="2302" spans="1:17" x14ac:dyDescent="0.3">
      <c r="A2302" t="s">
        <v>4729</v>
      </c>
      <c r="B2302" t="str">
        <f>"000425"</f>
        <v>000425</v>
      </c>
      <c r="C2302" t="s">
        <v>4930</v>
      </c>
      <c r="D2302" t="s">
        <v>83</v>
      </c>
      <c r="F2302">
        <v>2674929416</v>
      </c>
      <c r="G2302">
        <v>2417104731</v>
      </c>
      <c r="H2302">
        <v>2126567408</v>
      </c>
      <c r="I2302">
        <v>1778934747</v>
      </c>
      <c r="P2302">
        <v>961</v>
      </c>
      <c r="Q2302" t="s">
        <v>4931</v>
      </c>
    </row>
    <row r="2303" spans="1:17" x14ac:dyDescent="0.3">
      <c r="A2303" t="s">
        <v>4729</v>
      </c>
      <c r="B2303" t="str">
        <f>"000426"</f>
        <v>000426</v>
      </c>
      <c r="C2303" t="s">
        <v>4932</v>
      </c>
      <c r="D2303" t="s">
        <v>744</v>
      </c>
      <c r="F2303">
        <v>0</v>
      </c>
      <c r="G2303">
        <v>0</v>
      </c>
      <c r="I2303">
        <v>3066440</v>
      </c>
      <c r="P2303">
        <v>202</v>
      </c>
      <c r="Q2303" t="s">
        <v>4933</v>
      </c>
    </row>
    <row r="2304" spans="1:17" x14ac:dyDescent="0.3">
      <c r="A2304" t="s">
        <v>4729</v>
      </c>
      <c r="B2304" t="str">
        <f>"000428"</f>
        <v>000428</v>
      </c>
      <c r="C2304" t="s">
        <v>4934</v>
      </c>
      <c r="D2304" t="s">
        <v>590</v>
      </c>
      <c r="F2304">
        <v>0</v>
      </c>
      <c r="G2304">
        <v>0</v>
      </c>
      <c r="P2304">
        <v>104</v>
      </c>
      <c r="Q2304" t="s">
        <v>4935</v>
      </c>
    </row>
    <row r="2305" spans="1:17" x14ac:dyDescent="0.3">
      <c r="A2305" t="s">
        <v>4729</v>
      </c>
      <c r="B2305" t="str">
        <f>"000429"</f>
        <v>000429</v>
      </c>
      <c r="C2305" t="s">
        <v>4936</v>
      </c>
      <c r="D2305" t="s">
        <v>44</v>
      </c>
      <c r="F2305">
        <v>13270939</v>
      </c>
      <c r="G2305">
        <v>404304</v>
      </c>
      <c r="I2305">
        <v>1318344</v>
      </c>
      <c r="P2305">
        <v>1028</v>
      </c>
      <c r="Q2305" t="s">
        <v>4937</v>
      </c>
    </row>
    <row r="2306" spans="1:17" x14ac:dyDescent="0.3">
      <c r="A2306" t="s">
        <v>4729</v>
      </c>
      <c r="B2306" t="str">
        <f>"000430"</f>
        <v>000430</v>
      </c>
      <c r="C2306" t="s">
        <v>4938</v>
      </c>
      <c r="D2306" t="s">
        <v>119</v>
      </c>
      <c r="F2306">
        <v>0</v>
      </c>
      <c r="G2306">
        <v>0</v>
      </c>
      <c r="P2306">
        <v>109</v>
      </c>
      <c r="Q2306" t="s">
        <v>4939</v>
      </c>
    </row>
    <row r="2307" spans="1:17" x14ac:dyDescent="0.3">
      <c r="A2307" t="s">
        <v>4729</v>
      </c>
      <c r="B2307" t="str">
        <f>"000488"</f>
        <v>000488</v>
      </c>
      <c r="C2307" t="s">
        <v>4940</v>
      </c>
      <c r="D2307" t="s">
        <v>694</v>
      </c>
      <c r="F2307">
        <v>1453766371</v>
      </c>
      <c r="G2307">
        <v>1274355241</v>
      </c>
      <c r="H2307">
        <v>992312957</v>
      </c>
      <c r="I2307">
        <v>929873688</v>
      </c>
      <c r="P2307">
        <v>1270</v>
      </c>
      <c r="Q2307" t="s">
        <v>4941</v>
      </c>
    </row>
    <row r="2308" spans="1:17" x14ac:dyDescent="0.3">
      <c r="A2308" t="s">
        <v>4729</v>
      </c>
      <c r="B2308" t="str">
        <f>"000498"</f>
        <v>000498</v>
      </c>
      <c r="C2308" t="s">
        <v>4942</v>
      </c>
      <c r="D2308" t="s">
        <v>101</v>
      </c>
      <c r="F2308">
        <v>1257447004</v>
      </c>
      <c r="G2308">
        <v>746564475</v>
      </c>
      <c r="H2308">
        <v>335411501</v>
      </c>
      <c r="I2308">
        <v>140628076</v>
      </c>
      <c r="P2308">
        <v>276</v>
      </c>
      <c r="Q2308" t="s">
        <v>4943</v>
      </c>
    </row>
    <row r="2309" spans="1:17" x14ac:dyDescent="0.3">
      <c r="A2309" t="s">
        <v>4729</v>
      </c>
      <c r="B2309" t="str">
        <f>"000501"</f>
        <v>000501</v>
      </c>
      <c r="C2309" t="s">
        <v>4944</v>
      </c>
      <c r="D2309" t="s">
        <v>633</v>
      </c>
      <c r="F2309">
        <v>0</v>
      </c>
      <c r="G2309">
        <v>0</v>
      </c>
      <c r="P2309">
        <v>6225</v>
      </c>
      <c r="Q2309" t="s">
        <v>4945</v>
      </c>
    </row>
    <row r="2310" spans="1:17" x14ac:dyDescent="0.3">
      <c r="A2310" t="s">
        <v>4729</v>
      </c>
      <c r="B2310" t="str">
        <f>"000502"</f>
        <v>000502</v>
      </c>
      <c r="C2310" t="s">
        <v>4946</v>
      </c>
      <c r="D2310" t="s">
        <v>2975</v>
      </c>
      <c r="F2310">
        <v>0</v>
      </c>
      <c r="G2310">
        <v>0</v>
      </c>
      <c r="I2310">
        <v>3995938</v>
      </c>
      <c r="P2310">
        <v>85</v>
      </c>
      <c r="Q2310" t="s">
        <v>4947</v>
      </c>
    </row>
    <row r="2311" spans="1:17" x14ac:dyDescent="0.3">
      <c r="A2311" t="s">
        <v>4729</v>
      </c>
      <c r="B2311" t="str">
        <f>"000503"</f>
        <v>000503</v>
      </c>
      <c r="C2311" t="s">
        <v>4948</v>
      </c>
      <c r="D2311" t="s">
        <v>945</v>
      </c>
      <c r="F2311">
        <v>16309112</v>
      </c>
      <c r="G2311">
        <v>16417271</v>
      </c>
      <c r="H2311">
        <v>5794995</v>
      </c>
      <c r="I2311">
        <v>865258</v>
      </c>
      <c r="P2311">
        <v>174</v>
      </c>
      <c r="Q2311" t="s">
        <v>4949</v>
      </c>
    </row>
    <row r="2312" spans="1:17" x14ac:dyDescent="0.3">
      <c r="A2312" t="s">
        <v>4729</v>
      </c>
      <c r="B2312" t="str">
        <f>"000504"</f>
        <v>000504</v>
      </c>
      <c r="C2312" t="s">
        <v>4950</v>
      </c>
      <c r="D2312" t="s">
        <v>4237</v>
      </c>
      <c r="F2312">
        <v>8543249</v>
      </c>
      <c r="G2312">
        <v>4976336</v>
      </c>
      <c r="H2312">
        <v>15515677</v>
      </c>
      <c r="I2312">
        <v>16069891</v>
      </c>
      <c r="P2312">
        <v>85</v>
      </c>
      <c r="Q2312" t="s">
        <v>4951</v>
      </c>
    </row>
    <row r="2313" spans="1:17" x14ac:dyDescent="0.3">
      <c r="A2313" t="s">
        <v>4729</v>
      </c>
      <c r="B2313" t="str">
        <f>"000505"</f>
        <v>000505</v>
      </c>
      <c r="C2313" t="s">
        <v>4952</v>
      </c>
      <c r="D2313" t="s">
        <v>306</v>
      </c>
      <c r="F2313">
        <v>12049948</v>
      </c>
      <c r="G2313">
        <v>9903222</v>
      </c>
      <c r="H2313">
        <v>7461689</v>
      </c>
      <c r="I2313">
        <v>2742564</v>
      </c>
      <c r="P2313">
        <v>193</v>
      </c>
      <c r="Q2313" t="s">
        <v>4953</v>
      </c>
    </row>
    <row r="2314" spans="1:17" x14ac:dyDescent="0.3">
      <c r="A2314" t="s">
        <v>4729</v>
      </c>
      <c r="B2314" t="str">
        <f>"000506"</f>
        <v>000506</v>
      </c>
      <c r="C2314" t="s">
        <v>4954</v>
      </c>
      <c r="D2314" t="s">
        <v>104</v>
      </c>
      <c r="F2314">
        <v>0</v>
      </c>
      <c r="G2314">
        <v>0</v>
      </c>
      <c r="P2314">
        <v>85</v>
      </c>
      <c r="Q2314" t="s">
        <v>4955</v>
      </c>
    </row>
    <row r="2315" spans="1:17" x14ac:dyDescent="0.3">
      <c r="A2315" t="s">
        <v>4729</v>
      </c>
      <c r="B2315" t="str">
        <f>"000507"</f>
        <v>000507</v>
      </c>
      <c r="C2315" t="s">
        <v>4956</v>
      </c>
      <c r="D2315" t="s">
        <v>51</v>
      </c>
      <c r="F2315">
        <v>59136939</v>
      </c>
      <c r="G2315">
        <v>10505572</v>
      </c>
      <c r="H2315">
        <v>8024444</v>
      </c>
      <c r="I2315">
        <v>2915099</v>
      </c>
      <c r="P2315">
        <v>185</v>
      </c>
      <c r="Q2315" t="s">
        <v>4957</v>
      </c>
    </row>
    <row r="2316" spans="1:17" x14ac:dyDescent="0.3">
      <c r="A2316" t="s">
        <v>4729</v>
      </c>
      <c r="B2316" t="str">
        <f>"000509"</f>
        <v>000509</v>
      </c>
      <c r="C2316" t="s">
        <v>4958</v>
      </c>
      <c r="D2316" t="s">
        <v>1147</v>
      </c>
      <c r="F2316">
        <v>10358716</v>
      </c>
      <c r="G2316">
        <v>0</v>
      </c>
      <c r="P2316">
        <v>84</v>
      </c>
      <c r="Q2316" t="s">
        <v>4959</v>
      </c>
    </row>
    <row r="2317" spans="1:17" x14ac:dyDescent="0.3">
      <c r="A2317" t="s">
        <v>4729</v>
      </c>
      <c r="B2317" t="str">
        <f>"000510"</f>
        <v>000510</v>
      </c>
      <c r="C2317" t="s">
        <v>4960</v>
      </c>
      <c r="D2317" t="s">
        <v>175</v>
      </c>
      <c r="F2317">
        <v>15343297</v>
      </c>
      <c r="G2317">
        <v>7776405</v>
      </c>
      <c r="H2317">
        <v>4758875</v>
      </c>
      <c r="I2317">
        <v>243649</v>
      </c>
      <c r="P2317">
        <v>128</v>
      </c>
      <c r="Q2317" t="s">
        <v>4961</v>
      </c>
    </row>
    <row r="2318" spans="1:17" x14ac:dyDescent="0.3">
      <c r="A2318" t="s">
        <v>4729</v>
      </c>
      <c r="B2318" t="str">
        <f>"000511"</f>
        <v>000511</v>
      </c>
      <c r="C2318" t="s">
        <v>4962</v>
      </c>
      <c r="P2318">
        <v>14</v>
      </c>
      <c r="Q2318" t="s">
        <v>4963</v>
      </c>
    </row>
    <row r="2319" spans="1:17" x14ac:dyDescent="0.3">
      <c r="A2319" t="s">
        <v>4729</v>
      </c>
      <c r="B2319" t="str">
        <f>"000513"</f>
        <v>000513</v>
      </c>
      <c r="C2319" t="s">
        <v>4964</v>
      </c>
      <c r="D2319" t="s">
        <v>143</v>
      </c>
      <c r="F2319">
        <v>1145702330</v>
      </c>
      <c r="G2319">
        <v>884095368</v>
      </c>
      <c r="H2319">
        <v>732891738</v>
      </c>
      <c r="I2319">
        <v>548972707</v>
      </c>
      <c r="P2319">
        <v>1622</v>
      </c>
      <c r="Q2319" t="s">
        <v>4965</v>
      </c>
    </row>
    <row r="2320" spans="1:17" x14ac:dyDescent="0.3">
      <c r="A2320" t="s">
        <v>4729</v>
      </c>
      <c r="B2320" t="str">
        <f>"000514"</f>
        <v>000514</v>
      </c>
      <c r="C2320" t="s">
        <v>4966</v>
      </c>
      <c r="D2320" t="s">
        <v>104</v>
      </c>
      <c r="F2320">
        <v>0</v>
      </c>
      <c r="G2320">
        <v>0</v>
      </c>
      <c r="P2320">
        <v>113</v>
      </c>
      <c r="Q2320" t="s">
        <v>4967</v>
      </c>
    </row>
    <row r="2321" spans="1:17" x14ac:dyDescent="0.3">
      <c r="A2321" t="s">
        <v>4729</v>
      </c>
      <c r="B2321" t="str">
        <f>"000516"</f>
        <v>000516</v>
      </c>
      <c r="C2321" t="s">
        <v>4968</v>
      </c>
      <c r="D2321" t="s">
        <v>1147</v>
      </c>
      <c r="F2321">
        <v>12795887</v>
      </c>
      <c r="G2321">
        <v>9692880</v>
      </c>
      <c r="H2321">
        <v>7684163</v>
      </c>
      <c r="I2321">
        <v>1519063</v>
      </c>
      <c r="P2321">
        <v>405</v>
      </c>
      <c r="Q2321" t="s">
        <v>4969</v>
      </c>
    </row>
    <row r="2322" spans="1:17" x14ac:dyDescent="0.3">
      <c r="A2322" t="s">
        <v>4729</v>
      </c>
      <c r="B2322" t="str">
        <f>"000517"</f>
        <v>000517</v>
      </c>
      <c r="C2322" t="s">
        <v>4970</v>
      </c>
      <c r="D2322" t="s">
        <v>104</v>
      </c>
      <c r="F2322">
        <v>34942789</v>
      </c>
      <c r="G2322">
        <v>68651192</v>
      </c>
      <c r="P2322">
        <v>312</v>
      </c>
      <c r="Q2322" t="s">
        <v>4971</v>
      </c>
    </row>
    <row r="2323" spans="1:17" x14ac:dyDescent="0.3">
      <c r="A2323" t="s">
        <v>4729</v>
      </c>
      <c r="B2323" t="str">
        <f>"000518"</f>
        <v>000518</v>
      </c>
      <c r="C2323" t="s">
        <v>4972</v>
      </c>
      <c r="D2323" t="s">
        <v>1379</v>
      </c>
      <c r="F2323">
        <v>51836224</v>
      </c>
      <c r="G2323">
        <v>40704876</v>
      </c>
      <c r="H2323">
        <v>42979056</v>
      </c>
      <c r="I2323">
        <v>12583890</v>
      </c>
      <c r="P2323">
        <v>171</v>
      </c>
      <c r="Q2323" t="s">
        <v>4973</v>
      </c>
    </row>
    <row r="2324" spans="1:17" x14ac:dyDescent="0.3">
      <c r="A2324" t="s">
        <v>4729</v>
      </c>
      <c r="B2324" t="str">
        <f>"000519"</f>
        <v>000519</v>
      </c>
      <c r="C2324" t="s">
        <v>4974</v>
      </c>
      <c r="D2324" t="s">
        <v>428</v>
      </c>
      <c r="F2324">
        <v>344541527</v>
      </c>
      <c r="G2324">
        <v>311422737</v>
      </c>
      <c r="H2324">
        <v>292495473</v>
      </c>
      <c r="I2324">
        <v>227274479</v>
      </c>
      <c r="P2324">
        <v>334</v>
      </c>
      <c r="Q2324" t="s">
        <v>4975</v>
      </c>
    </row>
    <row r="2325" spans="1:17" x14ac:dyDescent="0.3">
      <c r="A2325" t="s">
        <v>4729</v>
      </c>
      <c r="B2325" t="str">
        <f>"000520"</f>
        <v>000520</v>
      </c>
      <c r="C2325" t="s">
        <v>4976</v>
      </c>
      <c r="D2325" t="s">
        <v>69</v>
      </c>
      <c r="F2325">
        <v>0</v>
      </c>
      <c r="G2325">
        <v>0</v>
      </c>
      <c r="P2325">
        <v>110</v>
      </c>
      <c r="Q2325" t="s">
        <v>4977</v>
      </c>
    </row>
    <row r="2326" spans="1:17" x14ac:dyDescent="0.3">
      <c r="A2326" t="s">
        <v>4729</v>
      </c>
      <c r="B2326" t="str">
        <f>"000521"</f>
        <v>000521</v>
      </c>
      <c r="C2326" t="s">
        <v>4978</v>
      </c>
      <c r="D2326" t="s">
        <v>754</v>
      </c>
      <c r="F2326">
        <v>465891096</v>
      </c>
      <c r="G2326">
        <v>380638923</v>
      </c>
      <c r="H2326">
        <v>334218690</v>
      </c>
      <c r="I2326">
        <v>235299398</v>
      </c>
      <c r="P2326">
        <v>181</v>
      </c>
      <c r="Q2326" t="s">
        <v>4979</v>
      </c>
    </row>
    <row r="2327" spans="1:17" x14ac:dyDescent="0.3">
      <c r="A2327" t="s">
        <v>4729</v>
      </c>
      <c r="B2327" t="str">
        <f>"000522"</f>
        <v>000522</v>
      </c>
      <c r="C2327" t="s">
        <v>4980</v>
      </c>
      <c r="P2327">
        <v>63</v>
      </c>
      <c r="Q2327" t="s">
        <v>4981</v>
      </c>
    </row>
    <row r="2328" spans="1:17" x14ac:dyDescent="0.3">
      <c r="A2328" t="s">
        <v>4729</v>
      </c>
      <c r="B2328" t="str">
        <f>"000523"</f>
        <v>000523</v>
      </c>
      <c r="C2328" t="s">
        <v>4982</v>
      </c>
      <c r="D2328" t="s">
        <v>569</v>
      </c>
      <c r="F2328">
        <v>54476844</v>
      </c>
      <c r="G2328">
        <v>26326578</v>
      </c>
      <c r="H2328">
        <v>39946757</v>
      </c>
      <c r="I2328">
        <v>22046854</v>
      </c>
      <c r="P2328">
        <v>97</v>
      </c>
      <c r="Q2328" t="s">
        <v>4983</v>
      </c>
    </row>
    <row r="2329" spans="1:17" x14ac:dyDescent="0.3">
      <c r="A2329" t="s">
        <v>4729</v>
      </c>
      <c r="B2329" t="str">
        <f>"000524"</f>
        <v>000524</v>
      </c>
      <c r="C2329" t="s">
        <v>4984</v>
      </c>
      <c r="D2329" t="s">
        <v>1120</v>
      </c>
      <c r="F2329">
        <v>15654154</v>
      </c>
      <c r="G2329">
        <v>16562100</v>
      </c>
      <c r="H2329">
        <v>8421216</v>
      </c>
      <c r="I2329">
        <v>1121492</v>
      </c>
      <c r="P2329">
        <v>156</v>
      </c>
      <c r="Q2329" t="s">
        <v>4985</v>
      </c>
    </row>
    <row r="2330" spans="1:17" x14ac:dyDescent="0.3">
      <c r="A2330" t="s">
        <v>4729</v>
      </c>
      <c r="B2330" t="str">
        <f>"000525"</f>
        <v>000525</v>
      </c>
      <c r="C2330" t="s">
        <v>4986</v>
      </c>
      <c r="D2330" t="s">
        <v>853</v>
      </c>
      <c r="F2330">
        <v>167903110</v>
      </c>
      <c r="G2330">
        <v>141753902</v>
      </c>
      <c r="H2330">
        <v>107813070</v>
      </c>
      <c r="I2330">
        <v>108596541</v>
      </c>
      <c r="P2330">
        <v>150</v>
      </c>
      <c r="Q2330" t="s">
        <v>4987</v>
      </c>
    </row>
    <row r="2331" spans="1:17" x14ac:dyDescent="0.3">
      <c r="A2331" t="s">
        <v>4729</v>
      </c>
      <c r="B2331" t="str">
        <f>"000526"</f>
        <v>000526</v>
      </c>
      <c r="C2331" t="s">
        <v>4988</v>
      </c>
      <c r="D2331" t="s">
        <v>1336</v>
      </c>
      <c r="F2331">
        <v>50483993</v>
      </c>
      <c r="G2331">
        <v>47349421</v>
      </c>
      <c r="H2331">
        <v>47074012</v>
      </c>
      <c r="I2331">
        <v>57192762</v>
      </c>
      <c r="P2331">
        <v>201</v>
      </c>
      <c r="Q2331" t="s">
        <v>4989</v>
      </c>
    </row>
    <row r="2332" spans="1:17" x14ac:dyDescent="0.3">
      <c r="A2332" t="s">
        <v>4729</v>
      </c>
      <c r="B2332" t="str">
        <f>"000527"</f>
        <v>000527</v>
      </c>
      <c r="C2332" t="s">
        <v>4990</v>
      </c>
      <c r="P2332">
        <v>296</v>
      </c>
      <c r="Q2332" t="s">
        <v>4991</v>
      </c>
    </row>
    <row r="2333" spans="1:17" x14ac:dyDescent="0.3">
      <c r="A2333" t="s">
        <v>4729</v>
      </c>
      <c r="B2333" t="str">
        <f>"000528"</f>
        <v>000528</v>
      </c>
      <c r="C2333" t="s">
        <v>4992</v>
      </c>
      <c r="D2333" t="s">
        <v>83</v>
      </c>
      <c r="F2333">
        <v>649033882</v>
      </c>
      <c r="G2333">
        <v>519610988</v>
      </c>
      <c r="H2333">
        <v>463906390</v>
      </c>
      <c r="I2333">
        <v>418465397</v>
      </c>
      <c r="P2333">
        <v>481</v>
      </c>
      <c r="Q2333" t="s">
        <v>4993</v>
      </c>
    </row>
    <row r="2334" spans="1:17" x14ac:dyDescent="0.3">
      <c r="A2334" t="s">
        <v>4729</v>
      </c>
      <c r="B2334" t="str">
        <f>"000529"</f>
        <v>000529</v>
      </c>
      <c r="C2334" t="s">
        <v>4994</v>
      </c>
      <c r="D2334" t="s">
        <v>1536</v>
      </c>
      <c r="F2334">
        <v>11243861</v>
      </c>
      <c r="G2334">
        <v>9119236</v>
      </c>
      <c r="P2334">
        <v>298</v>
      </c>
      <c r="Q2334" t="s">
        <v>4995</v>
      </c>
    </row>
    <row r="2335" spans="1:17" x14ac:dyDescent="0.3">
      <c r="A2335" t="s">
        <v>4729</v>
      </c>
      <c r="B2335" t="str">
        <f>"000530"</f>
        <v>000530</v>
      </c>
      <c r="C2335" t="s">
        <v>4996</v>
      </c>
      <c r="D2335" t="s">
        <v>988</v>
      </c>
      <c r="F2335">
        <v>65269765</v>
      </c>
      <c r="G2335">
        <v>49158257</v>
      </c>
      <c r="H2335">
        <v>50649518</v>
      </c>
      <c r="I2335">
        <v>46904367</v>
      </c>
      <c r="P2335">
        <v>129</v>
      </c>
      <c r="Q2335" t="s">
        <v>4997</v>
      </c>
    </row>
    <row r="2336" spans="1:17" x14ac:dyDescent="0.3">
      <c r="A2336" t="s">
        <v>4729</v>
      </c>
      <c r="B2336" t="str">
        <f>"000531"</f>
        <v>000531</v>
      </c>
      <c r="C2336" t="s">
        <v>4998</v>
      </c>
      <c r="D2336" t="s">
        <v>41</v>
      </c>
      <c r="F2336">
        <v>68443968</v>
      </c>
      <c r="G2336">
        <v>20193505</v>
      </c>
      <c r="H2336">
        <v>30142105</v>
      </c>
      <c r="P2336">
        <v>277</v>
      </c>
      <c r="Q2336" t="s">
        <v>4999</v>
      </c>
    </row>
    <row r="2337" spans="1:17" x14ac:dyDescent="0.3">
      <c r="A2337" t="s">
        <v>4729</v>
      </c>
      <c r="B2337" t="str">
        <f>"000532"</f>
        <v>000532</v>
      </c>
      <c r="C2337" t="s">
        <v>5000</v>
      </c>
      <c r="D2337" t="s">
        <v>116</v>
      </c>
      <c r="F2337">
        <v>49459978</v>
      </c>
      <c r="G2337">
        <v>23994614</v>
      </c>
      <c r="H2337">
        <v>15020333</v>
      </c>
      <c r="I2337">
        <v>15069409</v>
      </c>
      <c r="P2337">
        <v>140</v>
      </c>
      <c r="Q2337" t="s">
        <v>5001</v>
      </c>
    </row>
    <row r="2338" spans="1:17" x14ac:dyDescent="0.3">
      <c r="A2338" t="s">
        <v>4729</v>
      </c>
      <c r="B2338" t="str">
        <f>"000533"</f>
        <v>000533</v>
      </c>
      <c r="C2338" t="s">
        <v>5002</v>
      </c>
      <c r="D2338" t="s">
        <v>210</v>
      </c>
      <c r="F2338">
        <v>61706364</v>
      </c>
      <c r="G2338">
        <v>59511093</v>
      </c>
      <c r="H2338">
        <v>58561744</v>
      </c>
      <c r="I2338">
        <v>58891383</v>
      </c>
      <c r="P2338">
        <v>101</v>
      </c>
      <c r="Q2338" t="s">
        <v>5003</v>
      </c>
    </row>
    <row r="2339" spans="1:17" x14ac:dyDescent="0.3">
      <c r="A2339" t="s">
        <v>4729</v>
      </c>
      <c r="B2339" t="str">
        <f>"000534"</f>
        <v>000534</v>
      </c>
      <c r="C2339" t="s">
        <v>5004</v>
      </c>
      <c r="D2339" t="s">
        <v>1379</v>
      </c>
      <c r="F2339">
        <v>76715959</v>
      </c>
      <c r="G2339">
        <v>77792122</v>
      </c>
      <c r="H2339">
        <v>45433573</v>
      </c>
      <c r="I2339">
        <v>31732421</v>
      </c>
      <c r="P2339">
        <v>120</v>
      </c>
      <c r="Q2339" t="s">
        <v>5005</v>
      </c>
    </row>
    <row r="2340" spans="1:17" x14ac:dyDescent="0.3">
      <c r="A2340" t="s">
        <v>4729</v>
      </c>
      <c r="B2340" t="str">
        <f>"000536"</f>
        <v>000536</v>
      </c>
      <c r="C2340" t="s">
        <v>5006</v>
      </c>
      <c r="D2340" t="s">
        <v>1117</v>
      </c>
      <c r="F2340">
        <v>281679430</v>
      </c>
      <c r="G2340">
        <v>290616097</v>
      </c>
      <c r="H2340">
        <v>356441914</v>
      </c>
      <c r="I2340">
        <v>291503449</v>
      </c>
      <c r="P2340">
        <v>142</v>
      </c>
      <c r="Q2340" t="s">
        <v>5007</v>
      </c>
    </row>
    <row r="2341" spans="1:17" x14ac:dyDescent="0.3">
      <c r="A2341" t="s">
        <v>4729</v>
      </c>
      <c r="B2341" t="str">
        <f>"000537"</f>
        <v>000537</v>
      </c>
      <c r="C2341" t="s">
        <v>5008</v>
      </c>
      <c r="D2341" t="s">
        <v>104</v>
      </c>
      <c r="F2341">
        <v>0</v>
      </c>
      <c r="G2341">
        <v>0</v>
      </c>
      <c r="H2341">
        <v>466981</v>
      </c>
      <c r="I2341">
        <v>655660</v>
      </c>
      <c r="P2341">
        <v>604</v>
      </c>
      <c r="Q2341" t="s">
        <v>5009</v>
      </c>
    </row>
    <row r="2342" spans="1:17" x14ac:dyDescent="0.3">
      <c r="A2342" t="s">
        <v>4729</v>
      </c>
      <c r="B2342" t="str">
        <f>"000538"</f>
        <v>000538</v>
      </c>
      <c r="C2342" t="s">
        <v>5010</v>
      </c>
      <c r="D2342" t="s">
        <v>188</v>
      </c>
      <c r="F2342">
        <v>331359703</v>
      </c>
      <c r="G2342">
        <v>181082460</v>
      </c>
      <c r="H2342">
        <v>173887854</v>
      </c>
      <c r="I2342">
        <v>110304095</v>
      </c>
      <c r="P2342">
        <v>30717</v>
      </c>
      <c r="Q2342" t="s">
        <v>5011</v>
      </c>
    </row>
    <row r="2343" spans="1:17" x14ac:dyDescent="0.3">
      <c r="A2343" t="s">
        <v>4729</v>
      </c>
      <c r="B2343" t="str">
        <f>"000539"</f>
        <v>000539</v>
      </c>
      <c r="C2343" t="s">
        <v>5012</v>
      </c>
      <c r="D2343" t="s">
        <v>41</v>
      </c>
      <c r="F2343">
        <v>584714979</v>
      </c>
      <c r="G2343">
        <v>274579716</v>
      </c>
      <c r="H2343">
        <v>9703602</v>
      </c>
      <c r="I2343">
        <v>5043776</v>
      </c>
      <c r="P2343">
        <v>203</v>
      </c>
      <c r="Q2343" t="s">
        <v>5013</v>
      </c>
    </row>
    <row r="2344" spans="1:17" x14ac:dyDescent="0.3">
      <c r="A2344" t="s">
        <v>4729</v>
      </c>
      <c r="B2344" t="str">
        <f>"000540"</f>
        <v>000540</v>
      </c>
      <c r="C2344" t="s">
        <v>5014</v>
      </c>
      <c r="D2344" t="s">
        <v>104</v>
      </c>
      <c r="F2344">
        <v>6617080</v>
      </c>
      <c r="G2344">
        <v>0</v>
      </c>
      <c r="P2344">
        <v>5239</v>
      </c>
      <c r="Q2344" t="s">
        <v>5015</v>
      </c>
    </row>
    <row r="2345" spans="1:17" x14ac:dyDescent="0.3">
      <c r="A2345" t="s">
        <v>4729</v>
      </c>
      <c r="B2345" t="str">
        <f>"000541"</f>
        <v>000541</v>
      </c>
      <c r="C2345" t="s">
        <v>5016</v>
      </c>
      <c r="D2345" t="s">
        <v>598</v>
      </c>
      <c r="F2345">
        <v>203681619</v>
      </c>
      <c r="G2345">
        <v>108885297</v>
      </c>
      <c r="H2345">
        <v>79444262</v>
      </c>
      <c r="I2345">
        <v>52726585</v>
      </c>
      <c r="P2345">
        <v>437</v>
      </c>
      <c r="Q2345" t="s">
        <v>5017</v>
      </c>
    </row>
    <row r="2346" spans="1:17" x14ac:dyDescent="0.3">
      <c r="A2346" t="s">
        <v>4729</v>
      </c>
      <c r="B2346" t="str">
        <f>"000543"</f>
        <v>000543</v>
      </c>
      <c r="C2346" t="s">
        <v>5018</v>
      </c>
      <c r="D2346" t="s">
        <v>41</v>
      </c>
      <c r="F2346">
        <v>481663137</v>
      </c>
      <c r="G2346">
        <v>87315003</v>
      </c>
      <c r="P2346">
        <v>322</v>
      </c>
      <c r="Q2346" t="s">
        <v>5019</v>
      </c>
    </row>
    <row r="2347" spans="1:17" x14ac:dyDescent="0.3">
      <c r="A2347" t="s">
        <v>4729</v>
      </c>
      <c r="B2347" t="str">
        <f>"000544"</f>
        <v>000544</v>
      </c>
      <c r="C2347" t="s">
        <v>5020</v>
      </c>
      <c r="D2347" t="s">
        <v>33</v>
      </c>
      <c r="F2347">
        <v>91941034</v>
      </c>
      <c r="G2347">
        <v>65964064</v>
      </c>
      <c r="H2347">
        <v>43858873</v>
      </c>
      <c r="I2347">
        <v>36677663</v>
      </c>
      <c r="P2347">
        <v>247</v>
      </c>
      <c r="Q2347" t="s">
        <v>5021</v>
      </c>
    </row>
    <row r="2348" spans="1:17" x14ac:dyDescent="0.3">
      <c r="A2348" t="s">
        <v>4729</v>
      </c>
      <c r="B2348" t="str">
        <f>"000545"</f>
        <v>000545</v>
      </c>
      <c r="C2348" t="s">
        <v>5022</v>
      </c>
      <c r="D2348" t="s">
        <v>1474</v>
      </c>
      <c r="F2348">
        <v>91869664</v>
      </c>
      <c r="G2348">
        <v>66613114</v>
      </c>
      <c r="H2348">
        <v>63400644</v>
      </c>
      <c r="I2348">
        <v>62338957</v>
      </c>
      <c r="P2348">
        <v>106</v>
      </c>
      <c r="Q2348" t="s">
        <v>5023</v>
      </c>
    </row>
    <row r="2349" spans="1:17" x14ac:dyDescent="0.3">
      <c r="A2349" t="s">
        <v>4729</v>
      </c>
      <c r="B2349" t="str">
        <f>"000546"</f>
        <v>000546</v>
      </c>
      <c r="C2349" t="s">
        <v>5024</v>
      </c>
      <c r="D2349" t="s">
        <v>731</v>
      </c>
      <c r="F2349">
        <v>296850789</v>
      </c>
      <c r="G2349">
        <v>261793143</v>
      </c>
      <c r="H2349">
        <v>87991503</v>
      </c>
      <c r="I2349">
        <v>34737353</v>
      </c>
      <c r="P2349">
        <v>181</v>
      </c>
      <c r="Q2349" t="s">
        <v>5025</v>
      </c>
    </row>
    <row r="2350" spans="1:17" x14ac:dyDescent="0.3">
      <c r="A2350" t="s">
        <v>4729</v>
      </c>
      <c r="B2350" t="str">
        <f>"000547"</f>
        <v>000547</v>
      </c>
      <c r="C2350" t="s">
        <v>5026</v>
      </c>
      <c r="D2350" t="s">
        <v>1136</v>
      </c>
      <c r="F2350">
        <v>441702837</v>
      </c>
      <c r="G2350">
        <v>431686516</v>
      </c>
      <c r="H2350">
        <v>413887146</v>
      </c>
      <c r="I2350">
        <v>317045430</v>
      </c>
      <c r="P2350">
        <v>612</v>
      </c>
      <c r="Q2350" t="s">
        <v>5027</v>
      </c>
    </row>
    <row r="2351" spans="1:17" x14ac:dyDescent="0.3">
      <c r="A2351" t="s">
        <v>4729</v>
      </c>
      <c r="B2351" t="str">
        <f>"000548"</f>
        <v>000548</v>
      </c>
      <c r="C2351" t="s">
        <v>5028</v>
      </c>
      <c r="D2351" t="s">
        <v>44</v>
      </c>
      <c r="F2351">
        <v>0</v>
      </c>
      <c r="G2351">
        <v>0</v>
      </c>
      <c r="P2351">
        <v>90</v>
      </c>
      <c r="Q2351" t="s">
        <v>5029</v>
      </c>
    </row>
    <row r="2352" spans="1:17" x14ac:dyDescent="0.3">
      <c r="A2352" t="s">
        <v>4729</v>
      </c>
      <c r="B2352" t="str">
        <f>"000550"</f>
        <v>000550</v>
      </c>
      <c r="C2352" t="s">
        <v>5030</v>
      </c>
      <c r="D2352" t="s">
        <v>27</v>
      </c>
      <c r="F2352">
        <v>1709014171</v>
      </c>
      <c r="G2352">
        <v>1343812092</v>
      </c>
      <c r="H2352">
        <v>1776320646</v>
      </c>
      <c r="I2352">
        <v>1663554384</v>
      </c>
      <c r="P2352">
        <v>595</v>
      </c>
      <c r="Q2352" t="s">
        <v>5031</v>
      </c>
    </row>
    <row r="2353" spans="1:17" x14ac:dyDescent="0.3">
      <c r="A2353" t="s">
        <v>4729</v>
      </c>
      <c r="B2353" t="str">
        <f>"000551"</f>
        <v>000551</v>
      </c>
      <c r="C2353" t="s">
        <v>5032</v>
      </c>
      <c r="D2353" t="s">
        <v>1070</v>
      </c>
      <c r="F2353">
        <v>191857960</v>
      </c>
      <c r="G2353">
        <v>161425750</v>
      </c>
      <c r="H2353">
        <v>148665423</v>
      </c>
      <c r="I2353">
        <v>136772675</v>
      </c>
      <c r="P2353">
        <v>122</v>
      </c>
      <c r="Q2353" t="s">
        <v>5033</v>
      </c>
    </row>
    <row r="2354" spans="1:17" x14ac:dyDescent="0.3">
      <c r="A2354" t="s">
        <v>4729</v>
      </c>
      <c r="B2354" t="str">
        <f>"000552"</f>
        <v>000552</v>
      </c>
      <c r="C2354" t="s">
        <v>5034</v>
      </c>
      <c r="D2354" t="s">
        <v>292</v>
      </c>
      <c r="F2354">
        <v>81709711</v>
      </c>
      <c r="G2354">
        <v>6392301</v>
      </c>
      <c r="H2354">
        <v>4530057</v>
      </c>
      <c r="I2354">
        <v>6649718</v>
      </c>
      <c r="P2354">
        <v>263</v>
      </c>
      <c r="Q2354" t="s">
        <v>5035</v>
      </c>
    </row>
    <row r="2355" spans="1:17" x14ac:dyDescent="0.3">
      <c r="A2355" t="s">
        <v>4729</v>
      </c>
      <c r="B2355" t="str">
        <f>"000553"</f>
        <v>000553</v>
      </c>
      <c r="C2355" t="s">
        <v>5036</v>
      </c>
      <c r="D2355" t="s">
        <v>853</v>
      </c>
      <c r="F2355">
        <v>501377000</v>
      </c>
      <c r="G2355">
        <v>478778000</v>
      </c>
      <c r="H2355">
        <v>436325000</v>
      </c>
      <c r="I2355">
        <v>441897000</v>
      </c>
      <c r="P2355">
        <v>227</v>
      </c>
      <c r="Q2355" t="s">
        <v>5037</v>
      </c>
    </row>
    <row r="2356" spans="1:17" x14ac:dyDescent="0.3">
      <c r="A2356" t="s">
        <v>4729</v>
      </c>
      <c r="B2356" t="str">
        <f>"000554"</f>
        <v>000554</v>
      </c>
      <c r="C2356" t="s">
        <v>5038</v>
      </c>
      <c r="D2356" t="s">
        <v>584</v>
      </c>
      <c r="F2356">
        <v>0</v>
      </c>
      <c r="G2356">
        <v>0</v>
      </c>
      <c r="P2356">
        <v>112</v>
      </c>
      <c r="Q2356" t="s">
        <v>5039</v>
      </c>
    </row>
    <row r="2357" spans="1:17" x14ac:dyDescent="0.3">
      <c r="A2357" t="s">
        <v>4729</v>
      </c>
      <c r="B2357" t="str">
        <f>"000555"</f>
        <v>000555</v>
      </c>
      <c r="C2357" t="s">
        <v>5040</v>
      </c>
      <c r="D2357" t="s">
        <v>316</v>
      </c>
      <c r="F2357">
        <v>575467995</v>
      </c>
      <c r="G2357">
        <v>510818151</v>
      </c>
      <c r="H2357">
        <v>374946591</v>
      </c>
      <c r="I2357">
        <v>236502765</v>
      </c>
      <c r="P2357">
        <v>374</v>
      </c>
      <c r="Q2357" t="s">
        <v>5041</v>
      </c>
    </row>
    <row r="2358" spans="1:17" x14ac:dyDescent="0.3">
      <c r="A2358" t="s">
        <v>4729</v>
      </c>
      <c r="B2358" t="str">
        <f>"000556"</f>
        <v>000556</v>
      </c>
      <c r="C2358" t="s">
        <v>5042</v>
      </c>
      <c r="P2358">
        <v>4</v>
      </c>
      <c r="Q2358" t="s">
        <v>5043</v>
      </c>
    </row>
    <row r="2359" spans="1:17" x14ac:dyDescent="0.3">
      <c r="A2359" t="s">
        <v>4729</v>
      </c>
      <c r="B2359" t="str">
        <f>"000557"</f>
        <v>000557</v>
      </c>
      <c r="C2359" t="s">
        <v>5044</v>
      </c>
      <c r="D2359" t="s">
        <v>301</v>
      </c>
      <c r="F2359">
        <v>5176098</v>
      </c>
      <c r="G2359">
        <v>2421310</v>
      </c>
      <c r="P2359">
        <v>103</v>
      </c>
      <c r="Q2359" t="s">
        <v>5045</v>
      </c>
    </row>
    <row r="2360" spans="1:17" x14ac:dyDescent="0.3">
      <c r="A2360" t="s">
        <v>4729</v>
      </c>
      <c r="B2360" t="str">
        <f>"000558"</f>
        <v>000558</v>
      </c>
      <c r="C2360" t="s">
        <v>5046</v>
      </c>
      <c r="D2360" t="s">
        <v>104</v>
      </c>
      <c r="F2360">
        <v>0</v>
      </c>
      <c r="G2360">
        <v>0</v>
      </c>
      <c r="P2360">
        <v>118</v>
      </c>
      <c r="Q2360" t="s">
        <v>5047</v>
      </c>
    </row>
    <row r="2361" spans="1:17" x14ac:dyDescent="0.3">
      <c r="A2361" t="s">
        <v>4729</v>
      </c>
      <c r="B2361" t="str">
        <f>"000559"</f>
        <v>000559</v>
      </c>
      <c r="C2361" t="s">
        <v>5048</v>
      </c>
      <c r="D2361" t="s">
        <v>348</v>
      </c>
      <c r="F2361">
        <v>510209040</v>
      </c>
      <c r="G2361">
        <v>447459768</v>
      </c>
      <c r="H2361">
        <v>453855682</v>
      </c>
      <c r="I2361">
        <v>513013757</v>
      </c>
      <c r="P2361">
        <v>414</v>
      </c>
      <c r="Q2361" t="s">
        <v>5049</v>
      </c>
    </row>
    <row r="2362" spans="1:17" x14ac:dyDescent="0.3">
      <c r="A2362" t="s">
        <v>4729</v>
      </c>
      <c r="B2362" t="str">
        <f>"000560"</f>
        <v>000560</v>
      </c>
      <c r="C2362" t="s">
        <v>5050</v>
      </c>
      <c r="D2362" t="s">
        <v>5051</v>
      </c>
      <c r="F2362">
        <v>31317873</v>
      </c>
      <c r="G2362">
        <v>27325062</v>
      </c>
      <c r="H2362">
        <v>3720349</v>
      </c>
      <c r="P2362">
        <v>206</v>
      </c>
      <c r="Q2362" t="s">
        <v>5052</v>
      </c>
    </row>
    <row r="2363" spans="1:17" x14ac:dyDescent="0.3">
      <c r="A2363" t="s">
        <v>4729</v>
      </c>
      <c r="B2363" t="str">
        <f>"000561"</f>
        <v>000561</v>
      </c>
      <c r="C2363" t="s">
        <v>5053</v>
      </c>
      <c r="D2363" t="s">
        <v>98</v>
      </c>
      <c r="F2363">
        <v>234737614</v>
      </c>
      <c r="G2363">
        <v>207006860</v>
      </c>
      <c r="H2363">
        <v>192942825</v>
      </c>
      <c r="I2363">
        <v>177517710</v>
      </c>
      <c r="P2363">
        <v>134</v>
      </c>
      <c r="Q2363" t="s">
        <v>5054</v>
      </c>
    </row>
    <row r="2364" spans="1:17" x14ac:dyDescent="0.3">
      <c r="A2364" t="s">
        <v>4729</v>
      </c>
      <c r="B2364" t="str">
        <f>"000562"</f>
        <v>000562</v>
      </c>
      <c r="C2364" t="s">
        <v>5055</v>
      </c>
      <c r="P2364">
        <v>18</v>
      </c>
      <c r="Q2364" t="s">
        <v>5056</v>
      </c>
    </row>
    <row r="2365" spans="1:17" x14ac:dyDescent="0.3">
      <c r="A2365" t="s">
        <v>4729</v>
      </c>
      <c r="B2365" t="str">
        <f>"000563"</f>
        <v>000563</v>
      </c>
      <c r="C2365" t="s">
        <v>5057</v>
      </c>
      <c r="D2365" t="s">
        <v>1651</v>
      </c>
      <c r="P2365">
        <v>207</v>
      </c>
      <c r="Q2365" t="s">
        <v>5058</v>
      </c>
    </row>
    <row r="2366" spans="1:17" x14ac:dyDescent="0.3">
      <c r="A2366" t="s">
        <v>4729</v>
      </c>
      <c r="B2366" t="str">
        <f>"000564"</f>
        <v>000564</v>
      </c>
      <c r="C2366" t="s">
        <v>5059</v>
      </c>
      <c r="D2366" t="s">
        <v>633</v>
      </c>
      <c r="F2366">
        <v>10932992</v>
      </c>
      <c r="G2366">
        <v>12294389</v>
      </c>
      <c r="H2366">
        <v>10941915</v>
      </c>
      <c r="I2366">
        <v>5258653</v>
      </c>
      <c r="P2366">
        <v>187</v>
      </c>
      <c r="Q2366" t="s">
        <v>5060</v>
      </c>
    </row>
    <row r="2367" spans="1:17" x14ac:dyDescent="0.3">
      <c r="A2367" t="s">
        <v>4729</v>
      </c>
      <c r="B2367" t="str">
        <f>"000565"</f>
        <v>000565</v>
      </c>
      <c r="C2367" t="s">
        <v>5061</v>
      </c>
      <c r="D2367" t="s">
        <v>2585</v>
      </c>
      <c r="F2367">
        <v>7016752</v>
      </c>
      <c r="G2367">
        <v>7275417</v>
      </c>
      <c r="H2367">
        <v>7371602</v>
      </c>
      <c r="I2367">
        <v>8510229</v>
      </c>
      <c r="P2367">
        <v>79</v>
      </c>
      <c r="Q2367" t="s">
        <v>5062</v>
      </c>
    </row>
    <row r="2368" spans="1:17" x14ac:dyDescent="0.3">
      <c r="A2368" t="s">
        <v>4729</v>
      </c>
      <c r="B2368" t="str">
        <f>"000566"</f>
        <v>000566</v>
      </c>
      <c r="C2368" t="s">
        <v>5063</v>
      </c>
      <c r="D2368" t="s">
        <v>143</v>
      </c>
      <c r="F2368">
        <v>196694437</v>
      </c>
      <c r="G2368">
        <v>126452789</v>
      </c>
      <c r="H2368">
        <v>91886915</v>
      </c>
      <c r="I2368">
        <v>19247172</v>
      </c>
      <c r="P2368">
        <v>195</v>
      </c>
      <c r="Q2368" t="s">
        <v>5064</v>
      </c>
    </row>
    <row r="2369" spans="1:17" x14ac:dyDescent="0.3">
      <c r="A2369" t="s">
        <v>4729</v>
      </c>
      <c r="B2369" t="str">
        <f>"000567"</f>
        <v>000567</v>
      </c>
      <c r="C2369" t="s">
        <v>5065</v>
      </c>
      <c r="D2369" t="s">
        <v>116</v>
      </c>
      <c r="F2369">
        <v>0</v>
      </c>
      <c r="G2369">
        <v>0</v>
      </c>
      <c r="P2369">
        <v>117</v>
      </c>
      <c r="Q2369" t="s">
        <v>5066</v>
      </c>
    </row>
    <row r="2370" spans="1:17" x14ac:dyDescent="0.3">
      <c r="A2370" t="s">
        <v>4729</v>
      </c>
      <c r="B2370" t="str">
        <f>"000568"</f>
        <v>000568</v>
      </c>
      <c r="C2370" t="s">
        <v>5067</v>
      </c>
      <c r="D2370" t="s">
        <v>458</v>
      </c>
      <c r="F2370">
        <v>137712330</v>
      </c>
      <c r="G2370">
        <v>85858120</v>
      </c>
      <c r="H2370">
        <v>71643100</v>
      </c>
      <c r="I2370">
        <v>62172211</v>
      </c>
      <c r="P2370">
        <v>6440</v>
      </c>
      <c r="Q2370" t="s">
        <v>5068</v>
      </c>
    </row>
    <row r="2371" spans="1:17" x14ac:dyDescent="0.3">
      <c r="A2371" t="s">
        <v>4729</v>
      </c>
      <c r="B2371" t="str">
        <f>"000570"</f>
        <v>000570</v>
      </c>
      <c r="C2371" t="s">
        <v>5069</v>
      </c>
      <c r="D2371" t="s">
        <v>348</v>
      </c>
      <c r="F2371">
        <v>82390284</v>
      </c>
      <c r="G2371">
        <v>72258781</v>
      </c>
      <c r="H2371">
        <v>66221376</v>
      </c>
      <c r="I2371">
        <v>72182841</v>
      </c>
      <c r="P2371">
        <v>81</v>
      </c>
      <c r="Q2371" t="s">
        <v>5070</v>
      </c>
    </row>
    <row r="2372" spans="1:17" x14ac:dyDescent="0.3">
      <c r="A2372" t="s">
        <v>4729</v>
      </c>
      <c r="B2372" t="str">
        <f>"000571"</f>
        <v>000571</v>
      </c>
      <c r="C2372" t="s">
        <v>5071</v>
      </c>
      <c r="D2372" t="s">
        <v>292</v>
      </c>
      <c r="F2372">
        <v>0</v>
      </c>
      <c r="G2372">
        <v>0</v>
      </c>
      <c r="P2372">
        <v>72</v>
      </c>
      <c r="Q2372" t="s">
        <v>5072</v>
      </c>
    </row>
    <row r="2373" spans="1:17" x14ac:dyDescent="0.3">
      <c r="A2373" t="s">
        <v>4729</v>
      </c>
      <c r="B2373" t="str">
        <f>"000572"</f>
        <v>000572</v>
      </c>
      <c r="C2373" t="s">
        <v>5073</v>
      </c>
      <c r="D2373" t="s">
        <v>247</v>
      </c>
      <c r="F2373">
        <v>245884797</v>
      </c>
      <c r="G2373">
        <v>266188697</v>
      </c>
      <c r="H2373">
        <v>203056134</v>
      </c>
      <c r="I2373">
        <v>401603292</v>
      </c>
      <c r="P2373">
        <v>151</v>
      </c>
      <c r="Q2373" t="s">
        <v>5074</v>
      </c>
    </row>
    <row r="2374" spans="1:17" x14ac:dyDescent="0.3">
      <c r="A2374" t="s">
        <v>4729</v>
      </c>
      <c r="B2374" t="str">
        <f>"000573"</f>
        <v>000573</v>
      </c>
      <c r="C2374" t="s">
        <v>5075</v>
      </c>
      <c r="D2374" t="s">
        <v>104</v>
      </c>
      <c r="F2374">
        <v>7207443</v>
      </c>
      <c r="G2374">
        <v>10111633</v>
      </c>
      <c r="P2374">
        <v>130</v>
      </c>
      <c r="Q2374" t="s">
        <v>5076</v>
      </c>
    </row>
    <row r="2375" spans="1:17" x14ac:dyDescent="0.3">
      <c r="A2375" t="s">
        <v>4729</v>
      </c>
      <c r="B2375" t="str">
        <f>"000576"</f>
        <v>000576</v>
      </c>
      <c r="C2375" t="s">
        <v>5077</v>
      </c>
      <c r="D2375" t="s">
        <v>428</v>
      </c>
      <c r="F2375">
        <v>50643327</v>
      </c>
      <c r="G2375">
        <v>32161142</v>
      </c>
      <c r="H2375">
        <v>21177686</v>
      </c>
      <c r="I2375">
        <v>4031694</v>
      </c>
      <c r="P2375">
        <v>161</v>
      </c>
      <c r="Q2375" t="s">
        <v>5078</v>
      </c>
    </row>
    <row r="2376" spans="1:17" x14ac:dyDescent="0.3">
      <c r="A2376" t="s">
        <v>4729</v>
      </c>
      <c r="B2376" t="str">
        <f>"000578"</f>
        <v>000578</v>
      </c>
      <c r="C2376" t="s">
        <v>5079</v>
      </c>
      <c r="P2376">
        <v>12</v>
      </c>
      <c r="Q2376" t="s">
        <v>5080</v>
      </c>
    </row>
    <row r="2377" spans="1:17" x14ac:dyDescent="0.3">
      <c r="A2377" t="s">
        <v>4729</v>
      </c>
      <c r="B2377" t="str">
        <f>"000581"</f>
        <v>000581</v>
      </c>
      <c r="C2377" t="s">
        <v>5081</v>
      </c>
      <c r="D2377" t="s">
        <v>348</v>
      </c>
      <c r="F2377">
        <v>595406952</v>
      </c>
      <c r="G2377">
        <v>532581210</v>
      </c>
      <c r="H2377">
        <v>417924908</v>
      </c>
      <c r="I2377">
        <v>403263972</v>
      </c>
      <c r="P2377">
        <v>1711</v>
      </c>
      <c r="Q2377" t="s">
        <v>5082</v>
      </c>
    </row>
    <row r="2378" spans="1:17" x14ac:dyDescent="0.3">
      <c r="A2378" t="s">
        <v>4729</v>
      </c>
      <c r="B2378" t="str">
        <f>"000582"</f>
        <v>000582</v>
      </c>
      <c r="C2378" t="s">
        <v>5083</v>
      </c>
      <c r="D2378" t="s">
        <v>51</v>
      </c>
      <c r="F2378">
        <v>8222323</v>
      </c>
      <c r="G2378">
        <v>4952061</v>
      </c>
      <c r="H2378">
        <v>13226129</v>
      </c>
      <c r="P2378">
        <v>227</v>
      </c>
      <c r="Q2378" t="s">
        <v>5084</v>
      </c>
    </row>
    <row r="2379" spans="1:17" x14ac:dyDescent="0.3">
      <c r="A2379" t="s">
        <v>4729</v>
      </c>
      <c r="B2379" t="str">
        <f>"000583"</f>
        <v>000583</v>
      </c>
      <c r="C2379" t="s">
        <v>5085</v>
      </c>
      <c r="P2379">
        <v>3</v>
      </c>
      <c r="Q2379" t="s">
        <v>5086</v>
      </c>
    </row>
    <row r="2380" spans="1:17" x14ac:dyDescent="0.3">
      <c r="A2380" t="s">
        <v>4729</v>
      </c>
      <c r="B2380" t="str">
        <f>"000584"</f>
        <v>000584</v>
      </c>
      <c r="C2380" t="s">
        <v>5087</v>
      </c>
      <c r="D2380" t="s">
        <v>2938</v>
      </c>
      <c r="F2380">
        <v>85663474</v>
      </c>
      <c r="G2380">
        <v>89334210</v>
      </c>
      <c r="H2380">
        <v>88695055</v>
      </c>
      <c r="I2380">
        <v>46309738</v>
      </c>
      <c r="P2380">
        <v>134</v>
      </c>
      <c r="Q2380" t="s">
        <v>5088</v>
      </c>
    </row>
    <row r="2381" spans="1:17" x14ac:dyDescent="0.3">
      <c r="A2381" t="s">
        <v>4729</v>
      </c>
      <c r="B2381" t="str">
        <f>"000585"</f>
        <v>000585</v>
      </c>
      <c r="C2381" t="s">
        <v>5089</v>
      </c>
      <c r="D2381" t="s">
        <v>210</v>
      </c>
      <c r="F2381">
        <v>2158871</v>
      </c>
      <c r="G2381">
        <v>2502193</v>
      </c>
      <c r="H2381">
        <v>1022056</v>
      </c>
      <c r="I2381">
        <v>1243087</v>
      </c>
      <c r="P2381">
        <v>73</v>
      </c>
      <c r="Q2381" t="s">
        <v>5090</v>
      </c>
    </row>
    <row r="2382" spans="1:17" x14ac:dyDescent="0.3">
      <c r="A2382" t="s">
        <v>4729</v>
      </c>
      <c r="B2382" t="str">
        <f>"000586"</f>
        <v>000586</v>
      </c>
      <c r="C2382" t="s">
        <v>5091</v>
      </c>
      <c r="D2382" t="s">
        <v>250</v>
      </c>
      <c r="F2382">
        <v>24785653</v>
      </c>
      <c r="G2382">
        <v>26872631</v>
      </c>
      <c r="H2382">
        <v>22886402</v>
      </c>
      <c r="I2382">
        <v>13253769</v>
      </c>
      <c r="P2382">
        <v>145</v>
      </c>
      <c r="Q2382" t="s">
        <v>5092</v>
      </c>
    </row>
    <row r="2383" spans="1:17" x14ac:dyDescent="0.3">
      <c r="A2383" t="s">
        <v>4729</v>
      </c>
      <c r="B2383" t="str">
        <f>"000587"</f>
        <v>000587</v>
      </c>
      <c r="C2383" t="s">
        <v>5093</v>
      </c>
      <c r="D2383" t="s">
        <v>1238</v>
      </c>
      <c r="F2383">
        <v>0</v>
      </c>
      <c r="G2383">
        <v>0</v>
      </c>
      <c r="P2383">
        <v>114</v>
      </c>
      <c r="Q2383" t="s">
        <v>5094</v>
      </c>
    </row>
    <row r="2384" spans="1:17" x14ac:dyDescent="0.3">
      <c r="A2384" t="s">
        <v>4729</v>
      </c>
      <c r="B2384" t="str">
        <f>"000588"</f>
        <v>000588</v>
      </c>
      <c r="C2384" t="s">
        <v>5095</v>
      </c>
      <c r="P2384">
        <v>5</v>
      </c>
      <c r="Q2384" t="s">
        <v>5096</v>
      </c>
    </row>
    <row r="2385" spans="1:17" x14ac:dyDescent="0.3">
      <c r="A2385" t="s">
        <v>4729</v>
      </c>
      <c r="B2385" t="str">
        <f>"000589"</f>
        <v>000589</v>
      </c>
      <c r="C2385" t="s">
        <v>5097</v>
      </c>
      <c r="D2385" t="s">
        <v>422</v>
      </c>
      <c r="F2385">
        <v>205912474</v>
      </c>
      <c r="G2385">
        <v>202292814</v>
      </c>
      <c r="H2385">
        <v>190002729</v>
      </c>
      <c r="I2385">
        <v>192829570</v>
      </c>
      <c r="P2385">
        <v>208</v>
      </c>
      <c r="Q2385" t="s">
        <v>5098</v>
      </c>
    </row>
    <row r="2386" spans="1:17" x14ac:dyDescent="0.3">
      <c r="A2386" t="s">
        <v>4729</v>
      </c>
      <c r="B2386" t="str">
        <f>"000590"</f>
        <v>000590</v>
      </c>
      <c r="C2386" t="s">
        <v>5099</v>
      </c>
      <c r="D2386" t="s">
        <v>188</v>
      </c>
      <c r="F2386">
        <v>8289523</v>
      </c>
      <c r="G2386">
        <v>9594179</v>
      </c>
      <c r="H2386">
        <v>9459816</v>
      </c>
      <c r="I2386">
        <v>7484586</v>
      </c>
      <c r="P2386">
        <v>148</v>
      </c>
      <c r="Q2386" t="s">
        <v>5100</v>
      </c>
    </row>
    <row r="2387" spans="1:17" x14ac:dyDescent="0.3">
      <c r="A2387" t="s">
        <v>4729</v>
      </c>
      <c r="B2387" t="str">
        <f>"000591"</f>
        <v>000591</v>
      </c>
      <c r="C2387" t="s">
        <v>5101</v>
      </c>
      <c r="D2387" t="s">
        <v>86</v>
      </c>
      <c r="F2387">
        <v>117271222</v>
      </c>
      <c r="G2387">
        <v>59795545</v>
      </c>
      <c r="H2387">
        <v>38092061</v>
      </c>
      <c r="I2387">
        <v>31461380</v>
      </c>
      <c r="P2387">
        <v>664</v>
      </c>
      <c r="Q2387" t="s">
        <v>5102</v>
      </c>
    </row>
    <row r="2388" spans="1:17" x14ac:dyDescent="0.3">
      <c r="A2388" t="s">
        <v>4729</v>
      </c>
      <c r="B2388" t="str">
        <f>"000592"</f>
        <v>000592</v>
      </c>
      <c r="C2388" t="s">
        <v>5103</v>
      </c>
      <c r="D2388" t="s">
        <v>603</v>
      </c>
      <c r="F2388">
        <v>5233447</v>
      </c>
      <c r="G2388">
        <v>5091524</v>
      </c>
      <c r="H2388">
        <v>989472</v>
      </c>
      <c r="I2388">
        <v>889436</v>
      </c>
      <c r="P2388">
        <v>150</v>
      </c>
      <c r="Q2388" t="s">
        <v>5104</v>
      </c>
    </row>
    <row r="2389" spans="1:17" x14ac:dyDescent="0.3">
      <c r="A2389" t="s">
        <v>4729</v>
      </c>
      <c r="B2389" t="str">
        <f>"000593"</f>
        <v>000593</v>
      </c>
      <c r="C2389" t="s">
        <v>5105</v>
      </c>
      <c r="D2389" t="s">
        <v>749</v>
      </c>
      <c r="F2389">
        <v>3928637</v>
      </c>
      <c r="G2389">
        <v>1680542</v>
      </c>
      <c r="P2389">
        <v>80</v>
      </c>
      <c r="Q2389" t="s">
        <v>5106</v>
      </c>
    </row>
    <row r="2390" spans="1:17" x14ac:dyDescent="0.3">
      <c r="A2390" t="s">
        <v>4729</v>
      </c>
      <c r="B2390" t="str">
        <f>"000594"</f>
        <v>000594</v>
      </c>
      <c r="C2390" t="s">
        <v>5107</v>
      </c>
      <c r="P2390">
        <v>3</v>
      </c>
      <c r="Q2390" t="s">
        <v>5108</v>
      </c>
    </row>
    <row r="2391" spans="1:17" x14ac:dyDescent="0.3">
      <c r="A2391" t="s">
        <v>4729</v>
      </c>
      <c r="B2391" t="str">
        <f>"000595"</f>
        <v>000595</v>
      </c>
      <c r="C2391" t="s">
        <v>5109</v>
      </c>
      <c r="D2391" t="s">
        <v>274</v>
      </c>
      <c r="F2391">
        <v>2516621</v>
      </c>
      <c r="G2391">
        <v>1696345</v>
      </c>
      <c r="H2391">
        <v>2296641</v>
      </c>
      <c r="I2391">
        <v>2215226</v>
      </c>
      <c r="P2391">
        <v>98</v>
      </c>
      <c r="Q2391" t="s">
        <v>5110</v>
      </c>
    </row>
    <row r="2392" spans="1:17" x14ac:dyDescent="0.3">
      <c r="A2392" t="s">
        <v>4729</v>
      </c>
      <c r="B2392" t="str">
        <f>"000596"</f>
        <v>000596</v>
      </c>
      <c r="C2392" t="s">
        <v>5111</v>
      </c>
      <c r="D2392" t="s">
        <v>458</v>
      </c>
      <c r="F2392">
        <v>51449475</v>
      </c>
      <c r="G2392">
        <v>40590136</v>
      </c>
      <c r="H2392">
        <v>42373017</v>
      </c>
      <c r="I2392">
        <v>23966766</v>
      </c>
      <c r="P2392">
        <v>53676</v>
      </c>
      <c r="Q2392" t="s">
        <v>5112</v>
      </c>
    </row>
    <row r="2393" spans="1:17" x14ac:dyDescent="0.3">
      <c r="A2393" t="s">
        <v>4729</v>
      </c>
      <c r="B2393" t="str">
        <f>"000597"</f>
        <v>000597</v>
      </c>
      <c r="C2393" t="s">
        <v>5113</v>
      </c>
      <c r="D2393" t="s">
        <v>143</v>
      </c>
      <c r="F2393">
        <v>83459239</v>
      </c>
      <c r="G2393">
        <v>74180813</v>
      </c>
      <c r="H2393">
        <v>63937861</v>
      </c>
      <c r="I2393">
        <v>144670295</v>
      </c>
      <c r="P2393">
        <v>131</v>
      </c>
      <c r="Q2393" t="s">
        <v>5114</v>
      </c>
    </row>
    <row r="2394" spans="1:17" x14ac:dyDescent="0.3">
      <c r="A2394" t="s">
        <v>4729</v>
      </c>
      <c r="B2394" t="str">
        <f>"000598"</f>
        <v>000598</v>
      </c>
      <c r="C2394" t="s">
        <v>5115</v>
      </c>
      <c r="D2394" t="s">
        <v>33</v>
      </c>
      <c r="F2394">
        <v>2760872</v>
      </c>
      <c r="G2394">
        <v>2734021</v>
      </c>
      <c r="H2394">
        <v>3694531</v>
      </c>
      <c r="I2394">
        <v>7603852</v>
      </c>
      <c r="P2394">
        <v>444</v>
      </c>
      <c r="Q2394" t="s">
        <v>5116</v>
      </c>
    </row>
    <row r="2395" spans="1:17" x14ac:dyDescent="0.3">
      <c r="A2395" t="s">
        <v>4729</v>
      </c>
      <c r="B2395" t="str">
        <f>"000599"</f>
        <v>000599</v>
      </c>
      <c r="C2395" t="s">
        <v>5117</v>
      </c>
      <c r="D2395" t="s">
        <v>422</v>
      </c>
      <c r="F2395">
        <v>203035515</v>
      </c>
      <c r="G2395">
        <v>205194479</v>
      </c>
      <c r="H2395">
        <v>191109305</v>
      </c>
      <c r="I2395">
        <v>123062919</v>
      </c>
      <c r="P2395">
        <v>119</v>
      </c>
      <c r="Q2395" t="s">
        <v>5118</v>
      </c>
    </row>
    <row r="2396" spans="1:17" x14ac:dyDescent="0.3">
      <c r="A2396" t="s">
        <v>4729</v>
      </c>
      <c r="B2396" t="str">
        <f>"000600"</f>
        <v>000600</v>
      </c>
      <c r="C2396" t="s">
        <v>5119</v>
      </c>
      <c r="D2396" t="s">
        <v>41</v>
      </c>
      <c r="F2396">
        <v>252269521</v>
      </c>
      <c r="G2396">
        <v>394951</v>
      </c>
      <c r="H2396">
        <v>3506018</v>
      </c>
      <c r="I2396">
        <v>3251686</v>
      </c>
      <c r="P2396">
        <v>312</v>
      </c>
      <c r="Q2396" t="s">
        <v>5120</v>
      </c>
    </row>
    <row r="2397" spans="1:17" x14ac:dyDescent="0.3">
      <c r="A2397" t="s">
        <v>4729</v>
      </c>
      <c r="B2397" t="str">
        <f>"000601"</f>
        <v>000601</v>
      </c>
      <c r="C2397" t="s">
        <v>5121</v>
      </c>
      <c r="D2397" t="s">
        <v>66</v>
      </c>
      <c r="F2397">
        <v>55375074</v>
      </c>
      <c r="G2397">
        <v>52879341</v>
      </c>
      <c r="H2397">
        <v>45714068</v>
      </c>
      <c r="I2397">
        <v>50608421</v>
      </c>
      <c r="P2397">
        <v>215</v>
      </c>
      <c r="Q2397" t="s">
        <v>5122</v>
      </c>
    </row>
    <row r="2398" spans="1:17" x14ac:dyDescent="0.3">
      <c r="A2398" t="s">
        <v>4729</v>
      </c>
      <c r="B2398" t="str">
        <f>"000602"</f>
        <v>000602</v>
      </c>
      <c r="C2398" t="s">
        <v>5123</v>
      </c>
      <c r="P2398">
        <v>5</v>
      </c>
      <c r="Q2398" t="s">
        <v>5124</v>
      </c>
    </row>
    <row r="2399" spans="1:17" x14ac:dyDescent="0.3">
      <c r="A2399" t="s">
        <v>4729</v>
      </c>
      <c r="B2399" t="str">
        <f>"000603"</f>
        <v>000603</v>
      </c>
      <c r="C2399" t="s">
        <v>5125</v>
      </c>
      <c r="D2399" t="s">
        <v>744</v>
      </c>
      <c r="F2399">
        <v>17287349</v>
      </c>
      <c r="G2399">
        <v>15450480</v>
      </c>
      <c r="H2399">
        <v>0</v>
      </c>
      <c r="I2399">
        <v>0</v>
      </c>
      <c r="P2399">
        <v>351</v>
      </c>
      <c r="Q2399" t="s">
        <v>5126</v>
      </c>
    </row>
    <row r="2400" spans="1:17" x14ac:dyDescent="0.3">
      <c r="A2400" t="s">
        <v>4729</v>
      </c>
      <c r="B2400" t="str">
        <f>"000605"</f>
        <v>000605</v>
      </c>
      <c r="C2400" t="s">
        <v>5127</v>
      </c>
      <c r="D2400" t="s">
        <v>33</v>
      </c>
      <c r="F2400">
        <v>14390384</v>
      </c>
      <c r="G2400">
        <v>20196945</v>
      </c>
      <c r="H2400">
        <v>26714471</v>
      </c>
      <c r="I2400">
        <v>27364639</v>
      </c>
      <c r="P2400">
        <v>85</v>
      </c>
      <c r="Q2400" t="s">
        <v>5128</v>
      </c>
    </row>
    <row r="2401" spans="1:17" x14ac:dyDescent="0.3">
      <c r="A2401" t="s">
        <v>4729</v>
      </c>
      <c r="B2401" t="str">
        <f>"000606"</f>
        <v>000606</v>
      </c>
      <c r="C2401" t="s">
        <v>5129</v>
      </c>
      <c r="D2401" t="s">
        <v>316</v>
      </c>
      <c r="F2401">
        <v>0</v>
      </c>
      <c r="G2401">
        <v>3273682</v>
      </c>
      <c r="H2401">
        <v>1854023</v>
      </c>
      <c r="I2401">
        <v>727423</v>
      </c>
      <c r="P2401">
        <v>99</v>
      </c>
      <c r="Q2401" t="s">
        <v>5130</v>
      </c>
    </row>
    <row r="2402" spans="1:17" x14ac:dyDescent="0.3">
      <c r="A2402" t="s">
        <v>4729</v>
      </c>
      <c r="B2402" t="str">
        <f>"000607"</f>
        <v>000607</v>
      </c>
      <c r="C2402" t="s">
        <v>5131</v>
      </c>
      <c r="D2402" t="s">
        <v>5132</v>
      </c>
      <c r="F2402">
        <v>10231105</v>
      </c>
      <c r="G2402">
        <v>11492882</v>
      </c>
      <c r="H2402">
        <v>14847839</v>
      </c>
      <c r="I2402">
        <v>10612875</v>
      </c>
      <c r="P2402">
        <v>109</v>
      </c>
      <c r="Q2402" t="s">
        <v>5133</v>
      </c>
    </row>
    <row r="2403" spans="1:17" x14ac:dyDescent="0.3">
      <c r="A2403" t="s">
        <v>4729</v>
      </c>
      <c r="B2403" t="str">
        <f>"000608"</f>
        <v>000608</v>
      </c>
      <c r="C2403" t="s">
        <v>5134</v>
      </c>
      <c r="D2403" t="s">
        <v>30</v>
      </c>
      <c r="F2403">
        <v>0</v>
      </c>
      <c r="G2403">
        <v>0</v>
      </c>
      <c r="P2403">
        <v>102</v>
      </c>
      <c r="Q2403" t="s">
        <v>5135</v>
      </c>
    </row>
    <row r="2404" spans="1:17" x14ac:dyDescent="0.3">
      <c r="A2404" t="s">
        <v>4729</v>
      </c>
      <c r="B2404" t="str">
        <f>"000609"</f>
        <v>000609</v>
      </c>
      <c r="C2404" t="s">
        <v>5136</v>
      </c>
      <c r="D2404" t="s">
        <v>104</v>
      </c>
      <c r="F2404">
        <v>0</v>
      </c>
      <c r="G2404">
        <v>0</v>
      </c>
      <c r="P2404">
        <v>95</v>
      </c>
      <c r="Q2404" t="s">
        <v>5137</v>
      </c>
    </row>
    <row r="2405" spans="1:17" x14ac:dyDescent="0.3">
      <c r="A2405" t="s">
        <v>4729</v>
      </c>
      <c r="B2405" t="str">
        <f>"000610"</f>
        <v>000610</v>
      </c>
      <c r="C2405" t="s">
        <v>5138</v>
      </c>
      <c r="D2405" t="s">
        <v>590</v>
      </c>
      <c r="F2405">
        <v>0</v>
      </c>
      <c r="G2405">
        <v>0</v>
      </c>
      <c r="P2405">
        <v>152</v>
      </c>
      <c r="Q2405" t="s">
        <v>5139</v>
      </c>
    </row>
    <row r="2406" spans="1:17" x14ac:dyDescent="0.3">
      <c r="A2406" t="s">
        <v>4729</v>
      </c>
      <c r="B2406" t="str">
        <f>"000611"</f>
        <v>000611</v>
      </c>
      <c r="C2406" t="s">
        <v>5140</v>
      </c>
      <c r="D2406" t="s">
        <v>292</v>
      </c>
      <c r="F2406">
        <v>0</v>
      </c>
      <c r="G2406">
        <v>0</v>
      </c>
      <c r="P2406">
        <v>68</v>
      </c>
      <c r="Q2406" t="s">
        <v>5141</v>
      </c>
    </row>
    <row r="2407" spans="1:17" x14ac:dyDescent="0.3">
      <c r="A2407" t="s">
        <v>4729</v>
      </c>
      <c r="B2407" t="str">
        <f>"000612"</f>
        <v>000612</v>
      </c>
      <c r="C2407" t="s">
        <v>5142</v>
      </c>
      <c r="D2407" t="s">
        <v>504</v>
      </c>
      <c r="F2407">
        <v>0</v>
      </c>
      <c r="G2407">
        <v>2252</v>
      </c>
      <c r="H2407">
        <v>18756</v>
      </c>
      <c r="I2407">
        <v>92810</v>
      </c>
      <c r="P2407">
        <v>199</v>
      </c>
      <c r="Q2407" t="s">
        <v>5143</v>
      </c>
    </row>
    <row r="2408" spans="1:17" x14ac:dyDescent="0.3">
      <c r="A2408" t="s">
        <v>4729</v>
      </c>
      <c r="B2408" t="str">
        <f>"000613"</f>
        <v>000613</v>
      </c>
      <c r="C2408" t="s">
        <v>5144</v>
      </c>
      <c r="D2408" t="s">
        <v>590</v>
      </c>
      <c r="F2408">
        <v>0</v>
      </c>
      <c r="G2408">
        <v>0</v>
      </c>
      <c r="P2408">
        <v>100</v>
      </c>
      <c r="Q2408" t="s">
        <v>5145</v>
      </c>
    </row>
    <row r="2409" spans="1:17" x14ac:dyDescent="0.3">
      <c r="A2409" t="s">
        <v>4729</v>
      </c>
      <c r="B2409" t="str">
        <f>"000615"</f>
        <v>000615</v>
      </c>
      <c r="C2409" t="s">
        <v>5146</v>
      </c>
      <c r="D2409" t="s">
        <v>5147</v>
      </c>
      <c r="F2409">
        <v>26310328</v>
      </c>
      <c r="G2409">
        <v>18924276</v>
      </c>
      <c r="H2409">
        <v>32033372</v>
      </c>
      <c r="I2409">
        <v>26971647</v>
      </c>
      <c r="P2409">
        <v>188</v>
      </c>
      <c r="Q2409" t="s">
        <v>5148</v>
      </c>
    </row>
    <row r="2410" spans="1:17" x14ac:dyDescent="0.3">
      <c r="A2410" t="s">
        <v>4729</v>
      </c>
      <c r="B2410" t="str">
        <f>"000616"</f>
        <v>000616</v>
      </c>
      <c r="C2410" t="s">
        <v>5149</v>
      </c>
      <c r="D2410" t="s">
        <v>104</v>
      </c>
      <c r="F2410">
        <v>0</v>
      </c>
      <c r="G2410">
        <v>0</v>
      </c>
      <c r="P2410">
        <v>140</v>
      </c>
      <c r="Q2410" t="s">
        <v>5150</v>
      </c>
    </row>
    <row r="2411" spans="1:17" x14ac:dyDescent="0.3">
      <c r="A2411" t="s">
        <v>4729</v>
      </c>
      <c r="B2411" t="str">
        <f>"000617"</f>
        <v>000617</v>
      </c>
      <c r="C2411" t="s">
        <v>5151</v>
      </c>
      <c r="D2411" t="s">
        <v>140</v>
      </c>
      <c r="F2411">
        <v>0</v>
      </c>
      <c r="G2411">
        <v>0</v>
      </c>
      <c r="P2411">
        <v>232</v>
      </c>
      <c r="Q2411" t="s">
        <v>5152</v>
      </c>
    </row>
    <row r="2412" spans="1:17" x14ac:dyDescent="0.3">
      <c r="A2412" t="s">
        <v>4729</v>
      </c>
      <c r="B2412" t="str">
        <f>"000619"</f>
        <v>000619</v>
      </c>
      <c r="C2412" t="s">
        <v>5153</v>
      </c>
      <c r="D2412" t="s">
        <v>722</v>
      </c>
      <c r="F2412">
        <v>29151389</v>
      </c>
      <c r="G2412">
        <v>12018026</v>
      </c>
      <c r="H2412">
        <v>10202172</v>
      </c>
      <c r="I2412">
        <v>9521264</v>
      </c>
      <c r="P2412">
        <v>98</v>
      </c>
      <c r="Q2412" t="s">
        <v>5154</v>
      </c>
    </row>
    <row r="2413" spans="1:17" x14ac:dyDescent="0.3">
      <c r="A2413" t="s">
        <v>4729</v>
      </c>
      <c r="B2413" t="str">
        <f>"000620"</f>
        <v>000620</v>
      </c>
      <c r="C2413" t="s">
        <v>5155</v>
      </c>
      <c r="D2413" t="s">
        <v>104</v>
      </c>
      <c r="F2413">
        <v>0</v>
      </c>
      <c r="G2413">
        <v>0</v>
      </c>
      <c r="P2413">
        <v>298</v>
      </c>
      <c r="Q2413" t="s">
        <v>5156</v>
      </c>
    </row>
    <row r="2414" spans="1:17" x14ac:dyDescent="0.3">
      <c r="A2414" t="s">
        <v>4729</v>
      </c>
      <c r="B2414" t="str">
        <f>"000622"</f>
        <v>000622</v>
      </c>
      <c r="C2414" t="s">
        <v>5157</v>
      </c>
      <c r="D2414" t="s">
        <v>110</v>
      </c>
      <c r="F2414">
        <v>1638195</v>
      </c>
      <c r="G2414">
        <v>1098751</v>
      </c>
      <c r="H2414">
        <v>1088341</v>
      </c>
      <c r="I2414">
        <v>401619</v>
      </c>
      <c r="P2414">
        <v>101</v>
      </c>
      <c r="Q2414" t="s">
        <v>5158</v>
      </c>
    </row>
    <row r="2415" spans="1:17" x14ac:dyDescent="0.3">
      <c r="A2415" t="s">
        <v>4729</v>
      </c>
      <c r="B2415" t="str">
        <f>"000623"</f>
        <v>000623</v>
      </c>
      <c r="C2415" t="s">
        <v>5159</v>
      </c>
      <c r="D2415" t="s">
        <v>143</v>
      </c>
      <c r="F2415">
        <v>49416572</v>
      </c>
      <c r="G2415">
        <v>67214653</v>
      </c>
      <c r="H2415">
        <v>142897914</v>
      </c>
      <c r="I2415">
        <v>87923838</v>
      </c>
      <c r="P2415">
        <v>671</v>
      </c>
      <c r="Q2415" t="s">
        <v>5160</v>
      </c>
    </row>
    <row r="2416" spans="1:17" x14ac:dyDescent="0.3">
      <c r="A2416" t="s">
        <v>4729</v>
      </c>
      <c r="B2416" t="str">
        <f>"000625"</f>
        <v>000625</v>
      </c>
      <c r="C2416" t="s">
        <v>5161</v>
      </c>
      <c r="D2416" t="s">
        <v>247</v>
      </c>
      <c r="F2416">
        <v>3515029179</v>
      </c>
      <c r="G2416">
        <v>3153888007</v>
      </c>
      <c r="H2416">
        <v>3169063761</v>
      </c>
      <c r="I2416">
        <v>2543265379</v>
      </c>
      <c r="P2416">
        <v>3098</v>
      </c>
      <c r="Q2416" t="s">
        <v>5162</v>
      </c>
    </row>
    <row r="2417" spans="1:17" x14ac:dyDescent="0.3">
      <c r="A2417" t="s">
        <v>4729</v>
      </c>
      <c r="B2417" t="str">
        <f>"000626"</f>
        <v>000626</v>
      </c>
      <c r="C2417" t="s">
        <v>5163</v>
      </c>
      <c r="D2417" t="s">
        <v>128</v>
      </c>
      <c r="F2417">
        <v>1949105</v>
      </c>
      <c r="G2417">
        <v>0</v>
      </c>
      <c r="P2417">
        <v>125</v>
      </c>
      <c r="Q2417" t="s">
        <v>5164</v>
      </c>
    </row>
    <row r="2418" spans="1:17" x14ac:dyDescent="0.3">
      <c r="A2418" t="s">
        <v>4729</v>
      </c>
      <c r="B2418" t="str">
        <f>"000627"</f>
        <v>000627</v>
      </c>
      <c r="C2418" t="s">
        <v>5165</v>
      </c>
      <c r="D2418" t="s">
        <v>660</v>
      </c>
      <c r="F2418">
        <v>0</v>
      </c>
      <c r="G2418">
        <v>0</v>
      </c>
      <c r="I2418">
        <v>19220618</v>
      </c>
      <c r="P2418">
        <v>288</v>
      </c>
      <c r="Q2418" t="s">
        <v>5166</v>
      </c>
    </row>
    <row r="2419" spans="1:17" x14ac:dyDescent="0.3">
      <c r="A2419" t="s">
        <v>4729</v>
      </c>
      <c r="B2419" t="str">
        <f>"000628"</f>
        <v>000628</v>
      </c>
      <c r="C2419" t="s">
        <v>5167</v>
      </c>
      <c r="D2419" t="s">
        <v>398</v>
      </c>
      <c r="F2419">
        <v>12303380</v>
      </c>
      <c r="G2419">
        <v>6939483</v>
      </c>
      <c r="P2419">
        <v>127</v>
      </c>
      <c r="Q2419" t="s">
        <v>5168</v>
      </c>
    </row>
    <row r="2420" spans="1:17" x14ac:dyDescent="0.3">
      <c r="A2420" t="s">
        <v>4729</v>
      </c>
      <c r="B2420" t="str">
        <f>"000629"</f>
        <v>000629</v>
      </c>
      <c r="C2420" t="s">
        <v>5169</v>
      </c>
      <c r="D2420" t="s">
        <v>669</v>
      </c>
      <c r="F2420">
        <v>672789649</v>
      </c>
      <c r="G2420">
        <v>380295084</v>
      </c>
      <c r="H2420">
        <v>463555914</v>
      </c>
      <c r="I2420">
        <v>337724444</v>
      </c>
      <c r="P2420">
        <v>335</v>
      </c>
      <c r="Q2420" t="s">
        <v>5170</v>
      </c>
    </row>
    <row r="2421" spans="1:17" x14ac:dyDescent="0.3">
      <c r="A2421" t="s">
        <v>4729</v>
      </c>
      <c r="B2421" t="str">
        <f>"000630"</f>
        <v>000630</v>
      </c>
      <c r="C2421" t="s">
        <v>5171</v>
      </c>
      <c r="D2421" t="s">
        <v>263</v>
      </c>
      <c r="F2421">
        <v>185000564</v>
      </c>
      <c r="G2421">
        <v>123222398</v>
      </c>
      <c r="H2421">
        <v>147381145</v>
      </c>
      <c r="I2421">
        <v>126036563</v>
      </c>
      <c r="P2421">
        <v>464</v>
      </c>
      <c r="Q2421" t="s">
        <v>5172</v>
      </c>
    </row>
    <row r="2422" spans="1:17" x14ac:dyDescent="0.3">
      <c r="A2422" t="s">
        <v>4729</v>
      </c>
      <c r="B2422" t="str">
        <f>"000631"</f>
        <v>000631</v>
      </c>
      <c r="C2422" t="s">
        <v>5173</v>
      </c>
      <c r="D2422" t="s">
        <v>104</v>
      </c>
      <c r="F2422">
        <v>0</v>
      </c>
      <c r="G2422">
        <v>0</v>
      </c>
      <c r="P2422">
        <v>359</v>
      </c>
      <c r="Q2422" t="s">
        <v>5174</v>
      </c>
    </row>
    <row r="2423" spans="1:17" x14ac:dyDescent="0.3">
      <c r="A2423" t="s">
        <v>4729</v>
      </c>
      <c r="B2423" t="str">
        <f>"000632"</f>
        <v>000632</v>
      </c>
      <c r="C2423" t="s">
        <v>5175</v>
      </c>
      <c r="D2423" t="s">
        <v>110</v>
      </c>
      <c r="F2423">
        <v>0</v>
      </c>
      <c r="G2423">
        <v>0</v>
      </c>
      <c r="P2423">
        <v>69</v>
      </c>
      <c r="Q2423" t="s">
        <v>5176</v>
      </c>
    </row>
    <row r="2424" spans="1:17" x14ac:dyDescent="0.3">
      <c r="A2424" t="s">
        <v>4729</v>
      </c>
      <c r="B2424" t="str">
        <f>"000633"</f>
        <v>000633</v>
      </c>
      <c r="C2424" t="s">
        <v>5177</v>
      </c>
      <c r="D2424" t="s">
        <v>581</v>
      </c>
      <c r="F2424">
        <v>0</v>
      </c>
      <c r="G2424">
        <v>0</v>
      </c>
      <c r="P2424">
        <v>72</v>
      </c>
      <c r="Q2424" t="s">
        <v>5178</v>
      </c>
    </row>
    <row r="2425" spans="1:17" x14ac:dyDescent="0.3">
      <c r="A2425" t="s">
        <v>4729</v>
      </c>
      <c r="B2425" t="str">
        <f>"000635"</f>
        <v>000635</v>
      </c>
      <c r="C2425" t="s">
        <v>5179</v>
      </c>
      <c r="D2425" t="s">
        <v>175</v>
      </c>
      <c r="F2425">
        <v>598201</v>
      </c>
      <c r="G2425">
        <v>1387682</v>
      </c>
      <c r="H2425">
        <v>1778442</v>
      </c>
      <c r="I2425">
        <v>4099577</v>
      </c>
      <c r="P2425">
        <v>135</v>
      </c>
      <c r="Q2425" t="s">
        <v>5180</v>
      </c>
    </row>
    <row r="2426" spans="1:17" x14ac:dyDescent="0.3">
      <c r="A2426" t="s">
        <v>4729</v>
      </c>
      <c r="B2426" t="str">
        <f>"000636"</f>
        <v>000636</v>
      </c>
      <c r="C2426" t="s">
        <v>5181</v>
      </c>
      <c r="D2426" t="s">
        <v>546</v>
      </c>
      <c r="F2426">
        <v>294838432</v>
      </c>
      <c r="G2426">
        <v>230269984</v>
      </c>
      <c r="H2426">
        <v>143628350</v>
      </c>
      <c r="I2426">
        <v>177077859</v>
      </c>
      <c r="P2426">
        <v>896</v>
      </c>
      <c r="Q2426" t="s">
        <v>5182</v>
      </c>
    </row>
    <row r="2427" spans="1:17" x14ac:dyDescent="0.3">
      <c r="A2427" t="s">
        <v>4729</v>
      </c>
      <c r="B2427" t="str">
        <f>"000637"</f>
        <v>000637</v>
      </c>
      <c r="C2427" t="s">
        <v>5183</v>
      </c>
      <c r="D2427" t="s">
        <v>1617</v>
      </c>
      <c r="F2427">
        <v>13732730</v>
      </c>
      <c r="G2427">
        <v>14410380</v>
      </c>
      <c r="H2427">
        <v>14964265</v>
      </c>
      <c r="I2427">
        <v>9772463</v>
      </c>
      <c r="P2427">
        <v>93</v>
      </c>
      <c r="Q2427" t="s">
        <v>5184</v>
      </c>
    </row>
    <row r="2428" spans="1:17" x14ac:dyDescent="0.3">
      <c r="A2428" t="s">
        <v>4729</v>
      </c>
      <c r="B2428" t="str">
        <f>"000638"</f>
        <v>000638</v>
      </c>
      <c r="C2428" t="s">
        <v>5185</v>
      </c>
      <c r="D2428" t="s">
        <v>316</v>
      </c>
      <c r="F2428">
        <v>5946937</v>
      </c>
      <c r="G2428">
        <v>9078263</v>
      </c>
      <c r="H2428">
        <v>7719159</v>
      </c>
      <c r="I2428">
        <v>6178527</v>
      </c>
      <c r="P2428">
        <v>87</v>
      </c>
      <c r="Q2428" t="s">
        <v>5186</v>
      </c>
    </row>
    <row r="2429" spans="1:17" x14ac:dyDescent="0.3">
      <c r="A2429" t="s">
        <v>4729</v>
      </c>
      <c r="B2429" t="str">
        <f>"000639"</f>
        <v>000639</v>
      </c>
      <c r="C2429" t="s">
        <v>5187</v>
      </c>
      <c r="D2429" t="s">
        <v>306</v>
      </c>
      <c r="F2429">
        <v>105359652</v>
      </c>
      <c r="G2429">
        <v>103052177</v>
      </c>
      <c r="H2429">
        <v>95138821</v>
      </c>
      <c r="I2429">
        <v>90039554</v>
      </c>
      <c r="P2429">
        <v>328</v>
      </c>
      <c r="Q2429" t="s">
        <v>5188</v>
      </c>
    </row>
    <row r="2430" spans="1:17" x14ac:dyDescent="0.3">
      <c r="A2430" t="s">
        <v>4729</v>
      </c>
      <c r="B2430" t="str">
        <f>"000650"</f>
        <v>000650</v>
      </c>
      <c r="C2430" t="s">
        <v>5189</v>
      </c>
      <c r="D2430" t="s">
        <v>188</v>
      </c>
      <c r="F2430">
        <v>52143772</v>
      </c>
      <c r="G2430">
        <v>39794066</v>
      </c>
      <c r="H2430">
        <v>38041576</v>
      </c>
      <c r="I2430">
        <v>31077318</v>
      </c>
      <c r="P2430">
        <v>888</v>
      </c>
      <c r="Q2430" t="s">
        <v>5190</v>
      </c>
    </row>
    <row r="2431" spans="1:17" x14ac:dyDescent="0.3">
      <c r="A2431" t="s">
        <v>4729</v>
      </c>
      <c r="B2431" t="str">
        <f>"000651"</f>
        <v>000651</v>
      </c>
      <c r="C2431" t="s">
        <v>5191</v>
      </c>
      <c r="D2431" t="s">
        <v>1727</v>
      </c>
      <c r="F2431">
        <v>6296715941</v>
      </c>
      <c r="G2431">
        <v>6052563108</v>
      </c>
      <c r="H2431">
        <v>5891219716</v>
      </c>
      <c r="I2431">
        <v>6988368286</v>
      </c>
      <c r="P2431">
        <v>55060</v>
      </c>
      <c r="Q2431" t="s">
        <v>5192</v>
      </c>
    </row>
    <row r="2432" spans="1:17" x14ac:dyDescent="0.3">
      <c r="A2432" t="s">
        <v>4729</v>
      </c>
      <c r="B2432" t="str">
        <f>"000652"</f>
        <v>000652</v>
      </c>
      <c r="C2432" t="s">
        <v>5193</v>
      </c>
      <c r="D2432" t="s">
        <v>110</v>
      </c>
      <c r="F2432">
        <v>23485833</v>
      </c>
      <c r="G2432">
        <v>24650202</v>
      </c>
      <c r="H2432">
        <v>10527906</v>
      </c>
      <c r="I2432">
        <v>7145791</v>
      </c>
      <c r="P2432">
        <v>196</v>
      </c>
      <c r="Q2432" t="s">
        <v>5194</v>
      </c>
    </row>
    <row r="2433" spans="1:17" x14ac:dyDescent="0.3">
      <c r="A2433" t="s">
        <v>4729</v>
      </c>
      <c r="B2433" t="str">
        <f>"000655"</f>
        <v>000655</v>
      </c>
      <c r="C2433" t="s">
        <v>5195</v>
      </c>
      <c r="D2433" t="s">
        <v>2376</v>
      </c>
      <c r="F2433">
        <v>28037480</v>
      </c>
      <c r="G2433">
        <v>15799076</v>
      </c>
      <c r="H2433">
        <v>14964293</v>
      </c>
      <c r="I2433">
        <v>12331128</v>
      </c>
      <c r="P2433">
        <v>145</v>
      </c>
      <c r="Q2433" t="s">
        <v>5196</v>
      </c>
    </row>
    <row r="2434" spans="1:17" x14ac:dyDescent="0.3">
      <c r="A2434" t="s">
        <v>4729</v>
      </c>
      <c r="B2434" t="str">
        <f>"000656"</f>
        <v>000656</v>
      </c>
      <c r="C2434" t="s">
        <v>5197</v>
      </c>
      <c r="D2434" t="s">
        <v>104</v>
      </c>
      <c r="F2434">
        <v>101573670</v>
      </c>
      <c r="G2434">
        <v>92157377</v>
      </c>
      <c r="H2434">
        <v>41052504</v>
      </c>
      <c r="I2434">
        <v>3404813</v>
      </c>
      <c r="P2434">
        <v>1065</v>
      </c>
      <c r="Q2434" t="s">
        <v>5198</v>
      </c>
    </row>
    <row r="2435" spans="1:17" x14ac:dyDescent="0.3">
      <c r="A2435" t="s">
        <v>4729</v>
      </c>
      <c r="B2435" t="str">
        <f>"000657"</f>
        <v>000657</v>
      </c>
      <c r="C2435" t="s">
        <v>5199</v>
      </c>
      <c r="D2435" t="s">
        <v>1110</v>
      </c>
      <c r="F2435">
        <v>412079933</v>
      </c>
      <c r="G2435">
        <v>366813126</v>
      </c>
      <c r="H2435">
        <v>307485938</v>
      </c>
      <c r="I2435">
        <v>175382481</v>
      </c>
      <c r="P2435">
        <v>177</v>
      </c>
      <c r="Q2435" t="s">
        <v>5200</v>
      </c>
    </row>
    <row r="2436" spans="1:17" x14ac:dyDescent="0.3">
      <c r="A2436" t="s">
        <v>4729</v>
      </c>
      <c r="B2436" t="str">
        <f>"000658"</f>
        <v>000658</v>
      </c>
      <c r="C2436" t="s">
        <v>5201</v>
      </c>
      <c r="P2436">
        <v>5</v>
      </c>
      <c r="Q2436" t="s">
        <v>5202</v>
      </c>
    </row>
    <row r="2437" spans="1:17" x14ac:dyDescent="0.3">
      <c r="A2437" t="s">
        <v>4729</v>
      </c>
      <c r="B2437" t="str">
        <f>"000659"</f>
        <v>000659</v>
      </c>
      <c r="C2437" t="s">
        <v>5203</v>
      </c>
      <c r="D2437" t="s">
        <v>485</v>
      </c>
      <c r="F2437">
        <v>4314481</v>
      </c>
      <c r="G2437">
        <v>2691164</v>
      </c>
      <c r="H2437">
        <v>5273466</v>
      </c>
      <c r="I2437">
        <v>3363953</v>
      </c>
      <c r="P2437">
        <v>77</v>
      </c>
      <c r="Q2437" t="s">
        <v>5204</v>
      </c>
    </row>
    <row r="2438" spans="1:17" x14ac:dyDescent="0.3">
      <c r="A2438" t="s">
        <v>4729</v>
      </c>
      <c r="B2438" t="str">
        <f>"000660"</f>
        <v>000660</v>
      </c>
      <c r="C2438" t="s">
        <v>5205</v>
      </c>
      <c r="P2438">
        <v>6</v>
      </c>
      <c r="Q2438" t="s">
        <v>5206</v>
      </c>
    </row>
    <row r="2439" spans="1:17" x14ac:dyDescent="0.3">
      <c r="A2439" t="s">
        <v>4729</v>
      </c>
      <c r="B2439" t="str">
        <f>"000661"</f>
        <v>000661</v>
      </c>
      <c r="C2439" t="s">
        <v>5207</v>
      </c>
      <c r="D2439" t="s">
        <v>1379</v>
      </c>
      <c r="F2439">
        <v>884504591</v>
      </c>
      <c r="G2439">
        <v>474605920</v>
      </c>
      <c r="H2439">
        <v>370437612</v>
      </c>
      <c r="I2439">
        <v>328064734</v>
      </c>
      <c r="P2439">
        <v>59932</v>
      </c>
      <c r="Q2439" t="s">
        <v>5208</v>
      </c>
    </row>
    <row r="2440" spans="1:17" x14ac:dyDescent="0.3">
      <c r="A2440" t="s">
        <v>4729</v>
      </c>
      <c r="B2440" t="str">
        <f>"000662"</f>
        <v>000662</v>
      </c>
      <c r="C2440" t="s">
        <v>5209</v>
      </c>
      <c r="H2440">
        <v>0</v>
      </c>
      <c r="I2440">
        <v>21271542</v>
      </c>
      <c r="P2440">
        <v>146</v>
      </c>
      <c r="Q2440" t="s">
        <v>5210</v>
      </c>
    </row>
    <row r="2441" spans="1:17" x14ac:dyDescent="0.3">
      <c r="A2441" t="s">
        <v>4729</v>
      </c>
      <c r="B2441" t="str">
        <f>"000663"</f>
        <v>000663</v>
      </c>
      <c r="C2441" t="s">
        <v>5211</v>
      </c>
      <c r="D2441" t="s">
        <v>2664</v>
      </c>
      <c r="F2441">
        <v>0</v>
      </c>
      <c r="G2441">
        <v>0</v>
      </c>
      <c r="P2441">
        <v>93</v>
      </c>
      <c r="Q2441" t="s">
        <v>5212</v>
      </c>
    </row>
    <row r="2442" spans="1:17" x14ac:dyDescent="0.3">
      <c r="A2442" t="s">
        <v>4729</v>
      </c>
      <c r="B2442" t="str">
        <f>"000665"</f>
        <v>000665</v>
      </c>
      <c r="C2442" t="s">
        <v>5213</v>
      </c>
      <c r="D2442" t="s">
        <v>95</v>
      </c>
      <c r="F2442">
        <v>69557141</v>
      </c>
      <c r="G2442">
        <v>68704624</v>
      </c>
      <c r="H2442">
        <v>79532885</v>
      </c>
      <c r="I2442">
        <v>75845792</v>
      </c>
      <c r="P2442">
        <v>221</v>
      </c>
      <c r="Q2442" t="s">
        <v>5214</v>
      </c>
    </row>
    <row r="2443" spans="1:17" x14ac:dyDescent="0.3">
      <c r="A2443" t="s">
        <v>4729</v>
      </c>
      <c r="B2443" t="str">
        <f>"000666"</f>
        <v>000666</v>
      </c>
      <c r="C2443" t="s">
        <v>5215</v>
      </c>
      <c r="D2443" t="s">
        <v>1651</v>
      </c>
      <c r="F2443">
        <v>216369324</v>
      </c>
      <c r="G2443">
        <v>176420298</v>
      </c>
      <c r="H2443">
        <v>200717098</v>
      </c>
      <c r="I2443">
        <v>172697895</v>
      </c>
      <c r="P2443">
        <v>186</v>
      </c>
      <c r="Q2443" t="s">
        <v>5216</v>
      </c>
    </row>
    <row r="2444" spans="1:17" x14ac:dyDescent="0.3">
      <c r="A2444" t="s">
        <v>4729</v>
      </c>
      <c r="B2444" t="str">
        <f>"000667"</f>
        <v>000667</v>
      </c>
      <c r="C2444" t="s">
        <v>5217</v>
      </c>
      <c r="D2444" t="s">
        <v>104</v>
      </c>
      <c r="F2444">
        <v>5663447</v>
      </c>
      <c r="G2444">
        <v>7188350</v>
      </c>
      <c r="H2444">
        <v>25917437</v>
      </c>
      <c r="I2444">
        <v>6527349</v>
      </c>
      <c r="P2444">
        <v>169</v>
      </c>
      <c r="Q2444" t="s">
        <v>5218</v>
      </c>
    </row>
    <row r="2445" spans="1:17" x14ac:dyDescent="0.3">
      <c r="A2445" t="s">
        <v>4729</v>
      </c>
      <c r="B2445" t="str">
        <f>"000668"</f>
        <v>000668</v>
      </c>
      <c r="C2445" t="s">
        <v>5219</v>
      </c>
      <c r="D2445" t="s">
        <v>104</v>
      </c>
      <c r="F2445">
        <v>0</v>
      </c>
      <c r="G2445">
        <v>0</v>
      </c>
      <c r="P2445">
        <v>96</v>
      </c>
      <c r="Q2445" t="s">
        <v>5220</v>
      </c>
    </row>
    <row r="2446" spans="1:17" x14ac:dyDescent="0.3">
      <c r="A2446" t="s">
        <v>4729</v>
      </c>
      <c r="B2446" t="str">
        <f>"000669"</f>
        <v>000669</v>
      </c>
      <c r="C2446" t="s">
        <v>5221</v>
      </c>
      <c r="D2446" t="s">
        <v>749</v>
      </c>
      <c r="F2446">
        <v>15953571</v>
      </c>
      <c r="G2446">
        <v>11987886</v>
      </c>
      <c r="H2446">
        <v>7778039</v>
      </c>
      <c r="I2446">
        <v>19997136</v>
      </c>
      <c r="P2446">
        <v>83</v>
      </c>
      <c r="Q2446" t="s">
        <v>5222</v>
      </c>
    </row>
    <row r="2447" spans="1:17" x14ac:dyDescent="0.3">
      <c r="A2447" t="s">
        <v>4729</v>
      </c>
      <c r="B2447" t="str">
        <f>"000670"</f>
        <v>000670</v>
      </c>
      <c r="C2447" t="s">
        <v>5223</v>
      </c>
      <c r="D2447" t="s">
        <v>461</v>
      </c>
      <c r="F2447">
        <v>19348356</v>
      </c>
      <c r="G2447">
        <v>4717675</v>
      </c>
      <c r="H2447">
        <v>12707563</v>
      </c>
      <c r="I2447">
        <v>23489653</v>
      </c>
      <c r="P2447">
        <v>116</v>
      </c>
      <c r="Q2447" t="s">
        <v>5224</v>
      </c>
    </row>
    <row r="2448" spans="1:17" x14ac:dyDescent="0.3">
      <c r="A2448" t="s">
        <v>4729</v>
      </c>
      <c r="B2448" t="str">
        <f>"000671"</f>
        <v>000671</v>
      </c>
      <c r="C2448" t="s">
        <v>5225</v>
      </c>
      <c r="D2448" t="s">
        <v>104</v>
      </c>
      <c r="F2448">
        <v>80623441</v>
      </c>
      <c r="G2448">
        <v>66731099</v>
      </c>
      <c r="H2448">
        <v>0</v>
      </c>
      <c r="I2448">
        <v>0</v>
      </c>
      <c r="P2448">
        <v>1192</v>
      </c>
      <c r="Q2448" t="s">
        <v>5226</v>
      </c>
    </row>
    <row r="2449" spans="1:17" x14ac:dyDescent="0.3">
      <c r="A2449" t="s">
        <v>4729</v>
      </c>
      <c r="B2449" t="str">
        <f>"000672"</f>
        <v>000672</v>
      </c>
      <c r="C2449" t="s">
        <v>5227</v>
      </c>
      <c r="D2449" t="s">
        <v>731</v>
      </c>
      <c r="F2449">
        <v>180664122</v>
      </c>
      <c r="G2449">
        <v>72056235</v>
      </c>
      <c r="H2449">
        <v>57438002</v>
      </c>
      <c r="I2449">
        <v>0</v>
      </c>
      <c r="P2449">
        <v>1263</v>
      </c>
      <c r="Q2449" t="s">
        <v>5228</v>
      </c>
    </row>
    <row r="2450" spans="1:17" x14ac:dyDescent="0.3">
      <c r="A2450" t="s">
        <v>4729</v>
      </c>
      <c r="B2450" t="str">
        <f>"000673"</f>
        <v>000673</v>
      </c>
      <c r="C2450" t="s">
        <v>5229</v>
      </c>
      <c r="D2450" t="s">
        <v>113</v>
      </c>
      <c r="F2450">
        <v>0</v>
      </c>
      <c r="G2450">
        <v>0</v>
      </c>
      <c r="P2450">
        <v>90</v>
      </c>
      <c r="Q2450" t="s">
        <v>5230</v>
      </c>
    </row>
    <row r="2451" spans="1:17" x14ac:dyDescent="0.3">
      <c r="A2451" t="s">
        <v>4729</v>
      </c>
      <c r="B2451" t="str">
        <f>"000675"</f>
        <v>000675</v>
      </c>
      <c r="C2451" t="s">
        <v>5231</v>
      </c>
      <c r="P2451">
        <v>5</v>
      </c>
      <c r="Q2451" t="s">
        <v>5232</v>
      </c>
    </row>
    <row r="2452" spans="1:17" x14ac:dyDescent="0.3">
      <c r="A2452" t="s">
        <v>4729</v>
      </c>
      <c r="B2452" t="str">
        <f>"000676"</f>
        <v>000676</v>
      </c>
      <c r="C2452" t="s">
        <v>5233</v>
      </c>
      <c r="D2452" t="s">
        <v>207</v>
      </c>
      <c r="F2452">
        <v>117323147</v>
      </c>
      <c r="G2452">
        <v>163688516</v>
      </c>
      <c r="H2452">
        <v>160564901</v>
      </c>
      <c r="I2452">
        <v>118293188</v>
      </c>
      <c r="P2452">
        <v>215</v>
      </c>
      <c r="Q2452" t="s">
        <v>5234</v>
      </c>
    </row>
    <row r="2453" spans="1:17" x14ac:dyDescent="0.3">
      <c r="A2453" t="s">
        <v>4729</v>
      </c>
      <c r="B2453" t="str">
        <f>"000677"</f>
        <v>000677</v>
      </c>
      <c r="C2453" t="s">
        <v>5235</v>
      </c>
      <c r="D2453" t="s">
        <v>888</v>
      </c>
      <c r="F2453">
        <v>1750869</v>
      </c>
      <c r="G2453">
        <v>8568995</v>
      </c>
      <c r="H2453">
        <v>5089289</v>
      </c>
      <c r="I2453">
        <v>351498</v>
      </c>
      <c r="P2453">
        <v>80</v>
      </c>
      <c r="Q2453" t="s">
        <v>5236</v>
      </c>
    </row>
    <row r="2454" spans="1:17" x14ac:dyDescent="0.3">
      <c r="A2454" t="s">
        <v>4729</v>
      </c>
      <c r="B2454" t="str">
        <f>"000678"</f>
        <v>000678</v>
      </c>
      <c r="C2454" t="s">
        <v>5237</v>
      </c>
      <c r="D2454" t="s">
        <v>348</v>
      </c>
      <c r="F2454">
        <v>41946623</v>
      </c>
      <c r="G2454">
        <v>39923695</v>
      </c>
      <c r="H2454">
        <v>37475584</v>
      </c>
      <c r="I2454">
        <v>7393742</v>
      </c>
      <c r="P2454">
        <v>71</v>
      </c>
      <c r="Q2454" t="s">
        <v>5238</v>
      </c>
    </row>
    <row r="2455" spans="1:17" x14ac:dyDescent="0.3">
      <c r="A2455" t="s">
        <v>4729</v>
      </c>
      <c r="B2455" t="str">
        <f>"000679"</f>
        <v>000679</v>
      </c>
      <c r="C2455" t="s">
        <v>5239</v>
      </c>
      <c r="D2455" t="s">
        <v>1404</v>
      </c>
      <c r="F2455">
        <v>0</v>
      </c>
      <c r="G2455">
        <v>0</v>
      </c>
      <c r="P2455">
        <v>83</v>
      </c>
      <c r="Q2455" t="s">
        <v>5240</v>
      </c>
    </row>
    <row r="2456" spans="1:17" x14ac:dyDescent="0.3">
      <c r="A2456" t="s">
        <v>4729</v>
      </c>
      <c r="B2456" t="str">
        <f>"000680"</f>
        <v>000680</v>
      </c>
      <c r="C2456" t="s">
        <v>5241</v>
      </c>
      <c r="D2456" t="s">
        <v>83</v>
      </c>
      <c r="F2456">
        <v>339882562</v>
      </c>
      <c r="G2456">
        <v>251571960</v>
      </c>
      <c r="H2456">
        <v>230112447</v>
      </c>
      <c r="I2456">
        <v>228640359</v>
      </c>
      <c r="P2456">
        <v>120</v>
      </c>
      <c r="Q2456" t="s">
        <v>5242</v>
      </c>
    </row>
    <row r="2457" spans="1:17" x14ac:dyDescent="0.3">
      <c r="A2457" t="s">
        <v>4729</v>
      </c>
      <c r="B2457" t="str">
        <f>"000681"</f>
        <v>000681</v>
      </c>
      <c r="C2457" t="s">
        <v>5243</v>
      </c>
      <c r="D2457" t="s">
        <v>5244</v>
      </c>
      <c r="F2457">
        <v>64603903</v>
      </c>
      <c r="G2457">
        <v>50196240</v>
      </c>
      <c r="H2457">
        <v>44031744</v>
      </c>
      <c r="I2457">
        <v>44499326</v>
      </c>
      <c r="P2457">
        <v>449</v>
      </c>
      <c r="Q2457" t="s">
        <v>5245</v>
      </c>
    </row>
    <row r="2458" spans="1:17" x14ac:dyDescent="0.3">
      <c r="A2458" t="s">
        <v>4729</v>
      </c>
      <c r="B2458" t="str">
        <f>"000682"</f>
        <v>000682</v>
      </c>
      <c r="C2458" t="s">
        <v>5246</v>
      </c>
      <c r="D2458" t="s">
        <v>610</v>
      </c>
      <c r="F2458">
        <v>379528721</v>
      </c>
      <c r="G2458">
        <v>320315687</v>
      </c>
      <c r="H2458">
        <v>260216564</v>
      </c>
      <c r="I2458">
        <v>210513368</v>
      </c>
      <c r="P2458">
        <v>156</v>
      </c>
      <c r="Q2458" t="s">
        <v>5247</v>
      </c>
    </row>
    <row r="2459" spans="1:17" x14ac:dyDescent="0.3">
      <c r="A2459" t="s">
        <v>4729</v>
      </c>
      <c r="B2459" t="str">
        <f>"000683"</f>
        <v>000683</v>
      </c>
      <c r="C2459" t="s">
        <v>5248</v>
      </c>
      <c r="D2459" t="s">
        <v>2529</v>
      </c>
      <c r="F2459">
        <v>156524456</v>
      </c>
      <c r="G2459">
        <v>123159528</v>
      </c>
      <c r="H2459">
        <v>128113807</v>
      </c>
      <c r="I2459">
        <v>129968440</v>
      </c>
      <c r="P2459">
        <v>314</v>
      </c>
      <c r="Q2459" t="s">
        <v>5249</v>
      </c>
    </row>
    <row r="2460" spans="1:17" x14ac:dyDescent="0.3">
      <c r="A2460" t="s">
        <v>4729</v>
      </c>
      <c r="B2460" t="str">
        <f>"000685"</f>
        <v>000685</v>
      </c>
      <c r="C2460" t="s">
        <v>5250</v>
      </c>
      <c r="D2460" t="s">
        <v>33</v>
      </c>
      <c r="F2460">
        <v>66255749</v>
      </c>
      <c r="G2460">
        <v>68890502</v>
      </c>
      <c r="H2460">
        <v>33531320</v>
      </c>
      <c r="P2460">
        <v>511</v>
      </c>
      <c r="Q2460" t="s">
        <v>5251</v>
      </c>
    </row>
    <row r="2461" spans="1:17" x14ac:dyDescent="0.3">
      <c r="A2461" t="s">
        <v>4729</v>
      </c>
      <c r="B2461" t="str">
        <f>"000686"</f>
        <v>000686</v>
      </c>
      <c r="C2461" t="s">
        <v>5252</v>
      </c>
      <c r="D2461" t="s">
        <v>80</v>
      </c>
      <c r="P2461">
        <v>890</v>
      </c>
      <c r="Q2461" t="s">
        <v>5253</v>
      </c>
    </row>
    <row r="2462" spans="1:17" x14ac:dyDescent="0.3">
      <c r="A2462" t="s">
        <v>4729</v>
      </c>
      <c r="B2462" t="str">
        <f>"000687"</f>
        <v>000687</v>
      </c>
      <c r="C2462" t="s">
        <v>5254</v>
      </c>
      <c r="D2462" t="s">
        <v>98</v>
      </c>
      <c r="F2462">
        <v>8597208</v>
      </c>
      <c r="G2462">
        <v>10709482</v>
      </c>
      <c r="H2462">
        <v>87715581</v>
      </c>
      <c r="I2462">
        <v>157369648</v>
      </c>
      <c r="J2462">
        <v>147694071</v>
      </c>
      <c r="K2462">
        <v>67841516</v>
      </c>
      <c r="P2462">
        <v>86</v>
      </c>
      <c r="Q2462" t="s">
        <v>5255</v>
      </c>
    </row>
    <row r="2463" spans="1:17" x14ac:dyDescent="0.3">
      <c r="A2463" t="s">
        <v>4729</v>
      </c>
      <c r="B2463" t="str">
        <f>"000688"</f>
        <v>000688</v>
      </c>
      <c r="C2463" t="s">
        <v>5256</v>
      </c>
      <c r="D2463" t="s">
        <v>744</v>
      </c>
      <c r="F2463">
        <v>0</v>
      </c>
      <c r="G2463">
        <v>0</v>
      </c>
      <c r="P2463">
        <v>197</v>
      </c>
      <c r="Q2463" t="s">
        <v>5257</v>
      </c>
    </row>
    <row r="2464" spans="1:17" x14ac:dyDescent="0.3">
      <c r="A2464" t="s">
        <v>4729</v>
      </c>
      <c r="B2464" t="str">
        <f>"000689"</f>
        <v>000689</v>
      </c>
      <c r="C2464" t="s">
        <v>5258</v>
      </c>
      <c r="P2464">
        <v>5</v>
      </c>
      <c r="Q2464" t="s">
        <v>5259</v>
      </c>
    </row>
    <row r="2465" spans="1:17" x14ac:dyDescent="0.3">
      <c r="A2465" t="s">
        <v>4729</v>
      </c>
      <c r="B2465" t="str">
        <f>"000690"</f>
        <v>000690</v>
      </c>
      <c r="C2465" t="s">
        <v>5260</v>
      </c>
      <c r="D2465" t="s">
        <v>41</v>
      </c>
      <c r="F2465">
        <v>0</v>
      </c>
      <c r="G2465">
        <v>0</v>
      </c>
      <c r="P2465">
        <v>643</v>
      </c>
      <c r="Q2465" t="s">
        <v>5261</v>
      </c>
    </row>
    <row r="2466" spans="1:17" x14ac:dyDescent="0.3">
      <c r="A2466" t="s">
        <v>4729</v>
      </c>
      <c r="B2466" t="str">
        <f>"000691"</f>
        <v>000691</v>
      </c>
      <c r="C2466" t="s">
        <v>5262</v>
      </c>
      <c r="D2466" t="s">
        <v>104</v>
      </c>
      <c r="F2466">
        <v>16411077</v>
      </c>
      <c r="G2466">
        <v>8498531</v>
      </c>
      <c r="P2466">
        <v>91</v>
      </c>
      <c r="Q2466" t="s">
        <v>5263</v>
      </c>
    </row>
    <row r="2467" spans="1:17" x14ac:dyDescent="0.3">
      <c r="A2467" t="s">
        <v>4729</v>
      </c>
      <c r="B2467" t="str">
        <f>"000692"</f>
        <v>000692</v>
      </c>
      <c r="C2467" t="s">
        <v>5264</v>
      </c>
      <c r="D2467" t="s">
        <v>351</v>
      </c>
      <c r="F2467">
        <v>0</v>
      </c>
      <c r="G2467">
        <v>0</v>
      </c>
      <c r="P2467">
        <v>77</v>
      </c>
      <c r="Q2467" t="s">
        <v>5265</v>
      </c>
    </row>
    <row r="2468" spans="1:17" x14ac:dyDescent="0.3">
      <c r="A2468" t="s">
        <v>4729</v>
      </c>
      <c r="B2468" t="str">
        <f>"000693"</f>
        <v>000693</v>
      </c>
      <c r="C2468" t="s">
        <v>5266</v>
      </c>
      <c r="P2468">
        <v>17</v>
      </c>
      <c r="Q2468" t="s">
        <v>5267</v>
      </c>
    </row>
    <row r="2469" spans="1:17" x14ac:dyDescent="0.3">
      <c r="A2469" t="s">
        <v>4729</v>
      </c>
      <c r="B2469" t="str">
        <f>"000695"</f>
        <v>000695</v>
      </c>
      <c r="C2469" t="s">
        <v>5268</v>
      </c>
      <c r="D2469" t="s">
        <v>1694</v>
      </c>
      <c r="F2469">
        <v>18884053</v>
      </c>
      <c r="G2469">
        <v>14215689</v>
      </c>
      <c r="H2469">
        <v>19261713</v>
      </c>
      <c r="I2469">
        <v>15885932</v>
      </c>
      <c r="P2469">
        <v>82</v>
      </c>
      <c r="Q2469" t="s">
        <v>5269</v>
      </c>
    </row>
    <row r="2470" spans="1:17" x14ac:dyDescent="0.3">
      <c r="A2470" t="s">
        <v>4729</v>
      </c>
      <c r="B2470" t="str">
        <f>"000697"</f>
        <v>000697</v>
      </c>
      <c r="C2470" t="s">
        <v>5270</v>
      </c>
      <c r="D2470" t="s">
        <v>98</v>
      </c>
      <c r="F2470">
        <v>8865116</v>
      </c>
      <c r="G2470">
        <v>7069306</v>
      </c>
      <c r="H2470">
        <v>15117062</v>
      </c>
      <c r="I2470">
        <v>24470904</v>
      </c>
      <c r="P2470">
        <v>110</v>
      </c>
      <c r="Q2470" t="s">
        <v>5271</v>
      </c>
    </row>
    <row r="2471" spans="1:17" x14ac:dyDescent="0.3">
      <c r="A2471" t="s">
        <v>4729</v>
      </c>
      <c r="B2471" t="str">
        <f>"000698"</f>
        <v>000698</v>
      </c>
      <c r="C2471" t="s">
        <v>5272</v>
      </c>
      <c r="D2471" t="s">
        <v>74</v>
      </c>
      <c r="F2471">
        <v>224590461</v>
      </c>
      <c r="G2471">
        <v>185197168</v>
      </c>
      <c r="H2471">
        <v>150836068</v>
      </c>
      <c r="I2471">
        <v>146988488</v>
      </c>
      <c r="P2471">
        <v>166</v>
      </c>
      <c r="Q2471" t="s">
        <v>5273</v>
      </c>
    </row>
    <row r="2472" spans="1:17" x14ac:dyDescent="0.3">
      <c r="A2472" t="s">
        <v>4729</v>
      </c>
      <c r="B2472" t="str">
        <f>"000699"</f>
        <v>000699</v>
      </c>
      <c r="C2472" t="s">
        <v>5274</v>
      </c>
      <c r="P2472">
        <v>4</v>
      </c>
      <c r="Q2472" t="s">
        <v>5275</v>
      </c>
    </row>
    <row r="2473" spans="1:17" x14ac:dyDescent="0.3">
      <c r="A2473" t="s">
        <v>4729</v>
      </c>
      <c r="B2473" t="str">
        <f>"000700"</f>
        <v>000700</v>
      </c>
      <c r="C2473" t="s">
        <v>5276</v>
      </c>
      <c r="D2473" t="s">
        <v>191</v>
      </c>
      <c r="F2473">
        <v>274979756</v>
      </c>
      <c r="G2473">
        <v>210923838</v>
      </c>
      <c r="H2473">
        <v>209118405</v>
      </c>
      <c r="I2473">
        <v>194965288</v>
      </c>
      <c r="P2473">
        <v>259</v>
      </c>
      <c r="Q2473" t="s">
        <v>5277</v>
      </c>
    </row>
    <row r="2474" spans="1:17" x14ac:dyDescent="0.3">
      <c r="A2474" t="s">
        <v>4729</v>
      </c>
      <c r="B2474" t="str">
        <f>"000701"</f>
        <v>000701</v>
      </c>
      <c r="C2474" t="s">
        <v>5278</v>
      </c>
      <c r="D2474" t="s">
        <v>651</v>
      </c>
      <c r="F2474">
        <v>72292669</v>
      </c>
      <c r="G2474">
        <v>60879619</v>
      </c>
      <c r="H2474">
        <v>72994631</v>
      </c>
      <c r="I2474">
        <v>69155271</v>
      </c>
      <c r="P2474">
        <v>120</v>
      </c>
      <c r="Q2474" t="s">
        <v>5279</v>
      </c>
    </row>
    <row r="2475" spans="1:17" x14ac:dyDescent="0.3">
      <c r="A2475" t="s">
        <v>4729</v>
      </c>
      <c r="B2475" t="str">
        <f>"000702"</f>
        <v>000702</v>
      </c>
      <c r="C2475" t="s">
        <v>5280</v>
      </c>
      <c r="D2475" t="s">
        <v>2886</v>
      </c>
      <c r="F2475">
        <v>3133213</v>
      </c>
      <c r="G2475">
        <v>5686205</v>
      </c>
      <c r="H2475">
        <v>5593661</v>
      </c>
      <c r="I2475">
        <v>8187711</v>
      </c>
      <c r="P2475">
        <v>127</v>
      </c>
      <c r="Q2475" t="s">
        <v>5281</v>
      </c>
    </row>
    <row r="2476" spans="1:17" x14ac:dyDescent="0.3">
      <c r="A2476" t="s">
        <v>4729</v>
      </c>
      <c r="B2476" t="str">
        <f>"000703"</f>
        <v>000703</v>
      </c>
      <c r="C2476" t="s">
        <v>5282</v>
      </c>
      <c r="D2476" t="s">
        <v>74</v>
      </c>
      <c r="F2476">
        <v>686980218</v>
      </c>
      <c r="G2476">
        <v>351969308</v>
      </c>
      <c r="H2476">
        <v>492740272</v>
      </c>
      <c r="I2476">
        <v>279482472</v>
      </c>
      <c r="P2476">
        <v>581</v>
      </c>
      <c r="Q2476" t="s">
        <v>5283</v>
      </c>
    </row>
    <row r="2477" spans="1:17" x14ac:dyDescent="0.3">
      <c r="A2477" t="s">
        <v>4729</v>
      </c>
      <c r="B2477" t="str">
        <f>"000705"</f>
        <v>000705</v>
      </c>
      <c r="C2477" t="s">
        <v>5284</v>
      </c>
      <c r="D2477" t="s">
        <v>125</v>
      </c>
      <c r="F2477">
        <v>33024800</v>
      </c>
      <c r="G2477">
        <v>26746215</v>
      </c>
      <c r="H2477">
        <v>32871318</v>
      </c>
      <c r="I2477">
        <v>37773551</v>
      </c>
      <c r="P2477">
        <v>107</v>
      </c>
      <c r="Q2477" t="s">
        <v>5285</v>
      </c>
    </row>
    <row r="2478" spans="1:17" x14ac:dyDescent="0.3">
      <c r="A2478" t="s">
        <v>4729</v>
      </c>
      <c r="B2478" t="str">
        <f>"000707"</f>
        <v>000707</v>
      </c>
      <c r="C2478" t="s">
        <v>5286</v>
      </c>
      <c r="D2478" t="s">
        <v>2529</v>
      </c>
      <c r="F2478">
        <v>61474089</v>
      </c>
      <c r="G2478">
        <v>108486532</v>
      </c>
      <c r="H2478">
        <v>61868419</v>
      </c>
      <c r="I2478">
        <v>14661587</v>
      </c>
      <c r="P2478">
        <v>85</v>
      </c>
      <c r="Q2478" t="s">
        <v>5287</v>
      </c>
    </row>
    <row r="2479" spans="1:17" x14ac:dyDescent="0.3">
      <c r="A2479" t="s">
        <v>4729</v>
      </c>
      <c r="B2479" t="str">
        <f>"000708"</f>
        <v>000708</v>
      </c>
      <c r="C2479" t="s">
        <v>5288</v>
      </c>
      <c r="D2479" t="s">
        <v>281</v>
      </c>
      <c r="F2479">
        <v>3487285313</v>
      </c>
      <c r="G2479">
        <v>2706714343</v>
      </c>
      <c r="H2479">
        <v>2785761987</v>
      </c>
      <c r="I2479">
        <v>562929136</v>
      </c>
      <c r="P2479">
        <v>677</v>
      </c>
      <c r="Q2479" t="s">
        <v>5289</v>
      </c>
    </row>
    <row r="2480" spans="1:17" x14ac:dyDescent="0.3">
      <c r="A2480" t="s">
        <v>4729</v>
      </c>
      <c r="B2480" t="str">
        <f>"000709"</f>
        <v>000709</v>
      </c>
      <c r="C2480" t="s">
        <v>5290</v>
      </c>
      <c r="D2480" t="s">
        <v>38</v>
      </c>
      <c r="F2480">
        <v>3700740784</v>
      </c>
      <c r="G2480">
        <v>2820729672</v>
      </c>
      <c r="H2480">
        <v>3286892106</v>
      </c>
      <c r="I2480">
        <v>3348671628</v>
      </c>
      <c r="P2480">
        <v>524</v>
      </c>
      <c r="Q2480" t="s">
        <v>5291</v>
      </c>
    </row>
    <row r="2481" spans="1:17" x14ac:dyDescent="0.3">
      <c r="A2481" t="s">
        <v>4729</v>
      </c>
      <c r="B2481" t="str">
        <f>"000710"</f>
        <v>000710</v>
      </c>
      <c r="C2481" t="s">
        <v>5292</v>
      </c>
      <c r="D2481" t="s">
        <v>1305</v>
      </c>
      <c r="F2481">
        <v>128228933</v>
      </c>
      <c r="G2481">
        <v>125796138</v>
      </c>
      <c r="H2481">
        <v>119502996</v>
      </c>
      <c r="I2481">
        <v>91279261</v>
      </c>
      <c r="P2481">
        <v>460</v>
      </c>
      <c r="Q2481" t="s">
        <v>5293</v>
      </c>
    </row>
    <row r="2482" spans="1:17" x14ac:dyDescent="0.3">
      <c r="A2482" t="s">
        <v>4729</v>
      </c>
      <c r="B2482" t="str">
        <f>"000711"</f>
        <v>000711</v>
      </c>
      <c r="C2482" t="s">
        <v>5294</v>
      </c>
      <c r="D2482" t="s">
        <v>499</v>
      </c>
      <c r="F2482">
        <v>38967224</v>
      </c>
      <c r="G2482">
        <v>27886486</v>
      </c>
      <c r="H2482">
        <v>45572034</v>
      </c>
      <c r="I2482">
        <v>21215497</v>
      </c>
      <c r="P2482">
        <v>109</v>
      </c>
      <c r="Q2482" t="s">
        <v>5295</v>
      </c>
    </row>
    <row r="2483" spans="1:17" x14ac:dyDescent="0.3">
      <c r="A2483" t="s">
        <v>4729</v>
      </c>
      <c r="B2483" t="str">
        <f>"000712"</f>
        <v>000712</v>
      </c>
      <c r="C2483" t="s">
        <v>5296</v>
      </c>
      <c r="D2483" t="s">
        <v>80</v>
      </c>
      <c r="P2483">
        <v>557</v>
      </c>
      <c r="Q2483" t="s">
        <v>5297</v>
      </c>
    </row>
    <row r="2484" spans="1:17" x14ac:dyDescent="0.3">
      <c r="A2484" t="s">
        <v>4729</v>
      </c>
      <c r="B2484" t="str">
        <f>"000713"</f>
        <v>000713</v>
      </c>
      <c r="C2484" t="s">
        <v>5298</v>
      </c>
      <c r="D2484" t="s">
        <v>706</v>
      </c>
      <c r="F2484">
        <v>39880551</v>
      </c>
      <c r="G2484">
        <v>38509582</v>
      </c>
      <c r="H2484">
        <v>26943750</v>
      </c>
      <c r="I2484">
        <v>20586175</v>
      </c>
      <c r="P2484">
        <v>237</v>
      </c>
      <c r="Q2484" t="s">
        <v>5299</v>
      </c>
    </row>
    <row r="2485" spans="1:17" x14ac:dyDescent="0.3">
      <c r="A2485" t="s">
        <v>4729</v>
      </c>
      <c r="B2485" t="str">
        <f>"000715"</f>
        <v>000715</v>
      </c>
      <c r="C2485" t="s">
        <v>5300</v>
      </c>
      <c r="D2485" t="s">
        <v>633</v>
      </c>
      <c r="F2485">
        <v>0</v>
      </c>
      <c r="G2485">
        <v>0</v>
      </c>
      <c r="P2485">
        <v>103</v>
      </c>
      <c r="Q2485" t="s">
        <v>5301</v>
      </c>
    </row>
    <row r="2486" spans="1:17" x14ac:dyDescent="0.3">
      <c r="A2486" t="s">
        <v>4729</v>
      </c>
      <c r="B2486" t="str">
        <f>"000716"</f>
        <v>000716</v>
      </c>
      <c r="C2486" t="s">
        <v>5302</v>
      </c>
      <c r="D2486" t="s">
        <v>2488</v>
      </c>
      <c r="F2486">
        <v>13216090</v>
      </c>
      <c r="G2486">
        <v>3825825</v>
      </c>
      <c r="H2486">
        <v>4259047</v>
      </c>
      <c r="I2486">
        <v>6607236</v>
      </c>
      <c r="P2486">
        <v>163</v>
      </c>
      <c r="Q2486" t="s">
        <v>5303</v>
      </c>
    </row>
    <row r="2487" spans="1:17" x14ac:dyDescent="0.3">
      <c r="A2487" t="s">
        <v>4729</v>
      </c>
      <c r="B2487" t="str">
        <f>"000717"</f>
        <v>000717</v>
      </c>
      <c r="C2487" t="s">
        <v>5304</v>
      </c>
      <c r="D2487" t="s">
        <v>531</v>
      </c>
      <c r="F2487">
        <v>1429724731</v>
      </c>
      <c r="G2487">
        <v>1071665235</v>
      </c>
      <c r="H2487">
        <v>1027354672</v>
      </c>
      <c r="I2487">
        <v>617153886</v>
      </c>
      <c r="P2487">
        <v>681</v>
      </c>
      <c r="Q2487" t="s">
        <v>5305</v>
      </c>
    </row>
    <row r="2488" spans="1:17" x14ac:dyDescent="0.3">
      <c r="A2488" t="s">
        <v>4729</v>
      </c>
      <c r="B2488" t="str">
        <f>"000718"</f>
        <v>000718</v>
      </c>
      <c r="C2488" t="s">
        <v>5306</v>
      </c>
      <c r="D2488" t="s">
        <v>104</v>
      </c>
      <c r="F2488">
        <v>0</v>
      </c>
      <c r="G2488">
        <v>0</v>
      </c>
      <c r="P2488">
        <v>659</v>
      </c>
      <c r="Q2488" t="s">
        <v>5307</v>
      </c>
    </row>
    <row r="2489" spans="1:17" x14ac:dyDescent="0.3">
      <c r="A2489" t="s">
        <v>4729</v>
      </c>
      <c r="B2489" t="str">
        <f>"000719"</f>
        <v>000719</v>
      </c>
      <c r="C2489" t="s">
        <v>5308</v>
      </c>
      <c r="D2489" t="s">
        <v>525</v>
      </c>
      <c r="F2489">
        <v>27831997</v>
      </c>
      <c r="G2489">
        <v>30977899</v>
      </c>
      <c r="H2489">
        <v>21980564</v>
      </c>
      <c r="I2489">
        <v>4957820</v>
      </c>
      <c r="P2489">
        <v>697</v>
      </c>
      <c r="Q2489" t="s">
        <v>5309</v>
      </c>
    </row>
    <row r="2490" spans="1:17" x14ac:dyDescent="0.3">
      <c r="A2490" t="s">
        <v>4729</v>
      </c>
      <c r="B2490" t="str">
        <f>"000720"</f>
        <v>000720</v>
      </c>
      <c r="C2490" t="s">
        <v>5310</v>
      </c>
      <c r="D2490" t="s">
        <v>194</v>
      </c>
      <c r="F2490">
        <v>0</v>
      </c>
      <c r="G2490">
        <v>0</v>
      </c>
      <c r="P2490">
        <v>122</v>
      </c>
      <c r="Q2490" t="s">
        <v>5311</v>
      </c>
    </row>
    <row r="2491" spans="1:17" x14ac:dyDescent="0.3">
      <c r="A2491" t="s">
        <v>4729</v>
      </c>
      <c r="B2491" t="str">
        <f>"000721"</f>
        <v>000721</v>
      </c>
      <c r="C2491" t="s">
        <v>5312</v>
      </c>
      <c r="D2491" t="s">
        <v>3598</v>
      </c>
      <c r="F2491">
        <v>0</v>
      </c>
      <c r="G2491">
        <v>0</v>
      </c>
      <c r="P2491">
        <v>130</v>
      </c>
      <c r="Q2491" t="s">
        <v>5313</v>
      </c>
    </row>
    <row r="2492" spans="1:17" x14ac:dyDescent="0.3">
      <c r="A2492" t="s">
        <v>4729</v>
      </c>
      <c r="B2492" t="str">
        <f>"000722"</f>
        <v>000722</v>
      </c>
      <c r="C2492" t="s">
        <v>5314</v>
      </c>
      <c r="D2492" t="s">
        <v>66</v>
      </c>
      <c r="F2492">
        <v>8645128</v>
      </c>
      <c r="G2492">
        <v>8047704</v>
      </c>
      <c r="P2492">
        <v>104</v>
      </c>
      <c r="Q2492" t="s">
        <v>5315</v>
      </c>
    </row>
    <row r="2493" spans="1:17" x14ac:dyDescent="0.3">
      <c r="A2493" t="s">
        <v>4729</v>
      </c>
      <c r="B2493" t="str">
        <f>"000723"</f>
        <v>000723</v>
      </c>
      <c r="C2493" t="s">
        <v>5316</v>
      </c>
      <c r="D2493" t="s">
        <v>885</v>
      </c>
      <c r="F2493">
        <v>266725063</v>
      </c>
      <c r="G2493">
        <v>32601862</v>
      </c>
      <c r="H2493">
        <v>24363917</v>
      </c>
      <c r="I2493">
        <v>22457071</v>
      </c>
      <c r="P2493">
        <v>673</v>
      </c>
      <c r="Q2493" t="s">
        <v>5317</v>
      </c>
    </row>
    <row r="2494" spans="1:17" x14ac:dyDescent="0.3">
      <c r="A2494" t="s">
        <v>4729</v>
      </c>
      <c r="B2494" t="str">
        <f>"000725"</f>
        <v>000725</v>
      </c>
      <c r="C2494" t="s">
        <v>5318</v>
      </c>
      <c r="D2494" t="s">
        <v>1117</v>
      </c>
      <c r="F2494">
        <v>10668844187</v>
      </c>
      <c r="G2494">
        <v>7622597925</v>
      </c>
      <c r="H2494">
        <v>6699973240</v>
      </c>
      <c r="I2494">
        <v>5039927435</v>
      </c>
      <c r="P2494">
        <v>4544</v>
      </c>
      <c r="Q2494" t="s">
        <v>5319</v>
      </c>
    </row>
    <row r="2495" spans="1:17" x14ac:dyDescent="0.3">
      <c r="A2495" t="s">
        <v>4729</v>
      </c>
      <c r="B2495" t="str">
        <f>"000726"</f>
        <v>000726</v>
      </c>
      <c r="C2495" t="s">
        <v>5320</v>
      </c>
      <c r="D2495" t="s">
        <v>1009</v>
      </c>
      <c r="F2495">
        <v>252912912</v>
      </c>
      <c r="G2495">
        <v>231265031</v>
      </c>
      <c r="H2495">
        <v>316575475</v>
      </c>
      <c r="I2495">
        <v>289395093</v>
      </c>
      <c r="P2495">
        <v>981</v>
      </c>
      <c r="Q2495" t="s">
        <v>5321</v>
      </c>
    </row>
    <row r="2496" spans="1:17" x14ac:dyDescent="0.3">
      <c r="A2496" t="s">
        <v>4729</v>
      </c>
      <c r="B2496" t="str">
        <f>"000727"</f>
        <v>000727</v>
      </c>
      <c r="C2496" t="s">
        <v>5322</v>
      </c>
      <c r="D2496" t="s">
        <v>1117</v>
      </c>
      <c r="F2496">
        <v>1316358314</v>
      </c>
      <c r="G2496">
        <v>1952798582</v>
      </c>
      <c r="H2496">
        <v>210065915</v>
      </c>
      <c r="I2496">
        <v>116086068</v>
      </c>
      <c r="P2496">
        <v>197</v>
      </c>
      <c r="Q2496" t="s">
        <v>5323</v>
      </c>
    </row>
    <row r="2497" spans="1:17" x14ac:dyDescent="0.3">
      <c r="A2497" t="s">
        <v>4729</v>
      </c>
      <c r="B2497" t="str">
        <f>"000728"</f>
        <v>000728</v>
      </c>
      <c r="C2497" t="s">
        <v>5324</v>
      </c>
      <c r="D2497" t="s">
        <v>80</v>
      </c>
      <c r="P2497">
        <v>1902</v>
      </c>
      <c r="Q2497" t="s">
        <v>5325</v>
      </c>
    </row>
    <row r="2498" spans="1:17" x14ac:dyDescent="0.3">
      <c r="A2498" t="s">
        <v>4729</v>
      </c>
      <c r="B2498" t="str">
        <f>"000729"</f>
        <v>000729</v>
      </c>
      <c r="C2498" t="s">
        <v>5326</v>
      </c>
      <c r="D2498" t="s">
        <v>319</v>
      </c>
      <c r="F2498">
        <v>208924704</v>
      </c>
      <c r="G2498">
        <v>213597092</v>
      </c>
      <c r="H2498">
        <v>200637761</v>
      </c>
      <c r="I2498">
        <v>141063180</v>
      </c>
      <c r="P2498">
        <v>607</v>
      </c>
      <c r="Q2498" t="s">
        <v>5327</v>
      </c>
    </row>
    <row r="2499" spans="1:17" x14ac:dyDescent="0.3">
      <c r="A2499" t="s">
        <v>4729</v>
      </c>
      <c r="B2499" t="str">
        <f>"000730"</f>
        <v>000730</v>
      </c>
      <c r="C2499" t="s">
        <v>5328</v>
      </c>
      <c r="P2499">
        <v>4</v>
      </c>
      <c r="Q2499" t="s">
        <v>5329</v>
      </c>
    </row>
    <row r="2500" spans="1:17" x14ac:dyDescent="0.3">
      <c r="A2500" t="s">
        <v>4729</v>
      </c>
      <c r="B2500" t="str">
        <f>"000731"</f>
        <v>000731</v>
      </c>
      <c r="C2500" t="s">
        <v>5330</v>
      </c>
      <c r="D2500" t="s">
        <v>909</v>
      </c>
      <c r="F2500">
        <v>8676910</v>
      </c>
      <c r="G2500">
        <v>6204767</v>
      </c>
      <c r="H2500">
        <v>2096055</v>
      </c>
      <c r="I2500">
        <v>1653546</v>
      </c>
      <c r="P2500">
        <v>127</v>
      </c>
      <c r="Q2500" t="s">
        <v>5331</v>
      </c>
    </row>
    <row r="2501" spans="1:17" x14ac:dyDescent="0.3">
      <c r="A2501" t="s">
        <v>4729</v>
      </c>
      <c r="B2501" t="str">
        <f>"000732"</f>
        <v>000732</v>
      </c>
      <c r="C2501" t="s">
        <v>5332</v>
      </c>
      <c r="D2501" t="s">
        <v>104</v>
      </c>
      <c r="F2501">
        <v>0</v>
      </c>
      <c r="G2501">
        <v>0</v>
      </c>
      <c r="P2501">
        <v>438</v>
      </c>
      <c r="Q2501" t="s">
        <v>5333</v>
      </c>
    </row>
    <row r="2502" spans="1:17" x14ac:dyDescent="0.3">
      <c r="A2502" t="s">
        <v>4729</v>
      </c>
      <c r="B2502" t="str">
        <f>"000733"</f>
        <v>000733</v>
      </c>
      <c r="C2502" t="s">
        <v>5334</v>
      </c>
      <c r="D2502" t="s">
        <v>1136</v>
      </c>
      <c r="F2502">
        <v>369816416</v>
      </c>
      <c r="G2502">
        <v>331808635</v>
      </c>
      <c r="H2502">
        <v>232444387</v>
      </c>
      <c r="I2502">
        <v>217668073</v>
      </c>
      <c r="P2502">
        <v>489</v>
      </c>
      <c r="Q2502" t="s">
        <v>5335</v>
      </c>
    </row>
    <row r="2503" spans="1:17" x14ac:dyDescent="0.3">
      <c r="A2503" t="s">
        <v>4729</v>
      </c>
      <c r="B2503" t="str">
        <f>"000735"</f>
        <v>000735</v>
      </c>
      <c r="C2503" t="s">
        <v>5336</v>
      </c>
      <c r="D2503" t="s">
        <v>1900</v>
      </c>
      <c r="F2503">
        <v>6259636</v>
      </c>
      <c r="G2503">
        <v>5432583</v>
      </c>
      <c r="H2503">
        <v>5319794</v>
      </c>
      <c r="I2503">
        <v>4816602</v>
      </c>
      <c r="P2503">
        <v>290</v>
      </c>
      <c r="Q2503" t="s">
        <v>5337</v>
      </c>
    </row>
    <row r="2504" spans="1:17" x14ac:dyDescent="0.3">
      <c r="A2504" t="s">
        <v>4729</v>
      </c>
      <c r="B2504" t="str">
        <f>"000736"</f>
        <v>000736</v>
      </c>
      <c r="C2504" t="s">
        <v>5338</v>
      </c>
      <c r="D2504" t="s">
        <v>104</v>
      </c>
      <c r="F2504">
        <v>0</v>
      </c>
      <c r="G2504">
        <v>0</v>
      </c>
      <c r="P2504">
        <v>189</v>
      </c>
      <c r="Q2504" t="s">
        <v>5339</v>
      </c>
    </row>
    <row r="2505" spans="1:17" x14ac:dyDescent="0.3">
      <c r="A2505" t="s">
        <v>4729</v>
      </c>
      <c r="B2505" t="str">
        <f>"000737"</f>
        <v>000737</v>
      </c>
      <c r="C2505" t="s">
        <v>5340</v>
      </c>
      <c r="D2505" t="s">
        <v>736</v>
      </c>
      <c r="F2505">
        <v>4348313</v>
      </c>
      <c r="G2505">
        <v>5828243</v>
      </c>
      <c r="H2505">
        <v>6656037</v>
      </c>
      <c r="I2505">
        <v>6702109</v>
      </c>
      <c r="P2505">
        <v>83</v>
      </c>
      <c r="Q2505" t="s">
        <v>5341</v>
      </c>
    </row>
    <row r="2506" spans="1:17" x14ac:dyDescent="0.3">
      <c r="A2506" t="s">
        <v>4729</v>
      </c>
      <c r="B2506" t="str">
        <f>"000738"</f>
        <v>000738</v>
      </c>
      <c r="C2506" t="s">
        <v>5342</v>
      </c>
      <c r="D2506" t="s">
        <v>98</v>
      </c>
      <c r="F2506">
        <v>151894343</v>
      </c>
      <c r="G2506">
        <v>145928889</v>
      </c>
      <c r="H2506">
        <v>136343760</v>
      </c>
      <c r="I2506">
        <v>108247062</v>
      </c>
      <c r="P2506">
        <v>324</v>
      </c>
      <c r="Q2506" t="s">
        <v>5343</v>
      </c>
    </row>
    <row r="2507" spans="1:17" x14ac:dyDescent="0.3">
      <c r="A2507" t="s">
        <v>4729</v>
      </c>
      <c r="B2507" t="str">
        <f>"000739"</f>
        <v>000739</v>
      </c>
      <c r="C2507" t="s">
        <v>5344</v>
      </c>
      <c r="D2507" t="s">
        <v>496</v>
      </c>
      <c r="F2507">
        <v>446219088</v>
      </c>
      <c r="G2507">
        <v>350055448</v>
      </c>
      <c r="H2507">
        <v>359893449</v>
      </c>
      <c r="I2507">
        <v>269650777</v>
      </c>
      <c r="P2507">
        <v>760</v>
      </c>
      <c r="Q2507" t="s">
        <v>5345</v>
      </c>
    </row>
    <row r="2508" spans="1:17" x14ac:dyDescent="0.3">
      <c r="A2508" t="s">
        <v>4729</v>
      </c>
      <c r="B2508" t="str">
        <f>"000748"</f>
        <v>000748</v>
      </c>
      <c r="C2508" t="s">
        <v>5346</v>
      </c>
      <c r="P2508">
        <v>8</v>
      </c>
      <c r="Q2508" t="s">
        <v>5347</v>
      </c>
    </row>
    <row r="2509" spans="1:17" x14ac:dyDescent="0.3">
      <c r="A2509" t="s">
        <v>4729</v>
      </c>
      <c r="B2509" t="str">
        <f>"000750"</f>
        <v>000750</v>
      </c>
      <c r="C2509" t="s">
        <v>5348</v>
      </c>
      <c r="D2509" t="s">
        <v>80</v>
      </c>
      <c r="P2509">
        <v>1038</v>
      </c>
      <c r="Q2509" t="s">
        <v>5349</v>
      </c>
    </row>
    <row r="2510" spans="1:17" x14ac:dyDescent="0.3">
      <c r="A2510" t="s">
        <v>4729</v>
      </c>
      <c r="B2510" t="str">
        <f>"000751"</f>
        <v>000751</v>
      </c>
      <c r="C2510" t="s">
        <v>5350</v>
      </c>
      <c r="D2510" t="s">
        <v>744</v>
      </c>
      <c r="F2510">
        <v>11904348</v>
      </c>
      <c r="G2510">
        <v>2040455</v>
      </c>
      <c r="H2510">
        <v>4728854</v>
      </c>
      <c r="I2510">
        <v>5243882</v>
      </c>
      <c r="P2510">
        <v>128</v>
      </c>
      <c r="Q2510" t="s">
        <v>5351</v>
      </c>
    </row>
    <row r="2511" spans="1:17" x14ac:dyDescent="0.3">
      <c r="A2511" t="s">
        <v>4729</v>
      </c>
      <c r="B2511" t="str">
        <f>"000752"</f>
        <v>000752</v>
      </c>
      <c r="C2511" t="s">
        <v>5352</v>
      </c>
      <c r="D2511" t="s">
        <v>319</v>
      </c>
      <c r="F2511">
        <v>0</v>
      </c>
      <c r="G2511">
        <v>0</v>
      </c>
      <c r="P2511">
        <v>103</v>
      </c>
      <c r="Q2511" t="s">
        <v>5353</v>
      </c>
    </row>
    <row r="2512" spans="1:17" x14ac:dyDescent="0.3">
      <c r="A2512" t="s">
        <v>4729</v>
      </c>
      <c r="B2512" t="str">
        <f>"000753"</f>
        <v>000753</v>
      </c>
      <c r="C2512" t="s">
        <v>5354</v>
      </c>
      <c r="D2512" t="s">
        <v>110</v>
      </c>
      <c r="F2512">
        <v>0</v>
      </c>
      <c r="G2512">
        <v>0</v>
      </c>
      <c r="P2512">
        <v>85</v>
      </c>
      <c r="Q2512" t="s">
        <v>5355</v>
      </c>
    </row>
    <row r="2513" spans="1:17" x14ac:dyDescent="0.3">
      <c r="A2513" t="s">
        <v>4729</v>
      </c>
      <c r="B2513" t="str">
        <f>"000755"</f>
        <v>000755</v>
      </c>
      <c r="C2513" t="s">
        <v>5356</v>
      </c>
      <c r="D2513" t="s">
        <v>44</v>
      </c>
      <c r="F2513">
        <v>0</v>
      </c>
      <c r="G2513">
        <v>0</v>
      </c>
      <c r="I2513">
        <v>1189252</v>
      </c>
      <c r="P2513">
        <v>96</v>
      </c>
      <c r="Q2513" t="s">
        <v>5357</v>
      </c>
    </row>
    <row r="2514" spans="1:17" x14ac:dyDescent="0.3">
      <c r="A2514" t="s">
        <v>4729</v>
      </c>
      <c r="B2514" t="str">
        <f>"000756"</f>
        <v>000756</v>
      </c>
      <c r="C2514" t="s">
        <v>5358</v>
      </c>
      <c r="D2514" t="s">
        <v>496</v>
      </c>
      <c r="F2514">
        <v>341367394</v>
      </c>
      <c r="G2514">
        <v>298347278</v>
      </c>
      <c r="H2514">
        <v>235401010</v>
      </c>
      <c r="I2514">
        <v>186975801</v>
      </c>
      <c r="P2514">
        <v>218</v>
      </c>
      <c r="Q2514" t="s">
        <v>5359</v>
      </c>
    </row>
    <row r="2515" spans="1:17" x14ac:dyDescent="0.3">
      <c r="A2515" t="s">
        <v>4729</v>
      </c>
      <c r="B2515" t="str">
        <f>"000757"</f>
        <v>000757</v>
      </c>
      <c r="C2515" t="s">
        <v>5360</v>
      </c>
      <c r="D2515" t="s">
        <v>2368</v>
      </c>
      <c r="F2515">
        <v>23692597</v>
      </c>
      <c r="G2515">
        <v>20206027</v>
      </c>
      <c r="H2515">
        <v>23347981</v>
      </c>
      <c r="I2515">
        <v>19785075</v>
      </c>
      <c r="P2515">
        <v>88</v>
      </c>
      <c r="Q2515" t="s">
        <v>5361</v>
      </c>
    </row>
    <row r="2516" spans="1:17" x14ac:dyDescent="0.3">
      <c r="A2516" t="s">
        <v>4729</v>
      </c>
      <c r="B2516" t="str">
        <f>"000758"</f>
        <v>000758</v>
      </c>
      <c r="C2516" t="s">
        <v>5362</v>
      </c>
      <c r="D2516" t="s">
        <v>744</v>
      </c>
      <c r="F2516">
        <v>9706269</v>
      </c>
      <c r="G2516">
        <v>6831822</v>
      </c>
      <c r="H2516">
        <v>6377353</v>
      </c>
      <c r="I2516">
        <v>6289075</v>
      </c>
      <c r="P2516">
        <v>177</v>
      </c>
      <c r="Q2516" t="s">
        <v>5363</v>
      </c>
    </row>
    <row r="2517" spans="1:17" x14ac:dyDescent="0.3">
      <c r="A2517" t="s">
        <v>4729</v>
      </c>
      <c r="B2517" t="str">
        <f>"000759"</f>
        <v>000759</v>
      </c>
      <c r="C2517" t="s">
        <v>5364</v>
      </c>
      <c r="D2517" t="s">
        <v>798</v>
      </c>
      <c r="F2517">
        <v>15968200</v>
      </c>
      <c r="G2517">
        <v>1333429</v>
      </c>
      <c r="H2517">
        <v>1441416</v>
      </c>
      <c r="P2517">
        <v>153</v>
      </c>
      <c r="Q2517" t="s">
        <v>5365</v>
      </c>
    </row>
    <row r="2518" spans="1:17" x14ac:dyDescent="0.3">
      <c r="A2518" t="s">
        <v>4729</v>
      </c>
      <c r="B2518" t="str">
        <f>"000760"</f>
        <v>000760</v>
      </c>
      <c r="C2518" t="s">
        <v>5366</v>
      </c>
      <c r="G2518">
        <v>46429137</v>
      </c>
      <c r="H2518">
        <v>19614622</v>
      </c>
      <c r="I2518">
        <v>559987324</v>
      </c>
      <c r="P2518">
        <v>59</v>
      </c>
      <c r="Q2518" t="s">
        <v>5367</v>
      </c>
    </row>
    <row r="2519" spans="1:17" x14ac:dyDescent="0.3">
      <c r="A2519" t="s">
        <v>4729</v>
      </c>
      <c r="B2519" t="str">
        <f>"000761"</f>
        <v>000761</v>
      </c>
      <c r="C2519" t="s">
        <v>5368</v>
      </c>
      <c r="D2519" t="s">
        <v>38</v>
      </c>
      <c r="F2519">
        <v>56401594</v>
      </c>
      <c r="G2519">
        <v>37989623</v>
      </c>
      <c r="H2519">
        <v>30780464</v>
      </c>
      <c r="I2519">
        <v>6399884</v>
      </c>
      <c r="P2519">
        <v>237</v>
      </c>
      <c r="Q2519" t="s">
        <v>5369</v>
      </c>
    </row>
    <row r="2520" spans="1:17" x14ac:dyDescent="0.3">
      <c r="A2520" t="s">
        <v>4729</v>
      </c>
      <c r="B2520" t="str">
        <f>"000762"</f>
        <v>000762</v>
      </c>
      <c r="C2520" t="s">
        <v>5370</v>
      </c>
      <c r="D2520" t="s">
        <v>5371</v>
      </c>
      <c r="F2520">
        <v>1372641</v>
      </c>
      <c r="G2520">
        <v>1256485</v>
      </c>
      <c r="P2520">
        <v>257</v>
      </c>
      <c r="Q2520" t="s">
        <v>5372</v>
      </c>
    </row>
    <row r="2521" spans="1:17" x14ac:dyDescent="0.3">
      <c r="A2521" t="s">
        <v>4729</v>
      </c>
      <c r="B2521" t="str">
        <f>"000765"</f>
        <v>000765</v>
      </c>
      <c r="C2521" t="s">
        <v>5373</v>
      </c>
      <c r="P2521">
        <v>4</v>
      </c>
      <c r="Q2521" t="s">
        <v>5374</v>
      </c>
    </row>
    <row r="2522" spans="1:17" x14ac:dyDescent="0.3">
      <c r="A2522" t="s">
        <v>4729</v>
      </c>
      <c r="B2522" t="str">
        <f>"000766"</f>
        <v>000766</v>
      </c>
      <c r="C2522" t="s">
        <v>5375</v>
      </c>
      <c r="D2522" t="s">
        <v>143</v>
      </c>
      <c r="F2522">
        <v>63515492</v>
      </c>
      <c r="G2522">
        <v>50329629</v>
      </c>
      <c r="H2522">
        <v>66911881</v>
      </c>
      <c r="I2522">
        <v>67302818</v>
      </c>
      <c r="P2522">
        <v>146</v>
      </c>
      <c r="Q2522" t="s">
        <v>5376</v>
      </c>
    </row>
    <row r="2523" spans="1:17" x14ac:dyDescent="0.3">
      <c r="A2523" t="s">
        <v>4729</v>
      </c>
      <c r="B2523" t="str">
        <f>"000767"</f>
        <v>000767</v>
      </c>
      <c r="C2523" t="s">
        <v>5377</v>
      </c>
      <c r="D2523" t="s">
        <v>41</v>
      </c>
      <c r="F2523">
        <v>20640874</v>
      </c>
      <c r="G2523">
        <v>106901</v>
      </c>
      <c r="H2523">
        <v>186888</v>
      </c>
      <c r="I2523">
        <v>232127</v>
      </c>
      <c r="P2523">
        <v>173</v>
      </c>
      <c r="Q2523" t="s">
        <v>5378</v>
      </c>
    </row>
    <row r="2524" spans="1:17" x14ac:dyDescent="0.3">
      <c r="A2524" t="s">
        <v>4729</v>
      </c>
      <c r="B2524" t="str">
        <f>"000768"</f>
        <v>000768</v>
      </c>
      <c r="C2524" t="s">
        <v>5379</v>
      </c>
      <c r="D2524" t="s">
        <v>98</v>
      </c>
      <c r="F2524">
        <v>237012503</v>
      </c>
      <c r="G2524">
        <v>214360417</v>
      </c>
      <c r="H2524">
        <v>132981571</v>
      </c>
      <c r="I2524">
        <v>122023951</v>
      </c>
      <c r="P2524">
        <v>662</v>
      </c>
      <c r="Q2524" t="s">
        <v>5380</v>
      </c>
    </row>
    <row r="2525" spans="1:17" x14ac:dyDescent="0.3">
      <c r="A2525" t="s">
        <v>4729</v>
      </c>
      <c r="B2525" t="str">
        <f>"000769"</f>
        <v>000769</v>
      </c>
      <c r="C2525" t="s">
        <v>5381</v>
      </c>
      <c r="P2525">
        <v>3</v>
      </c>
      <c r="Q2525" t="s">
        <v>5382</v>
      </c>
    </row>
    <row r="2526" spans="1:17" x14ac:dyDescent="0.3">
      <c r="A2526" t="s">
        <v>4729</v>
      </c>
      <c r="B2526" t="str">
        <f>"000776"</f>
        <v>000776</v>
      </c>
      <c r="C2526" t="s">
        <v>5383</v>
      </c>
      <c r="D2526" t="s">
        <v>80</v>
      </c>
      <c r="P2526">
        <v>3522</v>
      </c>
      <c r="Q2526" t="s">
        <v>5384</v>
      </c>
    </row>
    <row r="2527" spans="1:17" x14ac:dyDescent="0.3">
      <c r="A2527" t="s">
        <v>4729</v>
      </c>
      <c r="B2527" t="str">
        <f>"000777"</f>
        <v>000777</v>
      </c>
      <c r="C2527" t="s">
        <v>5385</v>
      </c>
      <c r="D2527" t="s">
        <v>274</v>
      </c>
      <c r="F2527">
        <v>53971500</v>
      </c>
      <c r="G2527">
        <v>47865227</v>
      </c>
      <c r="H2527">
        <v>44710634</v>
      </c>
      <c r="I2527">
        <v>42316562</v>
      </c>
      <c r="P2527">
        <v>131</v>
      </c>
      <c r="Q2527" t="s">
        <v>5386</v>
      </c>
    </row>
    <row r="2528" spans="1:17" x14ac:dyDescent="0.3">
      <c r="A2528" t="s">
        <v>4729</v>
      </c>
      <c r="B2528" t="str">
        <f>"000778"</f>
        <v>000778</v>
      </c>
      <c r="C2528" t="s">
        <v>5387</v>
      </c>
      <c r="D2528" t="s">
        <v>2238</v>
      </c>
      <c r="F2528">
        <v>528636732</v>
      </c>
      <c r="G2528">
        <v>412860828</v>
      </c>
      <c r="H2528">
        <v>321109590</v>
      </c>
      <c r="I2528">
        <v>260761136</v>
      </c>
      <c r="P2528">
        <v>674</v>
      </c>
      <c r="Q2528" t="s">
        <v>5388</v>
      </c>
    </row>
    <row r="2529" spans="1:17" x14ac:dyDescent="0.3">
      <c r="A2529" t="s">
        <v>4729</v>
      </c>
      <c r="B2529" t="str">
        <f>"000779"</f>
        <v>000779</v>
      </c>
      <c r="C2529" t="s">
        <v>5389</v>
      </c>
      <c r="D2529" t="s">
        <v>1272</v>
      </c>
      <c r="F2529">
        <v>38979752</v>
      </c>
      <c r="G2529">
        <v>30610190</v>
      </c>
      <c r="H2529">
        <v>33079585</v>
      </c>
      <c r="I2529">
        <v>16580628</v>
      </c>
      <c r="P2529">
        <v>165</v>
      </c>
      <c r="Q2529" t="s">
        <v>5390</v>
      </c>
    </row>
    <row r="2530" spans="1:17" x14ac:dyDescent="0.3">
      <c r="A2530" t="s">
        <v>4729</v>
      </c>
      <c r="B2530" t="str">
        <f>"000780"</f>
        <v>000780</v>
      </c>
      <c r="C2530" t="s">
        <v>5391</v>
      </c>
      <c r="D2530" t="s">
        <v>292</v>
      </c>
      <c r="G2530">
        <v>2687288</v>
      </c>
      <c r="H2530">
        <v>7083505</v>
      </c>
      <c r="I2530">
        <v>1198113</v>
      </c>
      <c r="P2530">
        <v>99</v>
      </c>
      <c r="Q2530" t="s">
        <v>5392</v>
      </c>
    </row>
    <row r="2531" spans="1:17" x14ac:dyDescent="0.3">
      <c r="A2531" t="s">
        <v>4729</v>
      </c>
      <c r="B2531" t="str">
        <f>"000782"</f>
        <v>000782</v>
      </c>
      <c r="C2531" t="s">
        <v>5393</v>
      </c>
      <c r="D2531" t="s">
        <v>1638</v>
      </c>
      <c r="F2531">
        <v>6631770</v>
      </c>
      <c r="G2531">
        <v>6986001</v>
      </c>
      <c r="H2531">
        <v>6153119</v>
      </c>
      <c r="I2531">
        <v>6150097</v>
      </c>
      <c r="P2531">
        <v>64</v>
      </c>
      <c r="Q2531" t="s">
        <v>5394</v>
      </c>
    </row>
    <row r="2532" spans="1:17" x14ac:dyDescent="0.3">
      <c r="A2532" t="s">
        <v>4729</v>
      </c>
      <c r="B2532" t="str">
        <f>"000783"</f>
        <v>000783</v>
      </c>
      <c r="C2532" t="s">
        <v>5395</v>
      </c>
      <c r="D2532" t="s">
        <v>80</v>
      </c>
      <c r="P2532">
        <v>1208</v>
      </c>
      <c r="Q2532" t="s">
        <v>5396</v>
      </c>
    </row>
    <row r="2533" spans="1:17" x14ac:dyDescent="0.3">
      <c r="A2533" t="s">
        <v>4729</v>
      </c>
      <c r="B2533" t="str">
        <f>"000785"</f>
        <v>000785</v>
      </c>
      <c r="C2533" t="s">
        <v>5397</v>
      </c>
      <c r="D2533" t="s">
        <v>271</v>
      </c>
      <c r="F2533">
        <v>1485747</v>
      </c>
      <c r="G2533">
        <v>0</v>
      </c>
      <c r="H2533">
        <v>52754054</v>
      </c>
      <c r="P2533">
        <v>333</v>
      </c>
      <c r="Q2533" t="s">
        <v>5398</v>
      </c>
    </row>
    <row r="2534" spans="1:17" x14ac:dyDescent="0.3">
      <c r="A2534" t="s">
        <v>4729</v>
      </c>
      <c r="B2534" t="str">
        <f>"000786"</f>
        <v>000786</v>
      </c>
      <c r="C2534" t="s">
        <v>5399</v>
      </c>
      <c r="D2534" t="s">
        <v>722</v>
      </c>
      <c r="F2534">
        <v>874598448</v>
      </c>
      <c r="G2534">
        <v>672244329</v>
      </c>
      <c r="H2534">
        <v>421263611</v>
      </c>
      <c r="I2534">
        <v>365581534</v>
      </c>
      <c r="P2534">
        <v>2486</v>
      </c>
      <c r="Q2534" t="s">
        <v>5400</v>
      </c>
    </row>
    <row r="2535" spans="1:17" x14ac:dyDescent="0.3">
      <c r="A2535" t="s">
        <v>4729</v>
      </c>
      <c r="B2535" t="str">
        <f>"000787"</f>
        <v>000787</v>
      </c>
      <c r="C2535" t="s">
        <v>5401</v>
      </c>
      <c r="P2535">
        <v>3</v>
      </c>
      <c r="Q2535" t="s">
        <v>5402</v>
      </c>
    </row>
    <row r="2536" spans="1:17" x14ac:dyDescent="0.3">
      <c r="A2536" t="s">
        <v>4729</v>
      </c>
      <c r="B2536" t="str">
        <f>"000788"</f>
        <v>000788</v>
      </c>
      <c r="C2536" t="s">
        <v>5403</v>
      </c>
      <c r="D2536" t="s">
        <v>143</v>
      </c>
      <c r="F2536">
        <v>14080878</v>
      </c>
      <c r="G2536">
        <v>8705095</v>
      </c>
      <c r="H2536">
        <v>16081273</v>
      </c>
      <c r="I2536">
        <v>5987196</v>
      </c>
      <c r="P2536">
        <v>137</v>
      </c>
      <c r="Q2536" t="s">
        <v>5404</v>
      </c>
    </row>
    <row r="2537" spans="1:17" x14ac:dyDescent="0.3">
      <c r="A2537" t="s">
        <v>4729</v>
      </c>
      <c r="B2537" t="str">
        <f>"000789"</f>
        <v>000789</v>
      </c>
      <c r="C2537" t="s">
        <v>5405</v>
      </c>
      <c r="D2537" t="s">
        <v>731</v>
      </c>
      <c r="F2537">
        <v>24981580</v>
      </c>
      <c r="G2537">
        <v>37583669</v>
      </c>
      <c r="H2537">
        <v>14176470</v>
      </c>
      <c r="I2537">
        <v>3553671</v>
      </c>
      <c r="P2537">
        <v>1139</v>
      </c>
      <c r="Q2537" t="s">
        <v>5406</v>
      </c>
    </row>
    <row r="2538" spans="1:17" x14ac:dyDescent="0.3">
      <c r="A2538" t="s">
        <v>4729</v>
      </c>
      <c r="B2538" t="str">
        <f>"000790"</f>
        <v>000790</v>
      </c>
      <c r="C2538" t="s">
        <v>5407</v>
      </c>
      <c r="D2538" t="s">
        <v>188</v>
      </c>
      <c r="F2538">
        <v>17968994</v>
      </c>
      <c r="G2538">
        <v>19738819</v>
      </c>
      <c r="H2538">
        <v>23067452</v>
      </c>
      <c r="I2538">
        <v>26844887</v>
      </c>
      <c r="P2538">
        <v>175</v>
      </c>
      <c r="Q2538" t="s">
        <v>5408</v>
      </c>
    </row>
    <row r="2539" spans="1:17" x14ac:dyDescent="0.3">
      <c r="A2539" t="s">
        <v>4729</v>
      </c>
      <c r="B2539" t="str">
        <f>"000791"</f>
        <v>000791</v>
      </c>
      <c r="C2539" t="s">
        <v>5409</v>
      </c>
      <c r="D2539" t="s">
        <v>66</v>
      </c>
      <c r="F2539">
        <v>1019417</v>
      </c>
      <c r="G2539">
        <v>0</v>
      </c>
      <c r="P2539">
        <v>219</v>
      </c>
      <c r="Q2539" t="s">
        <v>5410</v>
      </c>
    </row>
    <row r="2540" spans="1:17" x14ac:dyDescent="0.3">
      <c r="A2540" t="s">
        <v>4729</v>
      </c>
      <c r="B2540" t="str">
        <f>"000792"</f>
        <v>000792</v>
      </c>
      <c r="C2540" t="s">
        <v>5411</v>
      </c>
      <c r="D2540" t="s">
        <v>3458</v>
      </c>
      <c r="F2540">
        <v>187731609</v>
      </c>
      <c r="G2540">
        <v>73469268</v>
      </c>
      <c r="H2540">
        <v>114767115</v>
      </c>
      <c r="I2540">
        <v>202843340</v>
      </c>
      <c r="P2540">
        <v>420</v>
      </c>
      <c r="Q2540" t="s">
        <v>5412</v>
      </c>
    </row>
    <row r="2541" spans="1:17" x14ac:dyDescent="0.3">
      <c r="A2541" t="s">
        <v>4729</v>
      </c>
      <c r="B2541" t="str">
        <f>"000793"</f>
        <v>000793</v>
      </c>
      <c r="C2541" t="s">
        <v>5413</v>
      </c>
      <c r="D2541" t="s">
        <v>525</v>
      </c>
      <c r="F2541">
        <v>41179679</v>
      </c>
      <c r="G2541">
        <v>60823137</v>
      </c>
      <c r="H2541">
        <v>51485404</v>
      </c>
      <c r="I2541">
        <v>62481035</v>
      </c>
      <c r="P2541">
        <v>141</v>
      </c>
      <c r="Q2541" t="s">
        <v>5414</v>
      </c>
    </row>
    <row r="2542" spans="1:17" x14ac:dyDescent="0.3">
      <c r="A2542" t="s">
        <v>4729</v>
      </c>
      <c r="B2542" t="str">
        <f>"000795"</f>
        <v>000795</v>
      </c>
      <c r="C2542" t="s">
        <v>5415</v>
      </c>
      <c r="D2542" t="s">
        <v>808</v>
      </c>
      <c r="F2542">
        <v>172767973</v>
      </c>
      <c r="G2542">
        <v>128999377</v>
      </c>
      <c r="H2542">
        <v>125055686</v>
      </c>
      <c r="I2542">
        <v>106505481</v>
      </c>
      <c r="P2542">
        <v>145</v>
      </c>
      <c r="Q2542" t="s">
        <v>5416</v>
      </c>
    </row>
    <row r="2543" spans="1:17" x14ac:dyDescent="0.3">
      <c r="A2543" t="s">
        <v>4729</v>
      </c>
      <c r="B2543" t="str">
        <f>"000796"</f>
        <v>000796</v>
      </c>
      <c r="C2543" t="s">
        <v>5417</v>
      </c>
      <c r="D2543" t="s">
        <v>1120</v>
      </c>
      <c r="F2543">
        <v>12421858</v>
      </c>
      <c r="G2543">
        <v>33339567</v>
      </c>
      <c r="H2543">
        <v>15708508</v>
      </c>
      <c r="I2543">
        <v>17562505</v>
      </c>
      <c r="P2543">
        <v>224</v>
      </c>
      <c r="Q2543" t="s">
        <v>5418</v>
      </c>
    </row>
    <row r="2544" spans="1:17" x14ac:dyDescent="0.3">
      <c r="A2544" t="s">
        <v>4729</v>
      </c>
      <c r="B2544" t="str">
        <f>"000797"</f>
        <v>000797</v>
      </c>
      <c r="C2544" t="s">
        <v>5419</v>
      </c>
      <c r="D2544" t="s">
        <v>104</v>
      </c>
      <c r="F2544">
        <v>4590635</v>
      </c>
      <c r="G2544">
        <v>72471</v>
      </c>
      <c r="P2544">
        <v>121</v>
      </c>
      <c r="Q2544" t="s">
        <v>5420</v>
      </c>
    </row>
    <row r="2545" spans="1:17" x14ac:dyDescent="0.3">
      <c r="A2545" t="s">
        <v>4729</v>
      </c>
      <c r="B2545" t="str">
        <f>"000798"</f>
        <v>000798</v>
      </c>
      <c r="C2545" t="s">
        <v>5421</v>
      </c>
      <c r="D2545" t="s">
        <v>228</v>
      </c>
      <c r="F2545">
        <v>1792038</v>
      </c>
      <c r="G2545">
        <v>2139977</v>
      </c>
      <c r="H2545">
        <v>248861</v>
      </c>
      <c r="I2545">
        <v>296961</v>
      </c>
      <c r="P2545">
        <v>83</v>
      </c>
      <c r="Q2545" t="s">
        <v>5422</v>
      </c>
    </row>
    <row r="2546" spans="1:17" x14ac:dyDescent="0.3">
      <c r="A2546" t="s">
        <v>4729</v>
      </c>
      <c r="B2546" t="str">
        <f>"000799"</f>
        <v>000799</v>
      </c>
      <c r="C2546" t="s">
        <v>5423</v>
      </c>
      <c r="D2546" t="s">
        <v>458</v>
      </c>
      <c r="F2546">
        <v>10136022</v>
      </c>
      <c r="G2546">
        <v>10821677</v>
      </c>
      <c r="H2546">
        <v>9736443</v>
      </c>
      <c r="I2546">
        <v>3510199</v>
      </c>
      <c r="P2546">
        <v>1659</v>
      </c>
      <c r="Q2546" t="s">
        <v>5424</v>
      </c>
    </row>
    <row r="2547" spans="1:17" x14ac:dyDescent="0.3">
      <c r="A2547" t="s">
        <v>4729</v>
      </c>
      <c r="B2547" t="str">
        <f>"000800"</f>
        <v>000800</v>
      </c>
      <c r="C2547" t="s">
        <v>5425</v>
      </c>
      <c r="D2547" t="s">
        <v>27</v>
      </c>
      <c r="F2547">
        <v>3328946673</v>
      </c>
      <c r="G2547">
        <v>2836473912</v>
      </c>
      <c r="H2547">
        <v>727786662</v>
      </c>
      <c r="I2547">
        <v>462886641</v>
      </c>
      <c r="P2547">
        <v>446</v>
      </c>
      <c r="Q2547" t="s">
        <v>5426</v>
      </c>
    </row>
    <row r="2548" spans="1:17" x14ac:dyDescent="0.3">
      <c r="A2548" t="s">
        <v>4729</v>
      </c>
      <c r="B2548" t="str">
        <f>"000801"</f>
        <v>000801</v>
      </c>
      <c r="C2548" t="s">
        <v>5427</v>
      </c>
      <c r="D2548" t="s">
        <v>4467</v>
      </c>
      <c r="F2548">
        <v>298405477</v>
      </c>
      <c r="G2548">
        <v>333131268</v>
      </c>
      <c r="H2548">
        <v>252220216</v>
      </c>
      <c r="I2548">
        <v>252125634</v>
      </c>
      <c r="P2548">
        <v>218</v>
      </c>
      <c r="Q2548" t="s">
        <v>5428</v>
      </c>
    </row>
    <row r="2549" spans="1:17" x14ac:dyDescent="0.3">
      <c r="A2549" t="s">
        <v>4729</v>
      </c>
      <c r="B2549" t="str">
        <f>"000802"</f>
        <v>000802</v>
      </c>
      <c r="C2549" t="s">
        <v>5429</v>
      </c>
      <c r="D2549" t="s">
        <v>113</v>
      </c>
      <c r="F2549">
        <v>0</v>
      </c>
      <c r="G2549">
        <v>0</v>
      </c>
      <c r="P2549">
        <v>205</v>
      </c>
      <c r="Q2549" t="s">
        <v>5430</v>
      </c>
    </row>
    <row r="2550" spans="1:17" x14ac:dyDescent="0.3">
      <c r="A2550" t="s">
        <v>4729</v>
      </c>
      <c r="B2550" t="str">
        <f>"000803"</f>
        <v>000803</v>
      </c>
      <c r="C2550" t="s">
        <v>5431</v>
      </c>
      <c r="D2550" t="s">
        <v>239</v>
      </c>
      <c r="F2550">
        <v>8821676</v>
      </c>
      <c r="G2550">
        <v>2201977</v>
      </c>
      <c r="H2550">
        <v>791102</v>
      </c>
      <c r="I2550">
        <v>576961</v>
      </c>
      <c r="P2550">
        <v>79</v>
      </c>
      <c r="Q2550" t="s">
        <v>5432</v>
      </c>
    </row>
    <row r="2551" spans="1:17" x14ac:dyDescent="0.3">
      <c r="A2551" t="s">
        <v>4729</v>
      </c>
      <c r="B2551" t="str">
        <f>"000805"</f>
        <v>000805</v>
      </c>
      <c r="C2551" t="s">
        <v>5433</v>
      </c>
      <c r="P2551">
        <v>3</v>
      </c>
      <c r="Q2551" t="s">
        <v>5434</v>
      </c>
    </row>
    <row r="2552" spans="1:17" x14ac:dyDescent="0.3">
      <c r="A2552" t="s">
        <v>4729</v>
      </c>
      <c r="B2552" t="str">
        <f>"000806"</f>
        <v>000806</v>
      </c>
      <c r="C2552" t="s">
        <v>5435</v>
      </c>
      <c r="D2552" t="s">
        <v>210</v>
      </c>
      <c r="F2552">
        <v>58974712</v>
      </c>
      <c r="G2552">
        <v>34642205</v>
      </c>
      <c r="H2552">
        <v>38227917</v>
      </c>
      <c r="I2552">
        <v>100501387</v>
      </c>
      <c r="J2552">
        <v>40376329</v>
      </c>
      <c r="P2552">
        <v>123</v>
      </c>
      <c r="Q2552" t="s">
        <v>5436</v>
      </c>
    </row>
    <row r="2553" spans="1:17" x14ac:dyDescent="0.3">
      <c r="A2553" t="s">
        <v>4729</v>
      </c>
      <c r="B2553" t="str">
        <f>"000807"</f>
        <v>000807</v>
      </c>
      <c r="C2553" t="s">
        <v>5437</v>
      </c>
      <c r="D2553" t="s">
        <v>504</v>
      </c>
      <c r="F2553">
        <v>55244170</v>
      </c>
      <c r="G2553">
        <v>31115217</v>
      </c>
      <c r="H2553">
        <v>10281521</v>
      </c>
      <c r="I2553">
        <v>27381460</v>
      </c>
      <c r="P2553">
        <v>551</v>
      </c>
      <c r="Q2553" t="s">
        <v>5438</v>
      </c>
    </row>
    <row r="2554" spans="1:17" x14ac:dyDescent="0.3">
      <c r="A2554" t="s">
        <v>4729</v>
      </c>
      <c r="B2554" t="str">
        <f>"000809"</f>
        <v>000809</v>
      </c>
      <c r="C2554" t="s">
        <v>5439</v>
      </c>
      <c r="D2554" t="s">
        <v>104</v>
      </c>
      <c r="F2554">
        <v>0</v>
      </c>
      <c r="G2554">
        <v>0</v>
      </c>
      <c r="P2554">
        <v>72</v>
      </c>
      <c r="Q2554" t="s">
        <v>5440</v>
      </c>
    </row>
    <row r="2555" spans="1:17" x14ac:dyDescent="0.3">
      <c r="A2555" t="s">
        <v>4729</v>
      </c>
      <c r="B2555" t="str">
        <f>"000810"</f>
        <v>000810</v>
      </c>
      <c r="C2555" t="s">
        <v>5441</v>
      </c>
      <c r="D2555" t="s">
        <v>4467</v>
      </c>
      <c r="F2555">
        <v>556220533</v>
      </c>
      <c r="G2555">
        <v>509138959</v>
      </c>
      <c r="H2555">
        <v>479951682</v>
      </c>
      <c r="I2555">
        <v>358866159</v>
      </c>
      <c r="P2555">
        <v>384</v>
      </c>
      <c r="Q2555" t="s">
        <v>5442</v>
      </c>
    </row>
    <row r="2556" spans="1:17" x14ac:dyDescent="0.3">
      <c r="A2556" t="s">
        <v>4729</v>
      </c>
      <c r="B2556" t="str">
        <f>"000811"</f>
        <v>000811</v>
      </c>
      <c r="C2556" t="s">
        <v>5443</v>
      </c>
      <c r="D2556" t="s">
        <v>988</v>
      </c>
      <c r="F2556">
        <v>189847503</v>
      </c>
      <c r="G2556">
        <v>174809629</v>
      </c>
      <c r="H2556">
        <v>128507129</v>
      </c>
      <c r="I2556">
        <v>95353625</v>
      </c>
      <c r="J2556">
        <v>0</v>
      </c>
      <c r="K2556">
        <v>0</v>
      </c>
      <c r="P2556">
        <v>224</v>
      </c>
      <c r="Q2556" t="s">
        <v>5444</v>
      </c>
    </row>
    <row r="2557" spans="1:17" x14ac:dyDescent="0.3">
      <c r="A2557" t="s">
        <v>4729</v>
      </c>
      <c r="B2557" t="str">
        <f>"000812"</f>
        <v>000812</v>
      </c>
      <c r="C2557" t="s">
        <v>5445</v>
      </c>
      <c r="D2557" t="s">
        <v>2165</v>
      </c>
      <c r="F2557">
        <v>40466119</v>
      </c>
      <c r="G2557">
        <v>32741016</v>
      </c>
      <c r="H2557">
        <v>27800323</v>
      </c>
      <c r="I2557">
        <v>25051188</v>
      </c>
      <c r="P2557">
        <v>111</v>
      </c>
      <c r="Q2557" t="s">
        <v>5446</v>
      </c>
    </row>
    <row r="2558" spans="1:17" x14ac:dyDescent="0.3">
      <c r="A2558" t="s">
        <v>4729</v>
      </c>
      <c r="B2558" t="str">
        <f>"000813"</f>
        <v>000813</v>
      </c>
      <c r="C2558" t="s">
        <v>5447</v>
      </c>
      <c r="D2558" t="s">
        <v>143</v>
      </c>
      <c r="F2558">
        <v>67056529</v>
      </c>
      <c r="G2558">
        <v>56046275</v>
      </c>
      <c r="H2558">
        <v>118569039</v>
      </c>
      <c r="I2558">
        <v>86683891</v>
      </c>
      <c r="P2558">
        <v>281</v>
      </c>
      <c r="Q2558" t="s">
        <v>5448</v>
      </c>
    </row>
    <row r="2559" spans="1:17" x14ac:dyDescent="0.3">
      <c r="A2559" t="s">
        <v>4729</v>
      </c>
      <c r="B2559" t="str">
        <f>"000815"</f>
        <v>000815</v>
      </c>
      <c r="C2559" t="s">
        <v>5449</v>
      </c>
      <c r="D2559" t="s">
        <v>694</v>
      </c>
      <c r="F2559">
        <v>20520721</v>
      </c>
      <c r="G2559">
        <v>16482691</v>
      </c>
      <c r="H2559">
        <v>11079931</v>
      </c>
      <c r="I2559">
        <v>1240595</v>
      </c>
      <c r="P2559">
        <v>125</v>
      </c>
      <c r="Q2559" t="s">
        <v>5450</v>
      </c>
    </row>
    <row r="2560" spans="1:17" x14ac:dyDescent="0.3">
      <c r="A2560" t="s">
        <v>4729</v>
      </c>
      <c r="B2560" t="str">
        <f>"000816"</f>
        <v>000816</v>
      </c>
      <c r="C2560" t="s">
        <v>5451</v>
      </c>
      <c r="D2560" t="s">
        <v>348</v>
      </c>
      <c r="F2560">
        <v>8798559</v>
      </c>
      <c r="G2560">
        <v>8088975</v>
      </c>
      <c r="H2560">
        <v>19744848</v>
      </c>
      <c r="I2560">
        <v>15055896</v>
      </c>
      <c r="P2560">
        <v>153</v>
      </c>
      <c r="Q2560" t="s">
        <v>5452</v>
      </c>
    </row>
    <row r="2561" spans="1:17" x14ac:dyDescent="0.3">
      <c r="A2561" t="s">
        <v>4729</v>
      </c>
      <c r="B2561" t="str">
        <f>"000818"</f>
        <v>000818</v>
      </c>
      <c r="C2561" t="s">
        <v>5453</v>
      </c>
      <c r="D2561" t="s">
        <v>175</v>
      </c>
      <c r="F2561">
        <v>125374022</v>
      </c>
      <c r="G2561">
        <v>60663863</v>
      </c>
      <c r="H2561">
        <v>37704950</v>
      </c>
      <c r="I2561">
        <v>24482297</v>
      </c>
      <c r="P2561">
        <v>258</v>
      </c>
      <c r="Q2561" t="s">
        <v>5454</v>
      </c>
    </row>
    <row r="2562" spans="1:17" x14ac:dyDescent="0.3">
      <c r="A2562" t="s">
        <v>4729</v>
      </c>
      <c r="B2562" t="str">
        <f>"000819"</f>
        <v>000819</v>
      </c>
      <c r="C2562" t="s">
        <v>5455</v>
      </c>
      <c r="D2562" t="s">
        <v>1617</v>
      </c>
      <c r="F2562">
        <v>11865500</v>
      </c>
      <c r="G2562">
        <v>6364476</v>
      </c>
      <c r="H2562">
        <v>7309509</v>
      </c>
      <c r="I2562">
        <v>2214027</v>
      </c>
      <c r="P2562">
        <v>81</v>
      </c>
      <c r="Q2562" t="s">
        <v>5456</v>
      </c>
    </row>
    <row r="2563" spans="1:17" x14ac:dyDescent="0.3">
      <c r="A2563" t="s">
        <v>4729</v>
      </c>
      <c r="B2563" t="str">
        <f>"000820"</f>
        <v>000820</v>
      </c>
      <c r="C2563" t="s">
        <v>5457</v>
      </c>
      <c r="D2563" t="s">
        <v>499</v>
      </c>
      <c r="F2563">
        <v>1230145</v>
      </c>
      <c r="G2563">
        <v>0</v>
      </c>
      <c r="H2563">
        <v>8585046</v>
      </c>
      <c r="I2563">
        <v>9761495</v>
      </c>
      <c r="J2563">
        <v>65124417</v>
      </c>
      <c r="P2563">
        <v>156</v>
      </c>
      <c r="Q2563" t="s">
        <v>5458</v>
      </c>
    </row>
    <row r="2564" spans="1:17" x14ac:dyDescent="0.3">
      <c r="A2564" t="s">
        <v>4729</v>
      </c>
      <c r="B2564" t="str">
        <f>"000821"</f>
        <v>000821</v>
      </c>
      <c r="C2564" t="s">
        <v>5459</v>
      </c>
      <c r="D2564" t="s">
        <v>3415</v>
      </c>
      <c r="F2564">
        <v>194273905</v>
      </c>
      <c r="G2564">
        <v>153189658</v>
      </c>
      <c r="H2564">
        <v>151703115</v>
      </c>
      <c r="I2564">
        <v>105226797</v>
      </c>
      <c r="P2564">
        <v>166</v>
      </c>
      <c r="Q2564" t="s">
        <v>5460</v>
      </c>
    </row>
    <row r="2565" spans="1:17" x14ac:dyDescent="0.3">
      <c r="A2565" t="s">
        <v>4729</v>
      </c>
      <c r="B2565" t="str">
        <f>"000822"</f>
        <v>000822</v>
      </c>
      <c r="C2565" t="s">
        <v>5461</v>
      </c>
      <c r="D2565" t="s">
        <v>2529</v>
      </c>
      <c r="F2565">
        <v>2506014</v>
      </c>
      <c r="G2565">
        <v>567851</v>
      </c>
      <c r="H2565">
        <v>1287432</v>
      </c>
      <c r="P2565">
        <v>211</v>
      </c>
      <c r="Q2565" t="s">
        <v>5462</v>
      </c>
    </row>
    <row r="2566" spans="1:17" x14ac:dyDescent="0.3">
      <c r="A2566" t="s">
        <v>4729</v>
      </c>
      <c r="B2566" t="str">
        <f>"000823"</f>
        <v>000823</v>
      </c>
      <c r="C2566" t="s">
        <v>5463</v>
      </c>
      <c r="D2566" t="s">
        <v>425</v>
      </c>
      <c r="F2566">
        <v>276002089</v>
      </c>
      <c r="G2566">
        <v>223532755</v>
      </c>
      <c r="H2566">
        <v>214241626</v>
      </c>
      <c r="I2566">
        <v>192803566</v>
      </c>
      <c r="P2566">
        <v>356</v>
      </c>
      <c r="Q2566" t="s">
        <v>5464</v>
      </c>
    </row>
    <row r="2567" spans="1:17" x14ac:dyDescent="0.3">
      <c r="A2567" t="s">
        <v>4729</v>
      </c>
      <c r="B2567" t="str">
        <f>"000825"</f>
        <v>000825</v>
      </c>
      <c r="C2567" t="s">
        <v>5465</v>
      </c>
      <c r="D2567" t="s">
        <v>281</v>
      </c>
      <c r="F2567">
        <v>3361882153</v>
      </c>
      <c r="G2567">
        <v>2148162547</v>
      </c>
      <c r="H2567">
        <v>2296268990</v>
      </c>
      <c r="I2567">
        <v>2216992699</v>
      </c>
      <c r="P2567">
        <v>581</v>
      </c>
      <c r="Q2567" t="s">
        <v>5466</v>
      </c>
    </row>
    <row r="2568" spans="1:17" x14ac:dyDescent="0.3">
      <c r="A2568" t="s">
        <v>4729</v>
      </c>
      <c r="B2568" t="str">
        <f>"000826"</f>
        <v>000826</v>
      </c>
      <c r="C2568" t="s">
        <v>5467</v>
      </c>
      <c r="D2568" t="s">
        <v>3575</v>
      </c>
      <c r="F2568">
        <v>186966315</v>
      </c>
      <c r="G2568">
        <v>135444464</v>
      </c>
      <c r="H2568">
        <v>131235394</v>
      </c>
      <c r="I2568">
        <v>200518428</v>
      </c>
      <c r="P2568">
        <v>559</v>
      </c>
      <c r="Q2568" t="s">
        <v>5468</v>
      </c>
    </row>
    <row r="2569" spans="1:17" x14ac:dyDescent="0.3">
      <c r="A2569" t="s">
        <v>4729</v>
      </c>
      <c r="B2569" t="str">
        <f>"000828"</f>
        <v>000828</v>
      </c>
      <c r="C2569" t="s">
        <v>5469</v>
      </c>
      <c r="D2569" t="s">
        <v>44</v>
      </c>
      <c r="F2569">
        <v>0</v>
      </c>
      <c r="G2569">
        <v>0</v>
      </c>
      <c r="H2569">
        <v>0</v>
      </c>
      <c r="I2569">
        <v>0</v>
      </c>
      <c r="P2569">
        <v>961</v>
      </c>
      <c r="Q2569" t="s">
        <v>5470</v>
      </c>
    </row>
    <row r="2570" spans="1:17" x14ac:dyDescent="0.3">
      <c r="A2570" t="s">
        <v>4729</v>
      </c>
      <c r="B2570" t="str">
        <f>"000829"</f>
        <v>000829</v>
      </c>
      <c r="C2570" t="s">
        <v>5471</v>
      </c>
      <c r="D2570" t="s">
        <v>295</v>
      </c>
      <c r="F2570">
        <v>86715484</v>
      </c>
      <c r="G2570">
        <v>82930079</v>
      </c>
      <c r="H2570">
        <v>84401445</v>
      </c>
      <c r="I2570">
        <v>58894905</v>
      </c>
      <c r="P2570">
        <v>187</v>
      </c>
      <c r="Q2570" t="s">
        <v>5472</v>
      </c>
    </row>
    <row r="2571" spans="1:17" x14ac:dyDescent="0.3">
      <c r="A2571" t="s">
        <v>4729</v>
      </c>
      <c r="B2571" t="str">
        <f>"000830"</f>
        <v>000830</v>
      </c>
      <c r="C2571" t="s">
        <v>5473</v>
      </c>
      <c r="D2571" t="s">
        <v>914</v>
      </c>
      <c r="F2571">
        <v>1040785476</v>
      </c>
      <c r="G2571">
        <v>580293809</v>
      </c>
      <c r="H2571">
        <v>572226061</v>
      </c>
      <c r="I2571">
        <v>630305090</v>
      </c>
      <c r="P2571">
        <v>891</v>
      </c>
      <c r="Q2571" t="s">
        <v>5474</v>
      </c>
    </row>
    <row r="2572" spans="1:17" x14ac:dyDescent="0.3">
      <c r="A2572" t="s">
        <v>4729</v>
      </c>
      <c r="B2572" t="str">
        <f>"000831"</f>
        <v>000831</v>
      </c>
      <c r="C2572" t="s">
        <v>5475</v>
      </c>
      <c r="D2572" t="s">
        <v>266</v>
      </c>
      <c r="F2572">
        <v>15447719</v>
      </c>
      <c r="G2572">
        <v>13224361</v>
      </c>
      <c r="H2572">
        <v>11320976</v>
      </c>
      <c r="I2572">
        <v>5328611</v>
      </c>
      <c r="P2572">
        <v>458</v>
      </c>
      <c r="Q2572" t="s">
        <v>5476</v>
      </c>
    </row>
    <row r="2573" spans="1:17" x14ac:dyDescent="0.3">
      <c r="A2573" t="s">
        <v>4729</v>
      </c>
      <c r="B2573" t="str">
        <f>"000832"</f>
        <v>000832</v>
      </c>
      <c r="C2573" t="s">
        <v>5477</v>
      </c>
      <c r="P2573">
        <v>6</v>
      </c>
      <c r="Q2573" t="s">
        <v>5478</v>
      </c>
    </row>
    <row r="2574" spans="1:17" x14ac:dyDescent="0.3">
      <c r="A2574" t="s">
        <v>4729</v>
      </c>
      <c r="B2574" t="str">
        <f>"000833"</f>
        <v>000833</v>
      </c>
      <c r="C2574" t="s">
        <v>5479</v>
      </c>
      <c r="D2574" t="s">
        <v>110</v>
      </c>
      <c r="F2574">
        <v>67966261</v>
      </c>
      <c r="G2574">
        <v>36483498</v>
      </c>
      <c r="H2574">
        <v>34734814</v>
      </c>
      <c r="I2574">
        <v>44653571</v>
      </c>
      <c r="P2574">
        <v>88</v>
      </c>
      <c r="Q2574" t="s">
        <v>5480</v>
      </c>
    </row>
    <row r="2575" spans="1:17" x14ac:dyDescent="0.3">
      <c r="A2575" t="s">
        <v>4729</v>
      </c>
      <c r="B2575" t="str">
        <f>"000835"</f>
        <v>000835</v>
      </c>
      <c r="C2575" t="s">
        <v>5481</v>
      </c>
      <c r="D2575" t="s">
        <v>517</v>
      </c>
      <c r="F2575">
        <v>0</v>
      </c>
      <c r="G2575">
        <v>0</v>
      </c>
      <c r="H2575">
        <v>8085957</v>
      </c>
      <c r="I2575">
        <v>9665126</v>
      </c>
      <c r="P2575">
        <v>69</v>
      </c>
      <c r="Q2575" t="s">
        <v>5482</v>
      </c>
    </row>
    <row r="2576" spans="1:17" x14ac:dyDescent="0.3">
      <c r="A2576" t="s">
        <v>4729</v>
      </c>
      <c r="B2576" t="str">
        <f>"000836"</f>
        <v>000836</v>
      </c>
      <c r="C2576" t="s">
        <v>5483</v>
      </c>
      <c r="D2576" t="s">
        <v>250</v>
      </c>
      <c r="F2576">
        <v>67749863</v>
      </c>
      <c r="G2576">
        <v>50483417</v>
      </c>
      <c r="H2576">
        <v>52785783</v>
      </c>
      <c r="I2576">
        <v>85019810</v>
      </c>
      <c r="P2576">
        <v>135</v>
      </c>
      <c r="Q2576" t="s">
        <v>5484</v>
      </c>
    </row>
    <row r="2577" spans="1:17" x14ac:dyDescent="0.3">
      <c r="A2577" t="s">
        <v>4729</v>
      </c>
      <c r="B2577" t="str">
        <f>"000837"</f>
        <v>000837</v>
      </c>
      <c r="C2577" t="s">
        <v>5485</v>
      </c>
      <c r="D2577" t="s">
        <v>2321</v>
      </c>
      <c r="F2577">
        <v>182272911</v>
      </c>
      <c r="G2577">
        <v>114686072</v>
      </c>
      <c r="H2577">
        <v>288380981</v>
      </c>
      <c r="I2577">
        <v>112788874</v>
      </c>
      <c r="P2577">
        <v>129</v>
      </c>
      <c r="Q2577" t="s">
        <v>5486</v>
      </c>
    </row>
    <row r="2578" spans="1:17" x14ac:dyDescent="0.3">
      <c r="A2578" t="s">
        <v>4729</v>
      </c>
      <c r="B2578" t="str">
        <f>"000838"</f>
        <v>000838</v>
      </c>
      <c r="C2578" t="s">
        <v>5487</v>
      </c>
      <c r="D2578" t="s">
        <v>104</v>
      </c>
      <c r="F2578">
        <v>5268992</v>
      </c>
      <c r="G2578">
        <v>714685</v>
      </c>
      <c r="H2578">
        <v>1218843</v>
      </c>
      <c r="I2578">
        <v>8696144</v>
      </c>
      <c r="P2578">
        <v>98</v>
      </c>
      <c r="Q2578" t="s">
        <v>5488</v>
      </c>
    </row>
    <row r="2579" spans="1:17" x14ac:dyDescent="0.3">
      <c r="A2579" t="s">
        <v>4729</v>
      </c>
      <c r="B2579" t="str">
        <f>"000839"</f>
        <v>000839</v>
      </c>
      <c r="C2579" t="s">
        <v>5489</v>
      </c>
      <c r="D2579" t="s">
        <v>110</v>
      </c>
      <c r="F2579">
        <v>84972219</v>
      </c>
      <c r="G2579">
        <v>82845091</v>
      </c>
      <c r="H2579">
        <v>69254153</v>
      </c>
      <c r="I2579">
        <v>129015318</v>
      </c>
      <c r="P2579">
        <v>219</v>
      </c>
      <c r="Q2579" t="s">
        <v>5490</v>
      </c>
    </row>
    <row r="2580" spans="1:17" x14ac:dyDescent="0.3">
      <c r="A2580" t="s">
        <v>4729</v>
      </c>
      <c r="B2580" t="str">
        <f>"000848"</f>
        <v>000848</v>
      </c>
      <c r="C2580" t="s">
        <v>5491</v>
      </c>
      <c r="D2580" t="s">
        <v>440</v>
      </c>
      <c r="F2580">
        <v>18819403</v>
      </c>
      <c r="G2580">
        <v>10981418</v>
      </c>
      <c r="H2580">
        <v>13686809</v>
      </c>
      <c r="I2580">
        <v>11356522</v>
      </c>
      <c r="P2580">
        <v>41201</v>
      </c>
      <c r="Q2580" t="s">
        <v>5492</v>
      </c>
    </row>
    <row r="2581" spans="1:17" x14ac:dyDescent="0.3">
      <c r="A2581" t="s">
        <v>4729</v>
      </c>
      <c r="B2581" t="str">
        <f>"000850"</f>
        <v>000850</v>
      </c>
      <c r="C2581" t="s">
        <v>5493</v>
      </c>
      <c r="D2581" t="s">
        <v>1009</v>
      </c>
      <c r="F2581">
        <v>129530358</v>
      </c>
      <c r="G2581">
        <v>119620738</v>
      </c>
      <c r="H2581">
        <v>99708798</v>
      </c>
      <c r="I2581">
        <v>83451286</v>
      </c>
      <c r="P2581">
        <v>121</v>
      </c>
      <c r="Q2581" t="s">
        <v>5494</v>
      </c>
    </row>
    <row r="2582" spans="1:17" x14ac:dyDescent="0.3">
      <c r="A2582" t="s">
        <v>4729</v>
      </c>
      <c r="B2582" t="str">
        <f>"000851"</f>
        <v>000851</v>
      </c>
      <c r="C2582" t="s">
        <v>5495</v>
      </c>
      <c r="D2582" t="s">
        <v>1019</v>
      </c>
      <c r="F2582">
        <v>128199326</v>
      </c>
      <c r="G2582">
        <v>123480739</v>
      </c>
      <c r="H2582">
        <v>66148344</v>
      </c>
      <c r="I2582">
        <v>23710227</v>
      </c>
      <c r="P2582">
        <v>224</v>
      </c>
      <c r="Q2582" t="s">
        <v>5496</v>
      </c>
    </row>
    <row r="2583" spans="1:17" x14ac:dyDescent="0.3">
      <c r="A2583" t="s">
        <v>4729</v>
      </c>
      <c r="B2583" t="str">
        <f>"000852"</f>
        <v>000852</v>
      </c>
      <c r="C2583" t="s">
        <v>5497</v>
      </c>
      <c r="D2583" t="s">
        <v>395</v>
      </c>
      <c r="F2583">
        <v>276371374</v>
      </c>
      <c r="G2583">
        <v>386057065</v>
      </c>
      <c r="H2583">
        <v>410560865</v>
      </c>
      <c r="I2583">
        <v>246196763</v>
      </c>
      <c r="P2583">
        <v>155</v>
      </c>
      <c r="Q2583" t="s">
        <v>5498</v>
      </c>
    </row>
    <row r="2584" spans="1:17" x14ac:dyDescent="0.3">
      <c r="A2584" t="s">
        <v>4729</v>
      </c>
      <c r="B2584" t="str">
        <f>"000856"</f>
        <v>000856</v>
      </c>
      <c r="C2584" t="s">
        <v>5499</v>
      </c>
      <c r="D2584" t="s">
        <v>741</v>
      </c>
      <c r="F2584">
        <v>29402169</v>
      </c>
      <c r="G2584">
        <v>22155322</v>
      </c>
      <c r="H2584">
        <v>25972205</v>
      </c>
      <c r="I2584">
        <v>22845795</v>
      </c>
      <c r="P2584">
        <v>101</v>
      </c>
      <c r="Q2584" t="s">
        <v>5500</v>
      </c>
    </row>
    <row r="2585" spans="1:17" x14ac:dyDescent="0.3">
      <c r="A2585" t="s">
        <v>4729</v>
      </c>
      <c r="B2585" t="str">
        <f>"000858"</f>
        <v>000858</v>
      </c>
      <c r="C2585" t="s">
        <v>5501</v>
      </c>
      <c r="D2585" t="s">
        <v>458</v>
      </c>
      <c r="F2585">
        <v>177411728</v>
      </c>
      <c r="G2585">
        <v>131315225</v>
      </c>
      <c r="H2585">
        <v>126360421</v>
      </c>
      <c r="I2585">
        <v>84082506</v>
      </c>
      <c r="P2585">
        <v>11635</v>
      </c>
      <c r="Q2585" t="s">
        <v>5502</v>
      </c>
    </row>
    <row r="2586" spans="1:17" x14ac:dyDescent="0.3">
      <c r="A2586" t="s">
        <v>4729</v>
      </c>
      <c r="B2586" t="str">
        <f>"000859"</f>
        <v>000859</v>
      </c>
      <c r="C2586" t="s">
        <v>5503</v>
      </c>
      <c r="D2586" t="s">
        <v>324</v>
      </c>
      <c r="F2586">
        <v>79298215</v>
      </c>
      <c r="G2586">
        <v>52309970</v>
      </c>
      <c r="H2586">
        <v>49234260</v>
      </c>
      <c r="I2586">
        <v>44427223</v>
      </c>
      <c r="P2586">
        <v>118</v>
      </c>
      <c r="Q2586" t="s">
        <v>5504</v>
      </c>
    </row>
    <row r="2587" spans="1:17" x14ac:dyDescent="0.3">
      <c r="A2587" t="s">
        <v>4729</v>
      </c>
      <c r="B2587" t="str">
        <f>"000860"</f>
        <v>000860</v>
      </c>
      <c r="C2587" t="s">
        <v>5505</v>
      </c>
      <c r="D2587" t="s">
        <v>458</v>
      </c>
      <c r="F2587">
        <v>32967070</v>
      </c>
      <c r="G2587">
        <v>15410856</v>
      </c>
      <c r="H2587">
        <v>18218525</v>
      </c>
      <c r="I2587">
        <v>14314255</v>
      </c>
      <c r="P2587">
        <v>1515</v>
      </c>
      <c r="Q2587" t="s">
        <v>5506</v>
      </c>
    </row>
    <row r="2588" spans="1:17" x14ac:dyDescent="0.3">
      <c r="A2588" t="s">
        <v>4729</v>
      </c>
      <c r="B2588" t="str">
        <f>"000861"</f>
        <v>000861</v>
      </c>
      <c r="C2588" t="s">
        <v>5507</v>
      </c>
      <c r="D2588" t="s">
        <v>271</v>
      </c>
      <c r="F2588">
        <v>0</v>
      </c>
      <c r="G2588">
        <v>0</v>
      </c>
      <c r="I2588">
        <v>9136005</v>
      </c>
      <c r="P2588">
        <v>184</v>
      </c>
      <c r="Q2588" t="s">
        <v>5508</v>
      </c>
    </row>
    <row r="2589" spans="1:17" x14ac:dyDescent="0.3">
      <c r="A2589" t="s">
        <v>4729</v>
      </c>
      <c r="B2589" t="str">
        <f>"000862"</f>
        <v>000862</v>
      </c>
      <c r="C2589" t="s">
        <v>5509</v>
      </c>
      <c r="D2589" t="s">
        <v>383</v>
      </c>
      <c r="F2589">
        <v>67875</v>
      </c>
      <c r="G2589">
        <v>50650</v>
      </c>
      <c r="H2589">
        <v>23010</v>
      </c>
      <c r="I2589">
        <v>739624</v>
      </c>
      <c r="P2589">
        <v>171</v>
      </c>
      <c r="Q2589" t="s">
        <v>5510</v>
      </c>
    </row>
    <row r="2590" spans="1:17" x14ac:dyDescent="0.3">
      <c r="A2590" t="s">
        <v>4729</v>
      </c>
      <c r="B2590" t="str">
        <f>"000863"</f>
        <v>000863</v>
      </c>
      <c r="C2590" t="s">
        <v>5511</v>
      </c>
      <c r="D2590" t="s">
        <v>104</v>
      </c>
      <c r="F2590">
        <v>0</v>
      </c>
      <c r="G2590">
        <v>0</v>
      </c>
      <c r="P2590">
        <v>171</v>
      </c>
      <c r="Q2590" t="s">
        <v>5512</v>
      </c>
    </row>
    <row r="2591" spans="1:17" x14ac:dyDescent="0.3">
      <c r="A2591" t="s">
        <v>4729</v>
      </c>
      <c r="B2591" t="str">
        <f>"000868"</f>
        <v>000868</v>
      </c>
      <c r="C2591" t="s">
        <v>5513</v>
      </c>
      <c r="D2591" t="s">
        <v>153</v>
      </c>
      <c r="F2591">
        <v>93936811</v>
      </c>
      <c r="G2591">
        <v>120251275</v>
      </c>
      <c r="H2591">
        <v>101903913</v>
      </c>
      <c r="I2591">
        <v>124857560</v>
      </c>
      <c r="P2591">
        <v>171</v>
      </c>
      <c r="Q2591" t="s">
        <v>5514</v>
      </c>
    </row>
    <row r="2592" spans="1:17" x14ac:dyDescent="0.3">
      <c r="A2592" t="s">
        <v>4729</v>
      </c>
      <c r="B2592" t="str">
        <f>"000869"</f>
        <v>000869</v>
      </c>
      <c r="C2592" t="s">
        <v>5515</v>
      </c>
      <c r="D2592" t="s">
        <v>134</v>
      </c>
      <c r="F2592">
        <v>10919262</v>
      </c>
      <c r="G2592">
        <v>4531418</v>
      </c>
      <c r="H2592">
        <v>6041116</v>
      </c>
      <c r="I2592">
        <v>4784118</v>
      </c>
      <c r="P2592">
        <v>835</v>
      </c>
      <c r="Q2592" t="s">
        <v>5516</v>
      </c>
    </row>
    <row r="2593" spans="1:17" x14ac:dyDescent="0.3">
      <c r="A2593" t="s">
        <v>4729</v>
      </c>
      <c r="B2593" t="str">
        <f>"000875"</f>
        <v>000875</v>
      </c>
      <c r="C2593" t="s">
        <v>5517</v>
      </c>
      <c r="D2593" t="s">
        <v>239</v>
      </c>
      <c r="F2593">
        <v>57124831</v>
      </c>
      <c r="G2593">
        <v>18930460</v>
      </c>
      <c r="H2593">
        <v>975094</v>
      </c>
      <c r="P2593">
        <v>278</v>
      </c>
      <c r="Q2593" t="s">
        <v>5518</v>
      </c>
    </row>
    <row r="2594" spans="1:17" x14ac:dyDescent="0.3">
      <c r="A2594" t="s">
        <v>4729</v>
      </c>
      <c r="B2594" t="str">
        <f>"000876"</f>
        <v>000876</v>
      </c>
      <c r="C2594" t="s">
        <v>5519</v>
      </c>
      <c r="D2594" t="s">
        <v>1900</v>
      </c>
      <c r="F2594">
        <v>289828632</v>
      </c>
      <c r="G2594">
        <v>265174311</v>
      </c>
      <c r="H2594">
        <v>172876105</v>
      </c>
      <c r="I2594">
        <v>91934788</v>
      </c>
      <c r="P2594">
        <v>2609</v>
      </c>
      <c r="Q2594" t="s">
        <v>5520</v>
      </c>
    </row>
    <row r="2595" spans="1:17" x14ac:dyDescent="0.3">
      <c r="A2595" t="s">
        <v>4729</v>
      </c>
      <c r="B2595" t="str">
        <f>"000877"</f>
        <v>000877</v>
      </c>
      <c r="C2595" t="s">
        <v>5521</v>
      </c>
      <c r="D2595" t="s">
        <v>731</v>
      </c>
      <c r="F2595">
        <v>1793293922</v>
      </c>
      <c r="G2595">
        <v>52917689</v>
      </c>
      <c r="H2595">
        <v>40250602</v>
      </c>
      <c r="I2595">
        <v>5528485</v>
      </c>
      <c r="P2595">
        <v>744</v>
      </c>
      <c r="Q2595" t="s">
        <v>5522</v>
      </c>
    </row>
    <row r="2596" spans="1:17" x14ac:dyDescent="0.3">
      <c r="A2596" t="s">
        <v>4729</v>
      </c>
      <c r="B2596" t="str">
        <f>"000878"</f>
        <v>000878</v>
      </c>
      <c r="C2596" t="s">
        <v>5523</v>
      </c>
      <c r="D2596" t="s">
        <v>263</v>
      </c>
      <c r="F2596">
        <v>247232500</v>
      </c>
      <c r="G2596">
        <v>156836172</v>
      </c>
      <c r="H2596">
        <v>90031070</v>
      </c>
      <c r="I2596">
        <v>67473407</v>
      </c>
      <c r="P2596">
        <v>418</v>
      </c>
      <c r="Q2596" t="s">
        <v>5524</v>
      </c>
    </row>
    <row r="2597" spans="1:17" x14ac:dyDescent="0.3">
      <c r="A2597" t="s">
        <v>4729</v>
      </c>
      <c r="B2597" t="str">
        <f>"000880"</f>
        <v>000880</v>
      </c>
      <c r="C2597" t="s">
        <v>5525</v>
      </c>
      <c r="D2597" t="s">
        <v>348</v>
      </c>
      <c r="F2597">
        <v>242789988</v>
      </c>
      <c r="G2597">
        <v>205858539</v>
      </c>
      <c r="H2597">
        <v>180830371</v>
      </c>
      <c r="I2597">
        <v>130004384</v>
      </c>
      <c r="P2597">
        <v>102</v>
      </c>
      <c r="Q2597" t="s">
        <v>5526</v>
      </c>
    </row>
    <row r="2598" spans="1:17" x14ac:dyDescent="0.3">
      <c r="A2598" t="s">
        <v>4729</v>
      </c>
      <c r="B2598" t="str">
        <f>"000881"</f>
        <v>000881</v>
      </c>
      <c r="C2598" t="s">
        <v>5527</v>
      </c>
      <c r="D2598" t="s">
        <v>386</v>
      </c>
      <c r="F2598">
        <v>238295491</v>
      </c>
      <c r="G2598">
        <v>223098154</v>
      </c>
      <c r="H2598">
        <v>212956085</v>
      </c>
      <c r="I2598">
        <v>193425958</v>
      </c>
      <c r="P2598">
        <v>169</v>
      </c>
      <c r="Q2598" t="s">
        <v>5528</v>
      </c>
    </row>
    <row r="2599" spans="1:17" x14ac:dyDescent="0.3">
      <c r="A2599" t="s">
        <v>4729</v>
      </c>
      <c r="B2599" t="str">
        <f>"000882"</f>
        <v>000882</v>
      </c>
      <c r="C2599" t="s">
        <v>5529</v>
      </c>
      <c r="D2599" t="s">
        <v>633</v>
      </c>
      <c r="F2599">
        <v>0</v>
      </c>
      <c r="G2599">
        <v>0</v>
      </c>
      <c r="P2599">
        <v>114</v>
      </c>
      <c r="Q2599" t="s">
        <v>5530</v>
      </c>
    </row>
    <row r="2600" spans="1:17" x14ac:dyDescent="0.3">
      <c r="A2600" t="s">
        <v>4729</v>
      </c>
      <c r="B2600" t="str">
        <f>"000883"</f>
        <v>000883</v>
      </c>
      <c r="C2600" t="s">
        <v>5531</v>
      </c>
      <c r="D2600" t="s">
        <v>239</v>
      </c>
      <c r="F2600">
        <v>0</v>
      </c>
      <c r="G2600">
        <v>0</v>
      </c>
      <c r="P2600">
        <v>421</v>
      </c>
      <c r="Q2600" t="s">
        <v>5532</v>
      </c>
    </row>
    <row r="2601" spans="1:17" x14ac:dyDescent="0.3">
      <c r="A2601" t="s">
        <v>4729</v>
      </c>
      <c r="B2601" t="str">
        <f>"000885"</f>
        <v>000885</v>
      </c>
      <c r="C2601" t="s">
        <v>5533</v>
      </c>
      <c r="D2601" t="s">
        <v>44</v>
      </c>
      <c r="F2601">
        <v>10695552</v>
      </c>
      <c r="G2601">
        <v>970874</v>
      </c>
      <c r="P2601">
        <v>236</v>
      </c>
      <c r="Q2601" t="s">
        <v>5534</v>
      </c>
    </row>
    <row r="2602" spans="1:17" x14ac:dyDescent="0.3">
      <c r="A2602" t="s">
        <v>4729</v>
      </c>
      <c r="B2602" t="str">
        <f>"000886"</f>
        <v>000886</v>
      </c>
      <c r="C2602" t="s">
        <v>5535</v>
      </c>
      <c r="D2602" t="s">
        <v>44</v>
      </c>
      <c r="F2602">
        <v>0</v>
      </c>
      <c r="G2602">
        <v>0</v>
      </c>
      <c r="P2602">
        <v>130</v>
      </c>
      <c r="Q2602" t="s">
        <v>5536</v>
      </c>
    </row>
    <row r="2603" spans="1:17" x14ac:dyDescent="0.3">
      <c r="A2603" t="s">
        <v>4729</v>
      </c>
      <c r="B2603" t="str">
        <f>"000887"</f>
        <v>000887</v>
      </c>
      <c r="C2603" t="s">
        <v>5537</v>
      </c>
      <c r="D2603" t="s">
        <v>985</v>
      </c>
      <c r="F2603">
        <v>582176411</v>
      </c>
      <c r="G2603">
        <v>505635061</v>
      </c>
      <c r="H2603">
        <v>570628772</v>
      </c>
      <c r="I2603">
        <v>550269992</v>
      </c>
      <c r="P2603">
        <v>7118</v>
      </c>
      <c r="Q2603" t="s">
        <v>5538</v>
      </c>
    </row>
    <row r="2604" spans="1:17" x14ac:dyDescent="0.3">
      <c r="A2604" t="s">
        <v>4729</v>
      </c>
      <c r="B2604" t="str">
        <f>"000888"</f>
        <v>000888</v>
      </c>
      <c r="C2604" t="s">
        <v>5539</v>
      </c>
      <c r="D2604" t="s">
        <v>119</v>
      </c>
      <c r="F2604">
        <v>414942</v>
      </c>
      <c r="G2604">
        <v>0</v>
      </c>
      <c r="P2604">
        <v>218</v>
      </c>
      <c r="Q2604" t="s">
        <v>5540</v>
      </c>
    </row>
    <row r="2605" spans="1:17" x14ac:dyDescent="0.3">
      <c r="A2605" t="s">
        <v>4729</v>
      </c>
      <c r="B2605" t="str">
        <f>"000889"</f>
        <v>000889</v>
      </c>
      <c r="C2605" t="s">
        <v>5541</v>
      </c>
      <c r="D2605" t="s">
        <v>654</v>
      </c>
      <c r="F2605">
        <v>66385193</v>
      </c>
      <c r="G2605">
        <v>79568248</v>
      </c>
      <c r="H2605">
        <v>89034352</v>
      </c>
      <c r="I2605">
        <v>104591101</v>
      </c>
      <c r="P2605">
        <v>157</v>
      </c>
      <c r="Q2605" t="s">
        <v>5542</v>
      </c>
    </row>
    <row r="2606" spans="1:17" x14ac:dyDescent="0.3">
      <c r="A2606" t="s">
        <v>4729</v>
      </c>
      <c r="B2606" t="str">
        <f>"000890"</f>
        <v>000890</v>
      </c>
      <c r="C2606" t="s">
        <v>5543</v>
      </c>
      <c r="D2606" t="s">
        <v>274</v>
      </c>
      <c r="F2606">
        <v>3678728</v>
      </c>
      <c r="G2606">
        <v>0</v>
      </c>
      <c r="H2606">
        <v>967038</v>
      </c>
      <c r="P2606">
        <v>133</v>
      </c>
      <c r="Q2606" t="s">
        <v>5544</v>
      </c>
    </row>
    <row r="2607" spans="1:17" x14ac:dyDescent="0.3">
      <c r="A2607" t="s">
        <v>4729</v>
      </c>
      <c r="B2607" t="str">
        <f>"000892"</f>
        <v>000892</v>
      </c>
      <c r="C2607" t="s">
        <v>5545</v>
      </c>
      <c r="D2607" t="s">
        <v>113</v>
      </c>
      <c r="F2607">
        <v>495836</v>
      </c>
      <c r="G2607">
        <v>0</v>
      </c>
      <c r="P2607">
        <v>109</v>
      </c>
      <c r="Q2607" t="s">
        <v>5546</v>
      </c>
    </row>
    <row r="2608" spans="1:17" x14ac:dyDescent="0.3">
      <c r="A2608" t="s">
        <v>4729</v>
      </c>
      <c r="B2608" t="str">
        <f>"000893"</f>
        <v>000893</v>
      </c>
      <c r="C2608" t="s">
        <v>5547</v>
      </c>
      <c r="D2608" t="s">
        <v>3458</v>
      </c>
      <c r="F2608">
        <v>0</v>
      </c>
      <c r="G2608">
        <v>0</v>
      </c>
      <c r="P2608">
        <v>159</v>
      </c>
      <c r="Q2608" t="s">
        <v>5548</v>
      </c>
    </row>
    <row r="2609" spans="1:17" x14ac:dyDescent="0.3">
      <c r="A2609" t="s">
        <v>4729</v>
      </c>
      <c r="B2609" t="str">
        <f>"000895"</f>
        <v>000895</v>
      </c>
      <c r="C2609" t="s">
        <v>5549</v>
      </c>
      <c r="D2609" t="s">
        <v>170</v>
      </c>
      <c r="F2609">
        <v>143502790</v>
      </c>
      <c r="G2609">
        <v>95809346</v>
      </c>
      <c r="H2609">
        <v>88284315</v>
      </c>
      <c r="I2609">
        <v>72577451</v>
      </c>
      <c r="P2609">
        <v>37258</v>
      </c>
      <c r="Q2609" t="s">
        <v>5550</v>
      </c>
    </row>
    <row r="2610" spans="1:17" x14ac:dyDescent="0.3">
      <c r="A2610" t="s">
        <v>4729</v>
      </c>
      <c r="B2610" t="str">
        <f>"000897"</f>
        <v>000897</v>
      </c>
      <c r="C2610" t="s">
        <v>5551</v>
      </c>
      <c r="D2610" t="s">
        <v>104</v>
      </c>
      <c r="F2610">
        <v>0</v>
      </c>
      <c r="G2610">
        <v>0</v>
      </c>
      <c r="P2610">
        <v>170</v>
      </c>
      <c r="Q2610" t="s">
        <v>5552</v>
      </c>
    </row>
    <row r="2611" spans="1:17" x14ac:dyDescent="0.3">
      <c r="A2611" t="s">
        <v>4729</v>
      </c>
      <c r="B2611" t="str">
        <f>"000898"</f>
        <v>000898</v>
      </c>
      <c r="C2611" t="s">
        <v>5553</v>
      </c>
      <c r="D2611" t="s">
        <v>38</v>
      </c>
      <c r="F2611">
        <v>640000000</v>
      </c>
      <c r="G2611">
        <v>417000000</v>
      </c>
      <c r="H2611">
        <v>443000000</v>
      </c>
      <c r="I2611">
        <v>483000000</v>
      </c>
      <c r="P2611">
        <v>646</v>
      </c>
      <c r="Q2611" t="s">
        <v>5554</v>
      </c>
    </row>
    <row r="2612" spans="1:17" x14ac:dyDescent="0.3">
      <c r="A2612" t="s">
        <v>4729</v>
      </c>
      <c r="B2612" t="str">
        <f>"000899"</f>
        <v>000899</v>
      </c>
      <c r="C2612" t="s">
        <v>5555</v>
      </c>
      <c r="D2612" t="s">
        <v>41</v>
      </c>
      <c r="F2612">
        <v>49543991</v>
      </c>
      <c r="G2612">
        <v>28771056</v>
      </c>
      <c r="P2612">
        <v>174</v>
      </c>
      <c r="Q2612" t="s">
        <v>5556</v>
      </c>
    </row>
    <row r="2613" spans="1:17" x14ac:dyDescent="0.3">
      <c r="A2613" t="s">
        <v>4729</v>
      </c>
      <c r="B2613" t="str">
        <f>"000900"</f>
        <v>000900</v>
      </c>
      <c r="C2613" t="s">
        <v>5557</v>
      </c>
      <c r="D2613" t="s">
        <v>44</v>
      </c>
      <c r="F2613">
        <v>11010095</v>
      </c>
      <c r="G2613">
        <v>10104054</v>
      </c>
      <c r="H2613">
        <v>4290857</v>
      </c>
      <c r="I2613">
        <v>5947674</v>
      </c>
      <c r="P2613">
        <v>570</v>
      </c>
      <c r="Q2613" t="s">
        <v>5558</v>
      </c>
    </row>
    <row r="2614" spans="1:17" x14ac:dyDescent="0.3">
      <c r="A2614" t="s">
        <v>4729</v>
      </c>
      <c r="B2614" t="str">
        <f>"000901"</f>
        <v>000901</v>
      </c>
      <c r="C2614" t="s">
        <v>5559</v>
      </c>
      <c r="D2614" t="s">
        <v>1136</v>
      </c>
      <c r="F2614">
        <v>280120191</v>
      </c>
      <c r="G2614">
        <v>355553689</v>
      </c>
      <c r="H2614">
        <v>289190616</v>
      </c>
      <c r="I2614">
        <v>278592649</v>
      </c>
      <c r="P2614">
        <v>224</v>
      </c>
      <c r="Q2614" t="s">
        <v>5560</v>
      </c>
    </row>
    <row r="2615" spans="1:17" x14ac:dyDescent="0.3">
      <c r="A2615" t="s">
        <v>4729</v>
      </c>
      <c r="B2615" t="str">
        <f>"000902"</f>
        <v>000902</v>
      </c>
      <c r="C2615" t="s">
        <v>5561</v>
      </c>
      <c r="D2615" t="s">
        <v>5562</v>
      </c>
      <c r="F2615">
        <v>77241259</v>
      </c>
      <c r="G2615">
        <v>58708810</v>
      </c>
      <c r="H2615">
        <v>42338542</v>
      </c>
      <c r="I2615">
        <v>33363048</v>
      </c>
      <c r="P2615">
        <v>406</v>
      </c>
      <c r="Q2615" t="s">
        <v>5563</v>
      </c>
    </row>
    <row r="2616" spans="1:17" x14ac:dyDescent="0.3">
      <c r="A2616" t="s">
        <v>4729</v>
      </c>
      <c r="B2616" t="str">
        <f>"000903"</f>
        <v>000903</v>
      </c>
      <c r="C2616" t="s">
        <v>5564</v>
      </c>
      <c r="D2616" t="s">
        <v>348</v>
      </c>
      <c r="F2616">
        <v>221518885</v>
      </c>
      <c r="G2616">
        <v>142066985</v>
      </c>
      <c r="H2616">
        <v>48906424</v>
      </c>
      <c r="I2616">
        <v>40157536</v>
      </c>
      <c r="P2616">
        <v>155</v>
      </c>
      <c r="Q2616" t="s">
        <v>5565</v>
      </c>
    </row>
    <row r="2617" spans="1:17" x14ac:dyDescent="0.3">
      <c r="A2617" t="s">
        <v>4729</v>
      </c>
      <c r="B2617" t="str">
        <f>"000905"</f>
        <v>000905</v>
      </c>
      <c r="C2617" t="s">
        <v>5566</v>
      </c>
      <c r="D2617" t="s">
        <v>51</v>
      </c>
      <c r="F2617">
        <v>6997910</v>
      </c>
      <c r="G2617">
        <v>2420620</v>
      </c>
      <c r="P2617">
        <v>213</v>
      </c>
      <c r="Q2617" t="s">
        <v>5567</v>
      </c>
    </row>
    <row r="2618" spans="1:17" x14ac:dyDescent="0.3">
      <c r="A2618" t="s">
        <v>4729</v>
      </c>
      <c r="B2618" t="str">
        <f>"000906"</f>
        <v>000906</v>
      </c>
      <c r="C2618" t="s">
        <v>5568</v>
      </c>
      <c r="D2618" t="s">
        <v>128</v>
      </c>
      <c r="F2618">
        <v>923686</v>
      </c>
      <c r="G2618">
        <v>16033</v>
      </c>
      <c r="H2618">
        <v>3568256</v>
      </c>
      <c r="I2618">
        <v>3802650</v>
      </c>
      <c r="P2618">
        <v>238</v>
      </c>
      <c r="Q2618" t="s">
        <v>5569</v>
      </c>
    </row>
    <row r="2619" spans="1:17" x14ac:dyDescent="0.3">
      <c r="A2619" t="s">
        <v>4729</v>
      </c>
      <c r="B2619" t="str">
        <f>"000908"</f>
        <v>000908</v>
      </c>
      <c r="C2619" t="s">
        <v>5570</v>
      </c>
      <c r="D2619" t="s">
        <v>143</v>
      </c>
      <c r="F2619">
        <v>38631822</v>
      </c>
      <c r="G2619">
        <v>252878598</v>
      </c>
      <c r="H2619">
        <v>191299762</v>
      </c>
      <c r="I2619">
        <v>156357044</v>
      </c>
      <c r="P2619">
        <v>186</v>
      </c>
      <c r="Q2619" t="s">
        <v>5571</v>
      </c>
    </row>
    <row r="2620" spans="1:17" x14ac:dyDescent="0.3">
      <c r="A2620" t="s">
        <v>4729</v>
      </c>
      <c r="B2620" t="str">
        <f>"000909"</f>
        <v>000909</v>
      </c>
      <c r="C2620" t="s">
        <v>5572</v>
      </c>
      <c r="D2620" t="s">
        <v>104</v>
      </c>
      <c r="F2620">
        <v>26056751</v>
      </c>
      <c r="G2620">
        <v>34573978</v>
      </c>
      <c r="H2620">
        <v>33080473</v>
      </c>
      <c r="I2620">
        <v>34983814</v>
      </c>
      <c r="P2620">
        <v>206</v>
      </c>
      <c r="Q2620" t="s">
        <v>5573</v>
      </c>
    </row>
    <row r="2621" spans="1:17" x14ac:dyDescent="0.3">
      <c r="A2621" t="s">
        <v>4729</v>
      </c>
      <c r="B2621" t="str">
        <f>"000910"</f>
        <v>000910</v>
      </c>
      <c r="C2621" t="s">
        <v>5574</v>
      </c>
      <c r="D2621" t="s">
        <v>178</v>
      </c>
      <c r="F2621">
        <v>155977854</v>
      </c>
      <c r="G2621">
        <v>136369816</v>
      </c>
      <c r="H2621">
        <v>151720407</v>
      </c>
      <c r="I2621">
        <v>148749544</v>
      </c>
      <c r="P2621">
        <v>813</v>
      </c>
      <c r="Q2621" t="s">
        <v>5575</v>
      </c>
    </row>
    <row r="2622" spans="1:17" x14ac:dyDescent="0.3">
      <c r="A2622" t="s">
        <v>4729</v>
      </c>
      <c r="B2622" t="str">
        <f>"000911"</f>
        <v>000911</v>
      </c>
      <c r="C2622" t="s">
        <v>5576</v>
      </c>
      <c r="D2622" t="s">
        <v>445</v>
      </c>
      <c r="F2622">
        <v>13567324</v>
      </c>
      <c r="G2622">
        <v>1113183</v>
      </c>
      <c r="H2622">
        <v>5011980</v>
      </c>
      <c r="I2622">
        <v>6132191</v>
      </c>
      <c r="P2622">
        <v>334</v>
      </c>
      <c r="Q2622" t="s">
        <v>5577</v>
      </c>
    </row>
    <row r="2623" spans="1:17" x14ac:dyDescent="0.3">
      <c r="A2623" t="s">
        <v>4729</v>
      </c>
      <c r="B2623" t="str">
        <f>"000912"</f>
        <v>000912</v>
      </c>
      <c r="C2623" t="s">
        <v>5578</v>
      </c>
      <c r="D2623" t="s">
        <v>909</v>
      </c>
      <c r="F2623">
        <v>37338371</v>
      </c>
      <c r="G2623">
        <v>27149802</v>
      </c>
      <c r="H2623">
        <v>2811947</v>
      </c>
      <c r="I2623">
        <v>5318349</v>
      </c>
      <c r="P2623">
        <v>109</v>
      </c>
      <c r="Q2623" t="s">
        <v>5579</v>
      </c>
    </row>
    <row r="2624" spans="1:17" x14ac:dyDescent="0.3">
      <c r="A2624" t="s">
        <v>4729</v>
      </c>
      <c r="B2624" t="str">
        <f>"000913"</f>
        <v>000913</v>
      </c>
      <c r="C2624" t="s">
        <v>5580</v>
      </c>
      <c r="D2624" t="s">
        <v>1656</v>
      </c>
      <c r="F2624">
        <v>215906600</v>
      </c>
      <c r="G2624">
        <v>165789639</v>
      </c>
      <c r="H2624">
        <v>154270574</v>
      </c>
      <c r="I2624">
        <v>119555275</v>
      </c>
      <c r="P2624">
        <v>176</v>
      </c>
      <c r="Q2624" t="s">
        <v>5581</v>
      </c>
    </row>
    <row r="2625" spans="1:17" x14ac:dyDescent="0.3">
      <c r="A2625" t="s">
        <v>4729</v>
      </c>
      <c r="B2625" t="str">
        <f>"000915"</f>
        <v>000915</v>
      </c>
      <c r="C2625" t="s">
        <v>5582</v>
      </c>
      <c r="D2625" t="s">
        <v>143</v>
      </c>
      <c r="F2625">
        <v>80447834</v>
      </c>
      <c r="G2625">
        <v>95886989</v>
      </c>
      <c r="H2625">
        <v>65080880</v>
      </c>
      <c r="I2625">
        <v>42737273</v>
      </c>
      <c r="P2625">
        <v>648</v>
      </c>
      <c r="Q2625" t="s">
        <v>5583</v>
      </c>
    </row>
    <row r="2626" spans="1:17" x14ac:dyDescent="0.3">
      <c r="A2626" t="s">
        <v>4729</v>
      </c>
      <c r="B2626" t="str">
        <f>"000916"</f>
        <v>000916</v>
      </c>
      <c r="C2626" t="s">
        <v>5584</v>
      </c>
      <c r="P2626">
        <v>27</v>
      </c>
      <c r="Q2626" t="s">
        <v>5585</v>
      </c>
    </row>
    <row r="2627" spans="1:17" x14ac:dyDescent="0.3">
      <c r="A2627" t="s">
        <v>4729</v>
      </c>
      <c r="B2627" t="str">
        <f>"000917"</f>
        <v>000917</v>
      </c>
      <c r="C2627" t="s">
        <v>5586</v>
      </c>
      <c r="D2627" t="s">
        <v>95</v>
      </c>
      <c r="F2627">
        <v>90760193</v>
      </c>
      <c r="G2627">
        <v>84872547</v>
      </c>
      <c r="H2627">
        <v>75871783</v>
      </c>
      <c r="I2627">
        <v>71904313</v>
      </c>
      <c r="P2627">
        <v>266</v>
      </c>
      <c r="Q2627" t="s">
        <v>5587</v>
      </c>
    </row>
    <row r="2628" spans="1:17" x14ac:dyDescent="0.3">
      <c r="A2628" t="s">
        <v>4729</v>
      </c>
      <c r="B2628" t="str">
        <f>"000918"</f>
        <v>000918</v>
      </c>
      <c r="C2628" t="s">
        <v>5588</v>
      </c>
      <c r="D2628" t="s">
        <v>104</v>
      </c>
      <c r="F2628">
        <v>0</v>
      </c>
      <c r="G2628">
        <v>0</v>
      </c>
      <c r="P2628">
        <v>123</v>
      </c>
      <c r="Q2628" t="s">
        <v>5589</v>
      </c>
    </row>
    <row r="2629" spans="1:17" x14ac:dyDescent="0.3">
      <c r="A2629" t="s">
        <v>4729</v>
      </c>
      <c r="B2629" t="str">
        <f>"000919"</f>
        <v>000919</v>
      </c>
      <c r="C2629" t="s">
        <v>5590</v>
      </c>
      <c r="D2629" t="s">
        <v>188</v>
      </c>
      <c r="F2629">
        <v>57014669</v>
      </c>
      <c r="G2629">
        <v>43709428</v>
      </c>
      <c r="H2629">
        <v>43915066</v>
      </c>
      <c r="I2629">
        <v>34122357</v>
      </c>
      <c r="P2629">
        <v>179</v>
      </c>
      <c r="Q2629" t="s">
        <v>5591</v>
      </c>
    </row>
    <row r="2630" spans="1:17" x14ac:dyDescent="0.3">
      <c r="A2630" t="s">
        <v>4729</v>
      </c>
      <c r="B2630" t="str">
        <f>"000920"</f>
        <v>000920</v>
      </c>
      <c r="C2630" t="s">
        <v>5592</v>
      </c>
      <c r="D2630" t="s">
        <v>33</v>
      </c>
      <c r="F2630">
        <v>85790774</v>
      </c>
      <c r="G2630">
        <v>74015372</v>
      </c>
      <c r="H2630">
        <v>63228206</v>
      </c>
      <c r="I2630">
        <v>66449481</v>
      </c>
      <c r="P2630">
        <v>122</v>
      </c>
      <c r="Q2630" t="s">
        <v>5593</v>
      </c>
    </row>
    <row r="2631" spans="1:17" x14ac:dyDescent="0.3">
      <c r="A2631" t="s">
        <v>4729</v>
      </c>
      <c r="B2631" t="str">
        <f>"000921"</f>
        <v>000921</v>
      </c>
      <c r="C2631" t="s">
        <v>5594</v>
      </c>
      <c r="D2631" t="s">
        <v>1727</v>
      </c>
      <c r="F2631">
        <v>1986668028</v>
      </c>
      <c r="G2631">
        <v>1284848949</v>
      </c>
      <c r="H2631">
        <v>934412243</v>
      </c>
      <c r="I2631">
        <v>686772325</v>
      </c>
      <c r="P2631">
        <v>13182</v>
      </c>
      <c r="Q2631" t="s">
        <v>5595</v>
      </c>
    </row>
    <row r="2632" spans="1:17" x14ac:dyDescent="0.3">
      <c r="A2632" t="s">
        <v>4729</v>
      </c>
      <c r="B2632" t="str">
        <f>"000922"</f>
        <v>000922</v>
      </c>
      <c r="C2632" t="s">
        <v>5596</v>
      </c>
      <c r="D2632" t="s">
        <v>1171</v>
      </c>
      <c r="F2632">
        <v>27226717</v>
      </c>
      <c r="G2632">
        <v>27680325</v>
      </c>
      <c r="H2632">
        <v>22842494</v>
      </c>
      <c r="I2632">
        <v>6933713</v>
      </c>
      <c r="P2632">
        <v>261</v>
      </c>
      <c r="Q2632" t="s">
        <v>5597</v>
      </c>
    </row>
    <row r="2633" spans="1:17" x14ac:dyDescent="0.3">
      <c r="A2633" t="s">
        <v>4729</v>
      </c>
      <c r="B2633" t="str">
        <f>"000923"</f>
        <v>000923</v>
      </c>
      <c r="C2633" t="s">
        <v>5598</v>
      </c>
      <c r="D2633" t="s">
        <v>2376</v>
      </c>
      <c r="F2633">
        <v>0</v>
      </c>
      <c r="G2633">
        <v>0</v>
      </c>
      <c r="H2633">
        <v>15663991</v>
      </c>
      <c r="I2633">
        <v>14644329</v>
      </c>
      <c r="P2633">
        <v>226</v>
      </c>
      <c r="Q2633" t="s">
        <v>5599</v>
      </c>
    </row>
    <row r="2634" spans="1:17" x14ac:dyDescent="0.3">
      <c r="A2634" t="s">
        <v>4729</v>
      </c>
      <c r="B2634" t="str">
        <f>"000925"</f>
        <v>000925</v>
      </c>
      <c r="C2634" t="s">
        <v>5600</v>
      </c>
      <c r="D2634" t="s">
        <v>1012</v>
      </c>
      <c r="F2634">
        <v>235994193</v>
      </c>
      <c r="G2634">
        <v>246586060</v>
      </c>
      <c r="H2634">
        <v>190920293</v>
      </c>
      <c r="I2634">
        <v>149542988</v>
      </c>
      <c r="P2634">
        <v>188</v>
      </c>
      <c r="Q2634" t="s">
        <v>5601</v>
      </c>
    </row>
    <row r="2635" spans="1:17" x14ac:dyDescent="0.3">
      <c r="A2635" t="s">
        <v>4729</v>
      </c>
      <c r="B2635" t="str">
        <f>"000926"</f>
        <v>000926</v>
      </c>
      <c r="C2635" t="s">
        <v>5602</v>
      </c>
      <c r="D2635" t="s">
        <v>104</v>
      </c>
      <c r="F2635">
        <v>52064931</v>
      </c>
      <c r="G2635">
        <v>38483413</v>
      </c>
      <c r="H2635">
        <v>48218102</v>
      </c>
      <c r="I2635">
        <v>8989126</v>
      </c>
      <c r="P2635">
        <v>239</v>
      </c>
      <c r="Q2635" t="s">
        <v>5603</v>
      </c>
    </row>
    <row r="2636" spans="1:17" x14ac:dyDescent="0.3">
      <c r="A2636" t="s">
        <v>4729</v>
      </c>
      <c r="B2636" t="str">
        <f>"000927"</f>
        <v>000927</v>
      </c>
      <c r="C2636" t="s">
        <v>5604</v>
      </c>
      <c r="D2636" t="s">
        <v>247</v>
      </c>
      <c r="F2636">
        <v>23938913</v>
      </c>
      <c r="G2636">
        <v>16272510</v>
      </c>
      <c r="H2636">
        <v>1165904</v>
      </c>
      <c r="I2636">
        <v>27825551</v>
      </c>
      <c r="P2636">
        <v>131</v>
      </c>
      <c r="Q2636" t="s">
        <v>5605</v>
      </c>
    </row>
    <row r="2637" spans="1:17" x14ac:dyDescent="0.3">
      <c r="A2637" t="s">
        <v>4729</v>
      </c>
      <c r="B2637" t="str">
        <f>"000928"</f>
        <v>000928</v>
      </c>
      <c r="C2637" t="s">
        <v>5606</v>
      </c>
      <c r="D2637" t="s">
        <v>1893</v>
      </c>
      <c r="F2637">
        <v>273945411</v>
      </c>
      <c r="G2637">
        <v>225596596</v>
      </c>
      <c r="H2637">
        <v>55168708</v>
      </c>
      <c r="I2637">
        <v>27658752</v>
      </c>
      <c r="P2637">
        <v>271</v>
      </c>
      <c r="Q2637" t="s">
        <v>5607</v>
      </c>
    </row>
    <row r="2638" spans="1:17" x14ac:dyDescent="0.3">
      <c r="A2638" t="s">
        <v>4729</v>
      </c>
      <c r="B2638" t="str">
        <f>"000929"</f>
        <v>000929</v>
      </c>
      <c r="C2638" t="s">
        <v>5608</v>
      </c>
      <c r="D2638" t="s">
        <v>319</v>
      </c>
      <c r="F2638">
        <v>2247367</v>
      </c>
      <c r="G2638">
        <v>2229795</v>
      </c>
      <c r="H2638">
        <v>2948638</v>
      </c>
      <c r="I2638">
        <v>2556794</v>
      </c>
      <c r="P2638">
        <v>144</v>
      </c>
      <c r="Q2638" t="s">
        <v>5609</v>
      </c>
    </row>
    <row r="2639" spans="1:17" x14ac:dyDescent="0.3">
      <c r="A2639" t="s">
        <v>4729</v>
      </c>
      <c r="B2639" t="str">
        <f>"000930"</f>
        <v>000930</v>
      </c>
      <c r="C2639" t="s">
        <v>5610</v>
      </c>
      <c r="D2639" t="s">
        <v>445</v>
      </c>
      <c r="F2639">
        <v>119277454</v>
      </c>
      <c r="G2639">
        <v>113672793</v>
      </c>
      <c r="H2639">
        <v>87151320</v>
      </c>
      <c r="I2639">
        <v>96266959</v>
      </c>
      <c r="P2639">
        <v>378</v>
      </c>
      <c r="Q2639" t="s">
        <v>5611</v>
      </c>
    </row>
    <row r="2640" spans="1:17" x14ac:dyDescent="0.3">
      <c r="A2640" t="s">
        <v>4729</v>
      </c>
      <c r="B2640" t="str">
        <f>"000931"</f>
        <v>000931</v>
      </c>
      <c r="C2640" t="s">
        <v>5612</v>
      </c>
      <c r="D2640" t="s">
        <v>143</v>
      </c>
      <c r="F2640">
        <v>118713591</v>
      </c>
      <c r="G2640">
        <v>59243559</v>
      </c>
      <c r="H2640">
        <v>65510758</v>
      </c>
      <c r="I2640">
        <v>28018883</v>
      </c>
      <c r="P2640">
        <v>142</v>
      </c>
      <c r="Q2640" t="s">
        <v>5613</v>
      </c>
    </row>
    <row r="2641" spans="1:17" x14ac:dyDescent="0.3">
      <c r="A2641" t="s">
        <v>4729</v>
      </c>
      <c r="B2641" t="str">
        <f>"000932"</f>
        <v>000932</v>
      </c>
      <c r="C2641" t="s">
        <v>5614</v>
      </c>
      <c r="D2641" t="s">
        <v>38</v>
      </c>
      <c r="F2641">
        <v>6077899947</v>
      </c>
      <c r="G2641">
        <v>4332936714</v>
      </c>
      <c r="H2641">
        <v>1137553060</v>
      </c>
      <c r="I2641">
        <v>478522300</v>
      </c>
      <c r="P2641">
        <v>1039</v>
      </c>
      <c r="Q2641" t="s">
        <v>5615</v>
      </c>
    </row>
    <row r="2642" spans="1:17" x14ac:dyDescent="0.3">
      <c r="A2642" t="s">
        <v>4729</v>
      </c>
      <c r="B2642" t="str">
        <f>"000933"</f>
        <v>000933</v>
      </c>
      <c r="C2642" t="s">
        <v>5616</v>
      </c>
      <c r="D2642" t="s">
        <v>504</v>
      </c>
      <c r="F2642">
        <v>145401761</v>
      </c>
      <c r="G2642">
        <v>135088654</v>
      </c>
      <c r="H2642">
        <v>53296930</v>
      </c>
      <c r="I2642">
        <v>61825291</v>
      </c>
      <c r="P2642">
        <v>461</v>
      </c>
      <c r="Q2642" t="s">
        <v>5617</v>
      </c>
    </row>
    <row r="2643" spans="1:17" x14ac:dyDescent="0.3">
      <c r="A2643" t="s">
        <v>4729</v>
      </c>
      <c r="B2643" t="str">
        <f>"000935"</f>
        <v>000935</v>
      </c>
      <c r="C2643" t="s">
        <v>5618</v>
      </c>
      <c r="D2643" t="s">
        <v>731</v>
      </c>
      <c r="F2643">
        <v>33755499</v>
      </c>
      <c r="G2643">
        <v>9232412</v>
      </c>
      <c r="H2643">
        <v>5355297</v>
      </c>
      <c r="P2643">
        <v>230</v>
      </c>
      <c r="Q2643" t="s">
        <v>5619</v>
      </c>
    </row>
    <row r="2644" spans="1:17" x14ac:dyDescent="0.3">
      <c r="A2644" t="s">
        <v>4729</v>
      </c>
      <c r="B2644" t="str">
        <f>"000936"</f>
        <v>000936</v>
      </c>
      <c r="C2644" t="s">
        <v>5620</v>
      </c>
      <c r="D2644" t="s">
        <v>2731</v>
      </c>
      <c r="F2644">
        <v>9982757</v>
      </c>
      <c r="G2644">
        <v>2091368</v>
      </c>
      <c r="H2644">
        <v>2488253</v>
      </c>
      <c r="I2644">
        <v>1860000</v>
      </c>
      <c r="P2644">
        <v>226</v>
      </c>
      <c r="Q2644" t="s">
        <v>5621</v>
      </c>
    </row>
    <row r="2645" spans="1:17" x14ac:dyDescent="0.3">
      <c r="A2645" t="s">
        <v>4729</v>
      </c>
      <c r="B2645" t="str">
        <f>"000937"</f>
        <v>000937</v>
      </c>
      <c r="C2645" t="s">
        <v>5622</v>
      </c>
      <c r="D2645" t="s">
        <v>298</v>
      </c>
      <c r="F2645">
        <v>325310145</v>
      </c>
      <c r="G2645">
        <v>243119171</v>
      </c>
      <c r="H2645">
        <v>175315076</v>
      </c>
      <c r="I2645">
        <v>127793691</v>
      </c>
      <c r="P2645">
        <v>350</v>
      </c>
      <c r="Q2645" t="s">
        <v>5623</v>
      </c>
    </row>
    <row r="2646" spans="1:17" x14ac:dyDescent="0.3">
      <c r="A2646" t="s">
        <v>4729</v>
      </c>
      <c r="B2646" t="str">
        <f>"000938"</f>
        <v>000938</v>
      </c>
      <c r="C2646" t="s">
        <v>5624</v>
      </c>
      <c r="D2646" t="s">
        <v>316</v>
      </c>
      <c r="F2646">
        <v>4337730796</v>
      </c>
      <c r="G2646">
        <v>3830837459</v>
      </c>
      <c r="H2646">
        <v>3941072324</v>
      </c>
      <c r="I2646">
        <v>3322664182</v>
      </c>
      <c r="P2646">
        <v>3894</v>
      </c>
      <c r="Q2646" t="s">
        <v>5625</v>
      </c>
    </row>
    <row r="2647" spans="1:17" x14ac:dyDescent="0.3">
      <c r="A2647" t="s">
        <v>4729</v>
      </c>
      <c r="B2647" t="str">
        <f>"000939"</f>
        <v>000939</v>
      </c>
      <c r="C2647" t="s">
        <v>5626</v>
      </c>
      <c r="H2647">
        <v>0</v>
      </c>
      <c r="I2647">
        <v>0</v>
      </c>
      <c r="P2647">
        <v>61</v>
      </c>
      <c r="Q2647" t="s">
        <v>5627</v>
      </c>
    </row>
    <row r="2648" spans="1:17" x14ac:dyDescent="0.3">
      <c r="A2648" t="s">
        <v>4729</v>
      </c>
      <c r="B2648" t="str">
        <f>"000948"</f>
        <v>000948</v>
      </c>
      <c r="C2648" t="s">
        <v>5628</v>
      </c>
      <c r="D2648" t="s">
        <v>945</v>
      </c>
      <c r="F2648">
        <v>346710140</v>
      </c>
      <c r="G2648">
        <v>308839362</v>
      </c>
      <c r="H2648">
        <v>301681131</v>
      </c>
      <c r="I2648">
        <v>266655602</v>
      </c>
      <c r="P2648">
        <v>213</v>
      </c>
      <c r="Q2648" t="s">
        <v>5629</v>
      </c>
    </row>
    <row r="2649" spans="1:17" x14ac:dyDescent="0.3">
      <c r="A2649" t="s">
        <v>4729</v>
      </c>
      <c r="B2649" t="str">
        <f>"000949"</f>
        <v>000949</v>
      </c>
      <c r="C2649" t="s">
        <v>5630</v>
      </c>
      <c r="D2649" t="s">
        <v>5631</v>
      </c>
      <c r="F2649">
        <v>128177371</v>
      </c>
      <c r="G2649">
        <v>96654542</v>
      </c>
      <c r="H2649">
        <v>12255274</v>
      </c>
      <c r="I2649">
        <v>11646960</v>
      </c>
      <c r="P2649">
        <v>157</v>
      </c>
      <c r="Q2649" t="s">
        <v>5632</v>
      </c>
    </row>
    <row r="2650" spans="1:17" x14ac:dyDescent="0.3">
      <c r="A2650" t="s">
        <v>4729</v>
      </c>
      <c r="B2650" t="str">
        <f>"000950"</f>
        <v>000950</v>
      </c>
      <c r="C2650" t="s">
        <v>5633</v>
      </c>
      <c r="D2650" t="s">
        <v>125</v>
      </c>
      <c r="F2650">
        <v>10043426</v>
      </c>
      <c r="G2650">
        <v>2672758</v>
      </c>
      <c r="H2650">
        <v>2850173</v>
      </c>
      <c r="I2650">
        <v>243394</v>
      </c>
      <c r="P2650">
        <v>145</v>
      </c>
      <c r="Q2650" t="s">
        <v>5634</v>
      </c>
    </row>
    <row r="2651" spans="1:17" x14ac:dyDescent="0.3">
      <c r="A2651" t="s">
        <v>4729</v>
      </c>
      <c r="B2651" t="str">
        <f>"000951"</f>
        <v>000951</v>
      </c>
      <c r="C2651" t="s">
        <v>5635</v>
      </c>
      <c r="D2651" t="s">
        <v>27</v>
      </c>
      <c r="F2651">
        <v>602459658</v>
      </c>
      <c r="G2651">
        <v>466926511</v>
      </c>
      <c r="H2651">
        <v>231317380</v>
      </c>
      <c r="I2651">
        <v>189495192</v>
      </c>
      <c r="P2651">
        <v>856</v>
      </c>
      <c r="Q2651" t="s">
        <v>5636</v>
      </c>
    </row>
    <row r="2652" spans="1:17" x14ac:dyDescent="0.3">
      <c r="A2652" t="s">
        <v>4729</v>
      </c>
      <c r="B2652" t="str">
        <f>"000952"</f>
        <v>000952</v>
      </c>
      <c r="C2652" t="s">
        <v>5637</v>
      </c>
      <c r="D2652" t="s">
        <v>496</v>
      </c>
      <c r="F2652">
        <v>52061981</v>
      </c>
      <c r="G2652">
        <v>38771213</v>
      </c>
      <c r="H2652">
        <v>53774098</v>
      </c>
      <c r="I2652">
        <v>64684329</v>
      </c>
      <c r="P2652">
        <v>169</v>
      </c>
      <c r="Q2652" t="s">
        <v>5638</v>
      </c>
    </row>
    <row r="2653" spans="1:17" x14ac:dyDescent="0.3">
      <c r="A2653" t="s">
        <v>4729</v>
      </c>
      <c r="B2653" t="str">
        <f>"000953"</f>
        <v>000953</v>
      </c>
      <c r="C2653" t="s">
        <v>5639</v>
      </c>
      <c r="D2653" t="s">
        <v>909</v>
      </c>
      <c r="F2653">
        <v>7703279</v>
      </c>
      <c r="G2653">
        <v>8487368</v>
      </c>
      <c r="P2653">
        <v>90</v>
      </c>
      <c r="Q2653" t="s">
        <v>5640</v>
      </c>
    </row>
    <row r="2654" spans="1:17" x14ac:dyDescent="0.3">
      <c r="A2654" t="s">
        <v>4729</v>
      </c>
      <c r="B2654" t="str">
        <f>"000955"</f>
        <v>000955</v>
      </c>
      <c r="C2654" t="s">
        <v>5641</v>
      </c>
      <c r="D2654" t="s">
        <v>366</v>
      </c>
      <c r="F2654">
        <v>21008856</v>
      </c>
      <c r="G2654">
        <v>27656085</v>
      </c>
      <c r="H2654">
        <v>14074907</v>
      </c>
      <c r="I2654">
        <v>11780156</v>
      </c>
      <c r="P2654">
        <v>241</v>
      </c>
      <c r="Q2654" t="s">
        <v>5642</v>
      </c>
    </row>
    <row r="2655" spans="1:17" x14ac:dyDescent="0.3">
      <c r="A2655" t="s">
        <v>4729</v>
      </c>
      <c r="B2655" t="str">
        <f>"000957"</f>
        <v>000957</v>
      </c>
      <c r="C2655" t="s">
        <v>5643</v>
      </c>
      <c r="D2655" t="s">
        <v>153</v>
      </c>
      <c r="F2655">
        <v>235040828</v>
      </c>
      <c r="G2655">
        <v>229817778</v>
      </c>
      <c r="H2655">
        <v>252145663</v>
      </c>
      <c r="I2655">
        <v>200033170</v>
      </c>
      <c r="P2655">
        <v>227</v>
      </c>
      <c r="Q2655" t="s">
        <v>5644</v>
      </c>
    </row>
    <row r="2656" spans="1:17" x14ac:dyDescent="0.3">
      <c r="A2656" t="s">
        <v>4729</v>
      </c>
      <c r="B2656" t="str">
        <f>"000958"</f>
        <v>000958</v>
      </c>
      <c r="C2656" t="s">
        <v>5645</v>
      </c>
      <c r="D2656" t="s">
        <v>41</v>
      </c>
      <c r="F2656">
        <v>8365404</v>
      </c>
      <c r="G2656">
        <v>3165891</v>
      </c>
      <c r="H2656">
        <v>4450333</v>
      </c>
      <c r="P2656">
        <v>162</v>
      </c>
      <c r="Q2656" t="s">
        <v>5646</v>
      </c>
    </row>
    <row r="2657" spans="1:17" x14ac:dyDescent="0.3">
      <c r="A2657" t="s">
        <v>4729</v>
      </c>
      <c r="B2657" t="str">
        <f>"000959"</f>
        <v>000959</v>
      </c>
      <c r="C2657" t="s">
        <v>5647</v>
      </c>
      <c r="D2657" t="s">
        <v>38</v>
      </c>
      <c r="F2657">
        <v>652926386</v>
      </c>
      <c r="G2657">
        <v>480487074</v>
      </c>
      <c r="H2657">
        <v>385796835</v>
      </c>
      <c r="I2657">
        <v>394763810</v>
      </c>
      <c r="P2657">
        <v>254</v>
      </c>
      <c r="Q2657" t="s">
        <v>5648</v>
      </c>
    </row>
    <row r="2658" spans="1:17" x14ac:dyDescent="0.3">
      <c r="A2658" t="s">
        <v>4729</v>
      </c>
      <c r="B2658" t="str">
        <f>"000960"</f>
        <v>000960</v>
      </c>
      <c r="C2658" t="s">
        <v>5649</v>
      </c>
      <c r="D2658" t="s">
        <v>636</v>
      </c>
      <c r="F2658">
        <v>204285169</v>
      </c>
      <c r="G2658">
        <v>140211825</v>
      </c>
      <c r="H2658">
        <v>144527440</v>
      </c>
      <c r="I2658">
        <v>134917645</v>
      </c>
      <c r="P2658">
        <v>356</v>
      </c>
      <c r="Q2658" t="s">
        <v>5650</v>
      </c>
    </row>
    <row r="2659" spans="1:17" x14ac:dyDescent="0.3">
      <c r="A2659" t="s">
        <v>4729</v>
      </c>
      <c r="B2659" t="str">
        <f>"000961"</f>
        <v>000961</v>
      </c>
      <c r="C2659" t="s">
        <v>5651</v>
      </c>
      <c r="D2659" t="s">
        <v>104</v>
      </c>
      <c r="F2659">
        <v>60419259</v>
      </c>
      <c r="G2659">
        <v>60842723</v>
      </c>
      <c r="H2659">
        <v>1283731</v>
      </c>
      <c r="P2659">
        <v>898</v>
      </c>
      <c r="Q2659" t="s">
        <v>5652</v>
      </c>
    </row>
    <row r="2660" spans="1:17" x14ac:dyDescent="0.3">
      <c r="A2660" t="s">
        <v>4729</v>
      </c>
      <c r="B2660" t="str">
        <f>"000962"</f>
        <v>000962</v>
      </c>
      <c r="C2660" t="s">
        <v>5653</v>
      </c>
      <c r="D2660" t="s">
        <v>636</v>
      </c>
      <c r="F2660">
        <v>42238597</v>
      </c>
      <c r="G2660">
        <v>18780759</v>
      </c>
      <c r="H2660">
        <v>11563230</v>
      </c>
      <c r="I2660">
        <v>13271416</v>
      </c>
      <c r="P2660">
        <v>131</v>
      </c>
      <c r="Q2660" t="s">
        <v>5654</v>
      </c>
    </row>
    <row r="2661" spans="1:17" x14ac:dyDescent="0.3">
      <c r="A2661" t="s">
        <v>4729</v>
      </c>
      <c r="B2661" t="str">
        <f>"000963"</f>
        <v>000963</v>
      </c>
      <c r="C2661" t="s">
        <v>5655</v>
      </c>
      <c r="D2661" t="s">
        <v>143</v>
      </c>
      <c r="F2661">
        <v>979644018</v>
      </c>
      <c r="G2661">
        <v>926725469</v>
      </c>
      <c r="H2661">
        <v>1072937182</v>
      </c>
      <c r="I2661">
        <v>706041257</v>
      </c>
      <c r="P2661">
        <v>59262</v>
      </c>
      <c r="Q2661" t="s">
        <v>5656</v>
      </c>
    </row>
    <row r="2662" spans="1:17" x14ac:dyDescent="0.3">
      <c r="A2662" t="s">
        <v>4729</v>
      </c>
      <c r="B2662" t="str">
        <f>"000965"</f>
        <v>000965</v>
      </c>
      <c r="C2662" t="s">
        <v>5657</v>
      </c>
      <c r="D2662" t="s">
        <v>104</v>
      </c>
      <c r="F2662">
        <v>0</v>
      </c>
      <c r="G2662">
        <v>0</v>
      </c>
      <c r="P2662">
        <v>116</v>
      </c>
      <c r="Q2662" t="s">
        <v>5658</v>
      </c>
    </row>
    <row r="2663" spans="1:17" x14ac:dyDescent="0.3">
      <c r="A2663" t="s">
        <v>4729</v>
      </c>
      <c r="B2663" t="str">
        <f>"000966"</f>
        <v>000966</v>
      </c>
      <c r="C2663" t="s">
        <v>5659</v>
      </c>
      <c r="D2663" t="s">
        <v>41</v>
      </c>
      <c r="F2663">
        <v>10688923</v>
      </c>
      <c r="G2663">
        <v>5233771</v>
      </c>
      <c r="H2663">
        <v>1931122</v>
      </c>
      <c r="I2663">
        <v>1797135</v>
      </c>
      <c r="P2663">
        <v>398</v>
      </c>
      <c r="Q2663" t="s">
        <v>5660</v>
      </c>
    </row>
    <row r="2664" spans="1:17" x14ac:dyDescent="0.3">
      <c r="A2664" t="s">
        <v>4729</v>
      </c>
      <c r="B2664" t="str">
        <f>"000967"</f>
        <v>000967</v>
      </c>
      <c r="C2664" t="s">
        <v>5661</v>
      </c>
      <c r="D2664" t="s">
        <v>1070</v>
      </c>
      <c r="F2664">
        <v>262619127</v>
      </c>
      <c r="G2664">
        <v>254677332</v>
      </c>
      <c r="H2664">
        <v>245637610</v>
      </c>
      <c r="I2664">
        <v>255949827</v>
      </c>
      <c r="P2664">
        <v>329</v>
      </c>
      <c r="Q2664" t="s">
        <v>5662</v>
      </c>
    </row>
    <row r="2665" spans="1:17" x14ac:dyDescent="0.3">
      <c r="A2665" t="s">
        <v>4729</v>
      </c>
      <c r="B2665" t="str">
        <f>"000968"</f>
        <v>000968</v>
      </c>
      <c r="C2665" t="s">
        <v>5663</v>
      </c>
      <c r="D2665" t="s">
        <v>1541</v>
      </c>
      <c r="F2665">
        <v>82599256</v>
      </c>
      <c r="G2665">
        <v>61989744</v>
      </c>
      <c r="H2665">
        <v>50723925</v>
      </c>
      <c r="I2665">
        <v>57708033</v>
      </c>
      <c r="P2665">
        <v>246</v>
      </c>
      <c r="Q2665" t="s">
        <v>5664</v>
      </c>
    </row>
    <row r="2666" spans="1:17" x14ac:dyDescent="0.3">
      <c r="A2666" t="s">
        <v>4729</v>
      </c>
      <c r="B2666" t="str">
        <f>"000969"</f>
        <v>000969</v>
      </c>
      <c r="C2666" t="s">
        <v>5665</v>
      </c>
      <c r="D2666" t="s">
        <v>581</v>
      </c>
      <c r="F2666">
        <v>295844552</v>
      </c>
      <c r="G2666">
        <v>248991216</v>
      </c>
      <c r="H2666">
        <v>208039611</v>
      </c>
      <c r="I2666">
        <v>202151560</v>
      </c>
      <c r="P2666">
        <v>224</v>
      </c>
      <c r="Q2666" t="s">
        <v>5666</v>
      </c>
    </row>
    <row r="2667" spans="1:17" x14ac:dyDescent="0.3">
      <c r="A2667" t="s">
        <v>4729</v>
      </c>
      <c r="B2667" t="str">
        <f>"000970"</f>
        <v>000970</v>
      </c>
      <c r="C2667" t="s">
        <v>5667</v>
      </c>
      <c r="D2667" t="s">
        <v>808</v>
      </c>
      <c r="F2667">
        <v>115711119</v>
      </c>
      <c r="G2667">
        <v>82635544</v>
      </c>
      <c r="H2667">
        <v>76362366</v>
      </c>
      <c r="I2667">
        <v>55752496</v>
      </c>
      <c r="P2667">
        <v>365</v>
      </c>
      <c r="Q2667" t="s">
        <v>5668</v>
      </c>
    </row>
    <row r="2668" spans="1:17" x14ac:dyDescent="0.3">
      <c r="A2668" t="s">
        <v>4729</v>
      </c>
      <c r="B2668" t="str">
        <f>"000971"</f>
        <v>000971</v>
      </c>
      <c r="C2668" t="s">
        <v>5669</v>
      </c>
      <c r="D2668" t="s">
        <v>5670</v>
      </c>
      <c r="F2668">
        <v>49728069</v>
      </c>
      <c r="G2668">
        <v>38543475</v>
      </c>
      <c r="H2668">
        <v>29427836</v>
      </c>
      <c r="I2668">
        <v>25987388</v>
      </c>
      <c r="P2668">
        <v>74</v>
      </c>
      <c r="Q2668" t="s">
        <v>5671</v>
      </c>
    </row>
    <row r="2669" spans="1:17" x14ac:dyDescent="0.3">
      <c r="A2669" t="s">
        <v>4729</v>
      </c>
      <c r="B2669" t="str">
        <f>"000972"</f>
        <v>000972</v>
      </c>
      <c r="C2669" t="s">
        <v>5672</v>
      </c>
      <c r="D2669" t="s">
        <v>574</v>
      </c>
      <c r="F2669">
        <v>0</v>
      </c>
      <c r="G2669">
        <v>0</v>
      </c>
      <c r="P2669">
        <v>78</v>
      </c>
      <c r="Q2669" t="s">
        <v>5673</v>
      </c>
    </row>
    <row r="2670" spans="1:17" x14ac:dyDescent="0.3">
      <c r="A2670" t="s">
        <v>4729</v>
      </c>
      <c r="B2670" t="str">
        <f>"000973"</f>
        <v>000973</v>
      </c>
      <c r="C2670" t="s">
        <v>5674</v>
      </c>
      <c r="D2670" t="s">
        <v>324</v>
      </c>
      <c r="F2670">
        <v>121784276</v>
      </c>
      <c r="G2670">
        <v>101885104</v>
      </c>
      <c r="H2670">
        <v>88908183</v>
      </c>
      <c r="I2670">
        <v>84850090</v>
      </c>
      <c r="P2670">
        <v>123</v>
      </c>
      <c r="Q2670" t="s">
        <v>5675</v>
      </c>
    </row>
    <row r="2671" spans="1:17" x14ac:dyDescent="0.3">
      <c r="A2671" t="s">
        <v>4729</v>
      </c>
      <c r="B2671" t="str">
        <f>"000975"</f>
        <v>000975</v>
      </c>
      <c r="C2671" t="s">
        <v>5676</v>
      </c>
      <c r="D2671" t="s">
        <v>701</v>
      </c>
      <c r="F2671">
        <v>0</v>
      </c>
      <c r="G2671">
        <v>0</v>
      </c>
      <c r="P2671">
        <v>391</v>
      </c>
      <c r="Q2671" t="s">
        <v>5677</v>
      </c>
    </row>
    <row r="2672" spans="1:17" x14ac:dyDescent="0.3">
      <c r="A2672" t="s">
        <v>4729</v>
      </c>
      <c r="B2672" t="str">
        <f>"000976"</f>
        <v>000976</v>
      </c>
      <c r="C2672" t="s">
        <v>5678</v>
      </c>
      <c r="D2672" t="s">
        <v>1012</v>
      </c>
      <c r="F2672">
        <v>45642150</v>
      </c>
      <c r="G2672">
        <v>51124795</v>
      </c>
      <c r="H2672">
        <v>47802848</v>
      </c>
      <c r="I2672">
        <v>46889579</v>
      </c>
      <c r="P2672">
        <v>145</v>
      </c>
      <c r="Q2672" t="s">
        <v>5679</v>
      </c>
    </row>
    <row r="2673" spans="1:17" x14ac:dyDescent="0.3">
      <c r="A2673" t="s">
        <v>4729</v>
      </c>
      <c r="B2673" t="str">
        <f>"000977"</f>
        <v>000977</v>
      </c>
      <c r="C2673" t="s">
        <v>5680</v>
      </c>
      <c r="D2673" t="s">
        <v>236</v>
      </c>
      <c r="F2673">
        <v>2921294814</v>
      </c>
      <c r="G2673">
        <v>2635456132</v>
      </c>
      <c r="H2673">
        <v>2347722543</v>
      </c>
      <c r="I2673">
        <v>1746667122</v>
      </c>
      <c r="P2673">
        <v>4425</v>
      </c>
      <c r="Q2673" t="s">
        <v>5681</v>
      </c>
    </row>
    <row r="2674" spans="1:17" x14ac:dyDescent="0.3">
      <c r="A2674" t="s">
        <v>4729</v>
      </c>
      <c r="B2674" t="str">
        <f>"000978"</f>
        <v>000978</v>
      </c>
      <c r="C2674" t="s">
        <v>5682</v>
      </c>
      <c r="D2674" t="s">
        <v>119</v>
      </c>
      <c r="F2674">
        <v>0</v>
      </c>
      <c r="G2674">
        <v>0</v>
      </c>
      <c r="P2674">
        <v>140</v>
      </c>
      <c r="Q2674" t="s">
        <v>5683</v>
      </c>
    </row>
    <row r="2675" spans="1:17" x14ac:dyDescent="0.3">
      <c r="A2675" t="s">
        <v>4729</v>
      </c>
      <c r="B2675" t="str">
        <f>"000979"</f>
        <v>000979</v>
      </c>
      <c r="C2675" t="s">
        <v>5684</v>
      </c>
      <c r="P2675">
        <v>30</v>
      </c>
      <c r="Q2675" t="s">
        <v>5685</v>
      </c>
    </row>
    <row r="2676" spans="1:17" x14ac:dyDescent="0.3">
      <c r="A2676" t="s">
        <v>4729</v>
      </c>
      <c r="B2676" t="str">
        <f>"000980"</f>
        <v>000980</v>
      </c>
      <c r="C2676" t="s">
        <v>5686</v>
      </c>
      <c r="D2676" t="s">
        <v>1415</v>
      </c>
      <c r="F2676">
        <v>20958256</v>
      </c>
      <c r="G2676">
        <v>200944301</v>
      </c>
      <c r="H2676">
        <v>876179334</v>
      </c>
      <c r="I2676">
        <v>577857299</v>
      </c>
      <c r="P2676">
        <v>161</v>
      </c>
      <c r="Q2676" t="s">
        <v>5687</v>
      </c>
    </row>
    <row r="2677" spans="1:17" x14ac:dyDescent="0.3">
      <c r="A2677" t="s">
        <v>4729</v>
      </c>
      <c r="B2677" t="str">
        <f>"000981"</f>
        <v>000981</v>
      </c>
      <c r="C2677" t="s">
        <v>5688</v>
      </c>
      <c r="D2677" t="s">
        <v>104</v>
      </c>
      <c r="F2677">
        <v>188971951</v>
      </c>
      <c r="G2677">
        <v>138802966</v>
      </c>
      <c r="H2677">
        <v>289450253</v>
      </c>
      <c r="I2677">
        <v>177926218</v>
      </c>
      <c r="P2677">
        <v>118</v>
      </c>
      <c r="Q2677" t="s">
        <v>5689</v>
      </c>
    </row>
    <row r="2678" spans="1:17" x14ac:dyDescent="0.3">
      <c r="A2678" t="s">
        <v>4729</v>
      </c>
      <c r="B2678" t="str">
        <f>"000982"</f>
        <v>000982</v>
      </c>
      <c r="C2678" t="s">
        <v>5690</v>
      </c>
      <c r="D2678" t="s">
        <v>366</v>
      </c>
      <c r="F2678">
        <v>772478</v>
      </c>
      <c r="G2678">
        <v>0</v>
      </c>
      <c r="P2678">
        <v>83</v>
      </c>
      <c r="Q2678" t="s">
        <v>5691</v>
      </c>
    </row>
    <row r="2679" spans="1:17" x14ac:dyDescent="0.3">
      <c r="A2679" t="s">
        <v>4729</v>
      </c>
      <c r="B2679" t="str">
        <f>"000983"</f>
        <v>000983</v>
      </c>
      <c r="C2679" t="s">
        <v>5692</v>
      </c>
      <c r="D2679" t="s">
        <v>298</v>
      </c>
      <c r="F2679">
        <v>608769303</v>
      </c>
      <c r="G2679">
        <v>382808626</v>
      </c>
      <c r="H2679">
        <v>295513002</v>
      </c>
      <c r="I2679">
        <v>255526645</v>
      </c>
      <c r="P2679">
        <v>688</v>
      </c>
      <c r="Q2679" t="s">
        <v>5693</v>
      </c>
    </row>
    <row r="2680" spans="1:17" x14ac:dyDescent="0.3">
      <c r="A2680" t="s">
        <v>4729</v>
      </c>
      <c r="B2680" t="str">
        <f>"000985"</f>
        <v>000985</v>
      </c>
      <c r="C2680" t="s">
        <v>5694</v>
      </c>
      <c r="D2680" t="s">
        <v>1617</v>
      </c>
      <c r="F2680">
        <v>7584466</v>
      </c>
      <c r="G2680">
        <v>8550467</v>
      </c>
      <c r="H2680">
        <v>9636444</v>
      </c>
      <c r="I2680">
        <v>9041585</v>
      </c>
      <c r="P2680">
        <v>82</v>
      </c>
      <c r="Q2680" t="s">
        <v>5695</v>
      </c>
    </row>
    <row r="2681" spans="1:17" x14ac:dyDescent="0.3">
      <c r="A2681" t="s">
        <v>4729</v>
      </c>
      <c r="B2681" t="str">
        <f>"000987"</f>
        <v>000987</v>
      </c>
      <c r="C2681" t="s">
        <v>5696</v>
      </c>
      <c r="D2681" t="s">
        <v>140</v>
      </c>
      <c r="F2681">
        <v>5047689</v>
      </c>
      <c r="G2681">
        <v>4354278</v>
      </c>
      <c r="P2681">
        <v>520</v>
      </c>
      <c r="Q2681" t="s">
        <v>5697</v>
      </c>
    </row>
    <row r="2682" spans="1:17" x14ac:dyDescent="0.3">
      <c r="A2682" t="s">
        <v>4729</v>
      </c>
      <c r="B2682" t="str">
        <f>"000988"</f>
        <v>000988</v>
      </c>
      <c r="C2682" t="s">
        <v>5698</v>
      </c>
      <c r="D2682" t="s">
        <v>3811</v>
      </c>
      <c r="F2682">
        <v>406573515</v>
      </c>
      <c r="G2682">
        <v>330635704</v>
      </c>
      <c r="H2682">
        <v>289044933</v>
      </c>
      <c r="I2682">
        <v>228531638</v>
      </c>
      <c r="J2682">
        <v>196177488</v>
      </c>
      <c r="P2682">
        <v>710</v>
      </c>
      <c r="Q2682" t="s">
        <v>5699</v>
      </c>
    </row>
    <row r="2683" spans="1:17" x14ac:dyDescent="0.3">
      <c r="A2683" t="s">
        <v>4729</v>
      </c>
      <c r="B2683" t="str">
        <f>"000989"</f>
        <v>000989</v>
      </c>
      <c r="C2683" t="s">
        <v>5700</v>
      </c>
      <c r="D2683" t="s">
        <v>188</v>
      </c>
      <c r="F2683">
        <v>117781782</v>
      </c>
      <c r="G2683">
        <v>113419203</v>
      </c>
      <c r="H2683">
        <v>101920324</v>
      </c>
      <c r="I2683">
        <v>85426493</v>
      </c>
      <c r="P2683">
        <v>370</v>
      </c>
      <c r="Q2683" t="s">
        <v>5701</v>
      </c>
    </row>
    <row r="2684" spans="1:17" x14ac:dyDescent="0.3">
      <c r="A2684" t="s">
        <v>4729</v>
      </c>
      <c r="B2684" t="str">
        <f>"000990"</f>
        <v>000990</v>
      </c>
      <c r="C2684" t="s">
        <v>5702</v>
      </c>
      <c r="D2684" t="s">
        <v>914</v>
      </c>
      <c r="F2684">
        <v>293073260</v>
      </c>
      <c r="G2684">
        <v>211702369</v>
      </c>
      <c r="H2684">
        <v>202255721</v>
      </c>
      <c r="I2684">
        <v>223162866</v>
      </c>
      <c r="P2684">
        <v>196</v>
      </c>
      <c r="Q2684" t="s">
        <v>5703</v>
      </c>
    </row>
    <row r="2685" spans="1:17" x14ac:dyDescent="0.3">
      <c r="A2685" t="s">
        <v>4729</v>
      </c>
      <c r="B2685" t="str">
        <f>"000993"</f>
        <v>000993</v>
      </c>
      <c r="C2685" t="s">
        <v>5704</v>
      </c>
      <c r="D2685" t="s">
        <v>66</v>
      </c>
      <c r="F2685">
        <v>0</v>
      </c>
      <c r="G2685">
        <v>0</v>
      </c>
      <c r="P2685">
        <v>163</v>
      </c>
      <c r="Q2685" t="s">
        <v>5705</v>
      </c>
    </row>
    <row r="2686" spans="1:17" x14ac:dyDescent="0.3">
      <c r="A2686" t="s">
        <v>4729</v>
      </c>
      <c r="B2686" t="str">
        <f>"000995"</f>
        <v>000995</v>
      </c>
      <c r="C2686" t="s">
        <v>5706</v>
      </c>
      <c r="D2686" t="s">
        <v>458</v>
      </c>
      <c r="F2686">
        <v>0</v>
      </c>
      <c r="G2686">
        <v>0</v>
      </c>
      <c r="P2686">
        <v>175</v>
      </c>
      <c r="Q2686" t="s">
        <v>5707</v>
      </c>
    </row>
    <row r="2687" spans="1:17" x14ac:dyDescent="0.3">
      <c r="A2687" t="s">
        <v>4729</v>
      </c>
      <c r="B2687" t="str">
        <f>"000996"</f>
        <v>000996</v>
      </c>
      <c r="C2687" t="s">
        <v>5708</v>
      </c>
      <c r="D2687" t="s">
        <v>672</v>
      </c>
      <c r="F2687">
        <v>0</v>
      </c>
      <c r="G2687">
        <v>0</v>
      </c>
      <c r="P2687">
        <v>70</v>
      </c>
      <c r="Q2687" t="s">
        <v>5709</v>
      </c>
    </row>
    <row r="2688" spans="1:17" x14ac:dyDescent="0.3">
      <c r="A2688" t="s">
        <v>4729</v>
      </c>
      <c r="B2688" t="str">
        <f>"000997"</f>
        <v>000997</v>
      </c>
      <c r="C2688" t="s">
        <v>5710</v>
      </c>
      <c r="D2688" t="s">
        <v>236</v>
      </c>
      <c r="F2688">
        <v>674348082</v>
      </c>
      <c r="G2688">
        <v>616652801</v>
      </c>
      <c r="H2688">
        <v>610573983</v>
      </c>
      <c r="I2688">
        <v>460266393</v>
      </c>
      <c r="P2688">
        <v>583</v>
      </c>
      <c r="Q2688" t="s">
        <v>5711</v>
      </c>
    </row>
    <row r="2689" spans="1:17" x14ac:dyDescent="0.3">
      <c r="A2689" t="s">
        <v>4729</v>
      </c>
      <c r="B2689" t="str">
        <f>"000998"</f>
        <v>000998</v>
      </c>
      <c r="C2689" t="s">
        <v>5712</v>
      </c>
      <c r="D2689" t="s">
        <v>706</v>
      </c>
      <c r="F2689">
        <v>208205821</v>
      </c>
      <c r="G2689">
        <v>193000615</v>
      </c>
      <c r="H2689">
        <v>162620553</v>
      </c>
      <c r="I2689">
        <v>93323138</v>
      </c>
      <c r="P2689">
        <v>649</v>
      </c>
      <c r="Q2689" t="s">
        <v>5713</v>
      </c>
    </row>
    <row r="2690" spans="1:17" x14ac:dyDescent="0.3">
      <c r="A2690" t="s">
        <v>4729</v>
      </c>
      <c r="B2690" t="str">
        <f>"000999"</f>
        <v>000999</v>
      </c>
      <c r="C2690" t="s">
        <v>5714</v>
      </c>
      <c r="D2690" t="s">
        <v>188</v>
      </c>
      <c r="F2690">
        <v>560201887</v>
      </c>
      <c r="G2690">
        <v>459843742</v>
      </c>
      <c r="H2690">
        <v>441875868</v>
      </c>
      <c r="I2690">
        <v>355844130</v>
      </c>
      <c r="P2690">
        <v>5771</v>
      </c>
      <c r="Q2690" t="s">
        <v>5715</v>
      </c>
    </row>
    <row r="2691" spans="1:17" x14ac:dyDescent="0.3">
      <c r="A2691" t="s">
        <v>4729</v>
      </c>
      <c r="B2691" t="str">
        <f>"001201"</f>
        <v>001201</v>
      </c>
      <c r="C2691" t="s">
        <v>5716</v>
      </c>
      <c r="D2691" t="s">
        <v>1900</v>
      </c>
      <c r="F2691">
        <v>10490599</v>
      </c>
      <c r="G2691">
        <v>6722354</v>
      </c>
      <c r="H2691">
        <v>5303240</v>
      </c>
      <c r="I2691">
        <v>3947327</v>
      </c>
      <c r="J2691">
        <v>4064555</v>
      </c>
      <c r="P2691">
        <v>61</v>
      </c>
      <c r="Q2691" t="s">
        <v>5717</v>
      </c>
    </row>
    <row r="2692" spans="1:17" x14ac:dyDescent="0.3">
      <c r="A2692" t="s">
        <v>4729</v>
      </c>
      <c r="B2692" t="str">
        <f>"001202"</f>
        <v>001202</v>
      </c>
      <c r="C2692" t="s">
        <v>5718</v>
      </c>
      <c r="D2692" t="s">
        <v>128</v>
      </c>
      <c r="F2692">
        <v>2076877</v>
      </c>
      <c r="G2692">
        <v>1499106</v>
      </c>
      <c r="H2692">
        <v>588250</v>
      </c>
      <c r="I2692">
        <v>605443</v>
      </c>
      <c r="J2692">
        <v>404484</v>
      </c>
      <c r="P2692">
        <v>32</v>
      </c>
      <c r="Q2692" t="s">
        <v>5719</v>
      </c>
    </row>
    <row r="2693" spans="1:17" x14ac:dyDescent="0.3">
      <c r="A2693" t="s">
        <v>4729</v>
      </c>
      <c r="B2693" t="str">
        <f>"001203"</f>
        <v>001203</v>
      </c>
      <c r="C2693" t="s">
        <v>5720</v>
      </c>
      <c r="D2693" t="s">
        <v>2376</v>
      </c>
      <c r="F2693">
        <v>117150113</v>
      </c>
      <c r="G2693">
        <v>67936532</v>
      </c>
      <c r="H2693">
        <v>62202454</v>
      </c>
      <c r="I2693">
        <v>48960222</v>
      </c>
      <c r="J2693">
        <v>41669395</v>
      </c>
      <c r="P2693">
        <v>80</v>
      </c>
      <c r="Q2693" t="s">
        <v>5721</v>
      </c>
    </row>
    <row r="2694" spans="1:17" x14ac:dyDescent="0.3">
      <c r="A2694" t="s">
        <v>4729</v>
      </c>
      <c r="B2694" t="str">
        <f>"001205"</f>
        <v>001205</v>
      </c>
      <c r="C2694" t="s">
        <v>5722</v>
      </c>
      <c r="D2694" t="s">
        <v>69</v>
      </c>
      <c r="F2694">
        <v>24123674</v>
      </c>
      <c r="G2694">
        <v>18820586</v>
      </c>
      <c r="H2694">
        <v>14140696</v>
      </c>
      <c r="I2694">
        <v>10594350</v>
      </c>
      <c r="J2694">
        <v>8320196</v>
      </c>
      <c r="P2694">
        <v>44</v>
      </c>
      <c r="Q2694" t="s">
        <v>5723</v>
      </c>
    </row>
    <row r="2695" spans="1:17" x14ac:dyDescent="0.3">
      <c r="A2695" t="s">
        <v>4729</v>
      </c>
      <c r="B2695" t="str">
        <f>"001206"</f>
        <v>001206</v>
      </c>
      <c r="C2695" t="s">
        <v>5724</v>
      </c>
      <c r="D2695" t="s">
        <v>2751</v>
      </c>
      <c r="F2695">
        <v>8983591</v>
      </c>
      <c r="G2695">
        <v>8392061</v>
      </c>
      <c r="H2695">
        <v>8269891</v>
      </c>
      <c r="I2695">
        <v>4066674</v>
      </c>
      <c r="J2695">
        <v>3807779</v>
      </c>
      <c r="P2695">
        <v>53</v>
      </c>
      <c r="Q2695" t="s">
        <v>5725</v>
      </c>
    </row>
    <row r="2696" spans="1:17" x14ac:dyDescent="0.3">
      <c r="A2696" t="s">
        <v>4729</v>
      </c>
      <c r="B2696" t="str">
        <f>"001207"</f>
        <v>001207</v>
      </c>
      <c r="C2696" t="s">
        <v>5726</v>
      </c>
      <c r="D2696" t="s">
        <v>3646</v>
      </c>
      <c r="F2696">
        <v>59156172</v>
      </c>
      <c r="G2696">
        <v>41377099</v>
      </c>
      <c r="H2696">
        <v>39681356</v>
      </c>
      <c r="I2696">
        <v>35242794</v>
      </c>
      <c r="J2696">
        <v>26695233</v>
      </c>
      <c r="P2696">
        <v>25</v>
      </c>
      <c r="Q2696" t="s">
        <v>5727</v>
      </c>
    </row>
    <row r="2697" spans="1:17" x14ac:dyDescent="0.3">
      <c r="A2697" t="s">
        <v>4729</v>
      </c>
      <c r="B2697" t="str">
        <f>"001208"</f>
        <v>001208</v>
      </c>
      <c r="C2697" t="s">
        <v>5728</v>
      </c>
      <c r="D2697" t="s">
        <v>1164</v>
      </c>
      <c r="F2697">
        <v>80040934</v>
      </c>
      <c r="G2697">
        <v>52167654</v>
      </c>
      <c r="H2697">
        <v>46583283</v>
      </c>
      <c r="I2697">
        <v>37783358</v>
      </c>
      <c r="J2697">
        <v>28808120</v>
      </c>
      <c r="P2697">
        <v>66</v>
      </c>
      <c r="Q2697" t="s">
        <v>5729</v>
      </c>
    </row>
    <row r="2698" spans="1:17" x14ac:dyDescent="0.3">
      <c r="A2698" t="s">
        <v>4729</v>
      </c>
      <c r="B2698" t="str">
        <f>"001209"</f>
        <v>001209</v>
      </c>
      <c r="C2698" t="s">
        <v>5730</v>
      </c>
      <c r="D2698" t="s">
        <v>255</v>
      </c>
      <c r="F2698">
        <v>32309744</v>
      </c>
      <c r="G2698">
        <v>26245156</v>
      </c>
      <c r="H2698">
        <v>26942020</v>
      </c>
      <c r="I2698">
        <v>26747598</v>
      </c>
      <c r="J2698">
        <v>16314253</v>
      </c>
      <c r="P2698">
        <v>22</v>
      </c>
      <c r="Q2698" t="s">
        <v>5731</v>
      </c>
    </row>
    <row r="2699" spans="1:17" x14ac:dyDescent="0.3">
      <c r="A2699" t="s">
        <v>4729</v>
      </c>
      <c r="B2699" t="str">
        <f>"001210"</f>
        <v>001210</v>
      </c>
      <c r="C2699" t="s">
        <v>5732</v>
      </c>
      <c r="D2699" t="s">
        <v>351</v>
      </c>
      <c r="F2699">
        <v>19618333</v>
      </c>
      <c r="G2699">
        <v>18340731</v>
      </c>
      <c r="H2699">
        <v>19254929</v>
      </c>
      <c r="I2699">
        <v>17229108</v>
      </c>
      <c r="J2699">
        <v>15884827</v>
      </c>
      <c r="P2699">
        <v>27</v>
      </c>
      <c r="Q2699" t="s">
        <v>5733</v>
      </c>
    </row>
    <row r="2700" spans="1:17" x14ac:dyDescent="0.3">
      <c r="A2700" t="s">
        <v>4729</v>
      </c>
      <c r="B2700" t="str">
        <f>"001211"</f>
        <v>001211</v>
      </c>
      <c r="C2700" t="s">
        <v>5734</v>
      </c>
      <c r="D2700" t="s">
        <v>2445</v>
      </c>
      <c r="F2700">
        <v>31746090</v>
      </c>
      <c r="G2700">
        <v>27446364</v>
      </c>
      <c r="H2700">
        <v>25115127</v>
      </c>
      <c r="I2700">
        <v>19853683</v>
      </c>
      <c r="J2700">
        <v>18816700</v>
      </c>
      <c r="P2700">
        <v>13</v>
      </c>
      <c r="Q2700" t="s">
        <v>5735</v>
      </c>
    </row>
    <row r="2701" spans="1:17" x14ac:dyDescent="0.3">
      <c r="A2701" t="s">
        <v>4729</v>
      </c>
      <c r="B2701" t="str">
        <f>"001212"</f>
        <v>001212</v>
      </c>
      <c r="C2701" t="s">
        <v>5736</v>
      </c>
      <c r="D2701" t="s">
        <v>722</v>
      </c>
      <c r="F2701">
        <v>23066222</v>
      </c>
      <c r="G2701">
        <v>19445017</v>
      </c>
      <c r="H2701">
        <v>20577197</v>
      </c>
      <c r="I2701">
        <v>19643586</v>
      </c>
      <c r="J2701">
        <v>15395233</v>
      </c>
      <c r="P2701">
        <v>19</v>
      </c>
      <c r="Q2701" t="s">
        <v>5737</v>
      </c>
    </row>
    <row r="2702" spans="1:17" x14ac:dyDescent="0.3">
      <c r="A2702" t="s">
        <v>4729</v>
      </c>
      <c r="B2702" t="str">
        <f>"001213"</f>
        <v>001213</v>
      </c>
      <c r="C2702" t="s">
        <v>5738</v>
      </c>
      <c r="D2702" t="s">
        <v>301</v>
      </c>
      <c r="F2702">
        <v>0</v>
      </c>
      <c r="G2702">
        <v>0</v>
      </c>
      <c r="H2702">
        <v>0</v>
      </c>
      <c r="I2702">
        <v>0</v>
      </c>
      <c r="P2702">
        <v>27</v>
      </c>
      <c r="Q2702" t="s">
        <v>5739</v>
      </c>
    </row>
    <row r="2703" spans="1:17" x14ac:dyDescent="0.3">
      <c r="A2703" t="s">
        <v>4729</v>
      </c>
      <c r="B2703" t="str">
        <f>"001215"</f>
        <v>001215</v>
      </c>
      <c r="C2703" t="s">
        <v>5740</v>
      </c>
      <c r="D2703" t="s">
        <v>2865</v>
      </c>
      <c r="F2703">
        <v>8989523</v>
      </c>
      <c r="G2703">
        <v>7203437</v>
      </c>
      <c r="H2703">
        <v>5351576</v>
      </c>
      <c r="I2703">
        <v>4163773</v>
      </c>
      <c r="J2703">
        <v>3466351</v>
      </c>
      <c r="P2703">
        <v>59</v>
      </c>
      <c r="Q2703" t="s">
        <v>5741</v>
      </c>
    </row>
    <row r="2704" spans="1:17" x14ac:dyDescent="0.3">
      <c r="A2704" t="s">
        <v>4729</v>
      </c>
      <c r="B2704" t="str">
        <f>"001216"</f>
        <v>001216</v>
      </c>
      <c r="C2704" t="s">
        <v>5742</v>
      </c>
      <c r="D2704" t="s">
        <v>2445</v>
      </c>
      <c r="F2704">
        <v>60140934</v>
      </c>
      <c r="G2704">
        <v>51044570</v>
      </c>
      <c r="H2704">
        <v>50490044</v>
      </c>
      <c r="I2704">
        <v>32852871</v>
      </c>
      <c r="J2704">
        <v>22341820</v>
      </c>
      <c r="P2704">
        <v>19</v>
      </c>
      <c r="Q2704" t="s">
        <v>5743</v>
      </c>
    </row>
    <row r="2705" spans="1:17" x14ac:dyDescent="0.3">
      <c r="A2705" t="s">
        <v>4729</v>
      </c>
      <c r="B2705" t="str">
        <f>"001217"</f>
        <v>001217</v>
      </c>
      <c r="C2705" t="s">
        <v>5744</v>
      </c>
      <c r="D2705" t="s">
        <v>1233</v>
      </c>
      <c r="F2705">
        <v>60247561</v>
      </c>
      <c r="G2705">
        <v>41111411</v>
      </c>
      <c r="H2705">
        <v>43894511</v>
      </c>
      <c r="I2705">
        <v>42603701</v>
      </c>
      <c r="J2705">
        <v>33482905</v>
      </c>
      <c r="P2705">
        <v>27</v>
      </c>
      <c r="Q2705" t="s">
        <v>5745</v>
      </c>
    </row>
    <row r="2706" spans="1:17" x14ac:dyDescent="0.3">
      <c r="A2706" t="s">
        <v>4729</v>
      </c>
      <c r="B2706" t="str">
        <f>"001218"</f>
        <v>001218</v>
      </c>
      <c r="C2706" t="s">
        <v>5746</v>
      </c>
      <c r="D2706" t="s">
        <v>386</v>
      </c>
      <c r="F2706">
        <v>94517970</v>
      </c>
      <c r="G2706">
        <v>83739600</v>
      </c>
      <c r="H2706">
        <v>68375502</v>
      </c>
      <c r="I2706">
        <v>61760176</v>
      </c>
      <c r="J2706">
        <v>65326900</v>
      </c>
      <c r="P2706">
        <v>15</v>
      </c>
      <c r="Q2706" t="s">
        <v>5747</v>
      </c>
    </row>
    <row r="2707" spans="1:17" x14ac:dyDescent="0.3">
      <c r="A2707" t="s">
        <v>4729</v>
      </c>
      <c r="B2707" t="str">
        <f>"001219"</f>
        <v>001219</v>
      </c>
      <c r="C2707" t="s">
        <v>5748</v>
      </c>
      <c r="D2707" t="s">
        <v>2488</v>
      </c>
      <c r="F2707">
        <v>2125680</v>
      </c>
      <c r="G2707">
        <v>1863494</v>
      </c>
      <c r="H2707">
        <v>2182960</v>
      </c>
      <c r="I2707">
        <v>2072945</v>
      </c>
      <c r="J2707">
        <v>1909801</v>
      </c>
      <c r="P2707">
        <v>33</v>
      </c>
      <c r="Q2707" t="s">
        <v>5749</v>
      </c>
    </row>
    <row r="2708" spans="1:17" x14ac:dyDescent="0.3">
      <c r="A2708" t="s">
        <v>4729</v>
      </c>
      <c r="B2708" t="str">
        <f>"001227"</f>
        <v>001227</v>
      </c>
      <c r="C2708" t="s">
        <v>5750</v>
      </c>
      <c r="D2708" t="s">
        <v>1842</v>
      </c>
      <c r="F2708">
        <v>0</v>
      </c>
      <c r="G2708">
        <v>0</v>
      </c>
      <c r="H2708">
        <v>0</v>
      </c>
      <c r="I2708">
        <v>0</v>
      </c>
      <c r="P2708">
        <v>31</v>
      </c>
      <c r="Q2708" t="s">
        <v>5751</v>
      </c>
    </row>
    <row r="2709" spans="1:17" x14ac:dyDescent="0.3">
      <c r="A2709" t="s">
        <v>4729</v>
      </c>
      <c r="B2709" t="str">
        <f>"001228"</f>
        <v>001228</v>
      </c>
      <c r="C2709" t="s">
        <v>5752</v>
      </c>
      <c r="F2709">
        <v>2712784</v>
      </c>
      <c r="G2709">
        <v>1814941</v>
      </c>
      <c r="H2709">
        <v>1836569</v>
      </c>
      <c r="I2709">
        <v>1744467</v>
      </c>
      <c r="J2709">
        <v>1790127</v>
      </c>
      <c r="P2709">
        <v>2</v>
      </c>
      <c r="Q2709" t="s">
        <v>5753</v>
      </c>
    </row>
    <row r="2710" spans="1:17" x14ac:dyDescent="0.3">
      <c r="A2710" t="s">
        <v>4729</v>
      </c>
      <c r="B2710" t="str">
        <f>"001234"</f>
        <v>001234</v>
      </c>
      <c r="C2710" t="s">
        <v>5754</v>
      </c>
      <c r="D2710" t="s">
        <v>366</v>
      </c>
      <c r="F2710">
        <v>30386796</v>
      </c>
      <c r="G2710">
        <v>26054563</v>
      </c>
      <c r="H2710">
        <v>29239137</v>
      </c>
      <c r="I2710">
        <v>25059631</v>
      </c>
      <c r="J2710">
        <v>23357130</v>
      </c>
      <c r="P2710">
        <v>16</v>
      </c>
      <c r="Q2710" t="s">
        <v>5755</v>
      </c>
    </row>
    <row r="2711" spans="1:17" x14ac:dyDescent="0.3">
      <c r="A2711" t="s">
        <v>4729</v>
      </c>
      <c r="B2711" t="str">
        <f>"001235"</f>
        <v>001235</v>
      </c>
      <c r="C2711" t="s">
        <v>5756</v>
      </c>
      <c r="F2711">
        <v>15404661</v>
      </c>
      <c r="G2711">
        <v>12712034</v>
      </c>
      <c r="H2711">
        <v>11029931</v>
      </c>
      <c r="I2711">
        <v>8445145</v>
      </c>
      <c r="Q2711" t="s">
        <v>5757</v>
      </c>
    </row>
    <row r="2712" spans="1:17" x14ac:dyDescent="0.3">
      <c r="A2712" t="s">
        <v>4729</v>
      </c>
      <c r="B2712" t="str">
        <f>"001266"</f>
        <v>001266</v>
      </c>
      <c r="C2712" t="s">
        <v>5758</v>
      </c>
      <c r="F2712">
        <v>43546926</v>
      </c>
      <c r="G2712">
        <v>26091900</v>
      </c>
      <c r="H2712">
        <v>13621777</v>
      </c>
      <c r="I2712">
        <v>7350900</v>
      </c>
      <c r="P2712">
        <v>8</v>
      </c>
      <c r="Q2712" t="s">
        <v>5759</v>
      </c>
    </row>
    <row r="2713" spans="1:17" x14ac:dyDescent="0.3">
      <c r="A2713" t="s">
        <v>4729</v>
      </c>
      <c r="B2713" t="str">
        <f>"001267"</f>
        <v>001267</v>
      </c>
      <c r="C2713" t="s">
        <v>5760</v>
      </c>
      <c r="D2713" t="s">
        <v>2417</v>
      </c>
      <c r="F2713">
        <v>2483014</v>
      </c>
      <c r="G2713">
        <v>2977096</v>
      </c>
      <c r="H2713">
        <v>3039758</v>
      </c>
      <c r="I2713">
        <v>3084245</v>
      </c>
      <c r="P2713">
        <v>10</v>
      </c>
      <c r="Q2713" t="s">
        <v>5761</v>
      </c>
    </row>
    <row r="2714" spans="1:17" x14ac:dyDescent="0.3">
      <c r="A2714" t="s">
        <v>4729</v>
      </c>
      <c r="B2714" t="str">
        <f>"001288"</f>
        <v>001288</v>
      </c>
      <c r="C2714" t="s">
        <v>5762</v>
      </c>
      <c r="D2714" t="s">
        <v>395</v>
      </c>
      <c r="F2714">
        <v>14167426</v>
      </c>
      <c r="G2714">
        <v>14654613</v>
      </c>
      <c r="H2714">
        <v>15127825</v>
      </c>
      <c r="I2714">
        <v>15856089</v>
      </c>
      <c r="J2714">
        <v>14007604</v>
      </c>
      <c r="P2714">
        <v>14</v>
      </c>
      <c r="Q2714" t="s">
        <v>5763</v>
      </c>
    </row>
    <row r="2715" spans="1:17" x14ac:dyDescent="0.3">
      <c r="A2715" t="s">
        <v>4729</v>
      </c>
      <c r="B2715" t="str">
        <f>"001289"</f>
        <v>001289</v>
      </c>
      <c r="C2715" t="s">
        <v>5764</v>
      </c>
      <c r="F2715">
        <v>140135322</v>
      </c>
      <c r="P2715">
        <v>28</v>
      </c>
      <c r="Q2715" t="s">
        <v>5765</v>
      </c>
    </row>
    <row r="2716" spans="1:17" x14ac:dyDescent="0.3">
      <c r="A2716" t="s">
        <v>4729</v>
      </c>
      <c r="B2716" t="str">
        <f>"001296"</f>
        <v>001296</v>
      </c>
      <c r="C2716" t="s">
        <v>5766</v>
      </c>
      <c r="D2716" t="s">
        <v>2762</v>
      </c>
      <c r="F2716">
        <v>16440818</v>
      </c>
      <c r="G2716">
        <v>20022068</v>
      </c>
      <c r="H2716">
        <v>25192175</v>
      </c>
      <c r="I2716">
        <v>16163337</v>
      </c>
      <c r="P2716">
        <v>15</v>
      </c>
      <c r="Q2716" t="s">
        <v>5767</v>
      </c>
    </row>
    <row r="2717" spans="1:17" x14ac:dyDescent="0.3">
      <c r="A2717" t="s">
        <v>4729</v>
      </c>
      <c r="B2717" t="str">
        <f>"001308"</f>
        <v>001308</v>
      </c>
      <c r="C2717" t="s">
        <v>5768</v>
      </c>
      <c r="F2717">
        <v>476088340</v>
      </c>
      <c r="G2717">
        <v>322186299</v>
      </c>
      <c r="H2717">
        <v>275477844</v>
      </c>
      <c r="I2717">
        <v>230711637</v>
      </c>
      <c r="P2717">
        <v>5</v>
      </c>
      <c r="Q2717" t="s">
        <v>5769</v>
      </c>
    </row>
    <row r="2718" spans="1:17" x14ac:dyDescent="0.3">
      <c r="A2718" t="s">
        <v>4729</v>
      </c>
      <c r="B2718" t="str">
        <f>"001313"</f>
        <v>001313</v>
      </c>
      <c r="C2718" t="s">
        <v>5770</v>
      </c>
      <c r="F2718">
        <v>191443495</v>
      </c>
      <c r="G2718">
        <v>185431938</v>
      </c>
      <c r="H2718">
        <v>164441995</v>
      </c>
      <c r="I2718">
        <v>179917030</v>
      </c>
      <c r="J2718">
        <v>169363629</v>
      </c>
      <c r="P2718">
        <v>10</v>
      </c>
      <c r="Q2718" t="s">
        <v>5771</v>
      </c>
    </row>
    <row r="2719" spans="1:17" x14ac:dyDescent="0.3">
      <c r="A2719" t="s">
        <v>4729</v>
      </c>
      <c r="B2719" t="str">
        <f>"001317"</f>
        <v>001317</v>
      </c>
      <c r="C2719" t="s">
        <v>5772</v>
      </c>
      <c r="D2719" t="s">
        <v>301</v>
      </c>
      <c r="F2719">
        <v>1883047</v>
      </c>
      <c r="G2719">
        <v>3194473</v>
      </c>
      <c r="H2719">
        <v>2469240</v>
      </c>
      <c r="I2719">
        <v>1675904</v>
      </c>
      <c r="J2719">
        <v>1311920</v>
      </c>
      <c r="P2719">
        <v>23</v>
      </c>
      <c r="Q2719" t="s">
        <v>5773</v>
      </c>
    </row>
    <row r="2720" spans="1:17" x14ac:dyDescent="0.3">
      <c r="A2720" t="s">
        <v>4729</v>
      </c>
      <c r="B2720" t="str">
        <f>"001318"</f>
        <v>001318</v>
      </c>
      <c r="C2720" t="s">
        <v>5774</v>
      </c>
      <c r="F2720">
        <v>18377791</v>
      </c>
      <c r="G2720">
        <v>17570131</v>
      </c>
      <c r="H2720">
        <v>17954383</v>
      </c>
      <c r="I2720">
        <v>15552802</v>
      </c>
      <c r="Q2720" t="s">
        <v>5775</v>
      </c>
    </row>
    <row r="2721" spans="1:17" x14ac:dyDescent="0.3">
      <c r="A2721" t="s">
        <v>4729</v>
      </c>
      <c r="B2721" t="str">
        <f>"001319"</f>
        <v>001319</v>
      </c>
      <c r="C2721" t="s">
        <v>5776</v>
      </c>
      <c r="F2721">
        <v>37258284</v>
      </c>
      <c r="G2721">
        <v>32150450</v>
      </c>
      <c r="H2721">
        <v>32837159</v>
      </c>
      <c r="I2721">
        <v>27276175</v>
      </c>
      <c r="P2721">
        <v>0</v>
      </c>
      <c r="Q2721" t="s">
        <v>5777</v>
      </c>
    </row>
    <row r="2722" spans="1:17" x14ac:dyDescent="0.3">
      <c r="A2722" t="s">
        <v>4729</v>
      </c>
      <c r="B2722" t="str">
        <f>"001696"</f>
        <v>001696</v>
      </c>
      <c r="C2722" t="s">
        <v>5778</v>
      </c>
      <c r="D2722" t="s">
        <v>560</v>
      </c>
      <c r="F2722">
        <v>209742942</v>
      </c>
      <c r="G2722">
        <v>197058740</v>
      </c>
      <c r="H2722">
        <v>156239480</v>
      </c>
      <c r="I2722">
        <v>143937690</v>
      </c>
      <c r="P2722">
        <v>274</v>
      </c>
      <c r="Q2722" t="s">
        <v>5779</v>
      </c>
    </row>
    <row r="2723" spans="1:17" x14ac:dyDescent="0.3">
      <c r="A2723" t="s">
        <v>4729</v>
      </c>
      <c r="B2723" t="str">
        <f>"001872"</f>
        <v>001872</v>
      </c>
      <c r="C2723" t="s">
        <v>5780</v>
      </c>
      <c r="D2723" t="s">
        <v>51</v>
      </c>
      <c r="F2723">
        <v>217905636</v>
      </c>
      <c r="G2723">
        <v>156024114</v>
      </c>
      <c r="H2723">
        <v>123853344</v>
      </c>
      <c r="I2723">
        <v>121989098</v>
      </c>
      <c r="J2723">
        <v>95247275</v>
      </c>
      <c r="P2723">
        <v>254</v>
      </c>
      <c r="Q2723" t="s">
        <v>5781</v>
      </c>
    </row>
    <row r="2724" spans="1:17" x14ac:dyDescent="0.3">
      <c r="A2724" t="s">
        <v>4729</v>
      </c>
      <c r="B2724" t="str">
        <f>"001896"</f>
        <v>001896</v>
      </c>
      <c r="C2724" t="s">
        <v>5782</v>
      </c>
      <c r="D2724" t="s">
        <v>41</v>
      </c>
      <c r="F2724">
        <v>0</v>
      </c>
      <c r="G2724">
        <v>0</v>
      </c>
      <c r="P2724">
        <v>202</v>
      </c>
      <c r="Q2724" t="s">
        <v>5783</v>
      </c>
    </row>
    <row r="2725" spans="1:17" x14ac:dyDescent="0.3">
      <c r="A2725" t="s">
        <v>4729</v>
      </c>
      <c r="B2725" t="str">
        <f>"001914"</f>
        <v>001914</v>
      </c>
      <c r="C2725" t="s">
        <v>5784</v>
      </c>
      <c r="D2725" t="s">
        <v>2975</v>
      </c>
      <c r="F2725">
        <v>37537372</v>
      </c>
      <c r="G2725">
        <v>19621975</v>
      </c>
      <c r="H2725">
        <v>17526847</v>
      </c>
      <c r="I2725">
        <v>14622697</v>
      </c>
      <c r="P2725">
        <v>264</v>
      </c>
      <c r="Q2725" t="s">
        <v>5785</v>
      </c>
    </row>
    <row r="2726" spans="1:17" x14ac:dyDescent="0.3">
      <c r="A2726" t="s">
        <v>4729</v>
      </c>
      <c r="B2726" t="str">
        <f>"001965"</f>
        <v>001965</v>
      </c>
      <c r="C2726" t="s">
        <v>5786</v>
      </c>
      <c r="D2726" t="s">
        <v>44</v>
      </c>
      <c r="F2726">
        <v>183566620</v>
      </c>
      <c r="G2726">
        <v>139665909</v>
      </c>
      <c r="H2726">
        <v>139448692</v>
      </c>
      <c r="I2726">
        <v>95277990</v>
      </c>
      <c r="P2726">
        <v>359</v>
      </c>
      <c r="Q2726" t="s">
        <v>5787</v>
      </c>
    </row>
    <row r="2727" spans="1:17" x14ac:dyDescent="0.3">
      <c r="A2727" t="s">
        <v>4729</v>
      </c>
      <c r="B2727" t="str">
        <f>"001979"</f>
        <v>001979</v>
      </c>
      <c r="C2727" t="s">
        <v>5788</v>
      </c>
      <c r="D2727" t="s">
        <v>30</v>
      </c>
      <c r="F2727">
        <v>115803508</v>
      </c>
      <c r="G2727">
        <v>71417515</v>
      </c>
      <c r="H2727">
        <v>52393154</v>
      </c>
      <c r="P2727">
        <v>1456</v>
      </c>
      <c r="Q2727" t="s">
        <v>5789</v>
      </c>
    </row>
    <row r="2728" spans="1:17" x14ac:dyDescent="0.3">
      <c r="A2728" t="s">
        <v>4729</v>
      </c>
      <c r="B2728" t="str">
        <f>"002001"</f>
        <v>002001</v>
      </c>
      <c r="C2728" t="s">
        <v>5790</v>
      </c>
      <c r="D2728" t="s">
        <v>496</v>
      </c>
      <c r="F2728">
        <v>782661709</v>
      </c>
      <c r="G2728">
        <v>545562376</v>
      </c>
      <c r="H2728">
        <v>434132764</v>
      </c>
      <c r="I2728">
        <v>457068310</v>
      </c>
      <c r="P2728">
        <v>1984</v>
      </c>
      <c r="Q2728" t="s">
        <v>5791</v>
      </c>
    </row>
    <row r="2729" spans="1:17" x14ac:dyDescent="0.3">
      <c r="A2729" t="s">
        <v>4729</v>
      </c>
      <c r="B2729" t="str">
        <f>"002002"</f>
        <v>002002</v>
      </c>
      <c r="C2729" t="s">
        <v>5792</v>
      </c>
      <c r="D2729" t="s">
        <v>175</v>
      </c>
      <c r="F2729">
        <v>179063250</v>
      </c>
      <c r="G2729">
        <v>156325234</v>
      </c>
      <c r="H2729">
        <v>104381549</v>
      </c>
      <c r="I2729">
        <v>111459396</v>
      </c>
      <c r="P2729">
        <v>451</v>
      </c>
      <c r="Q2729" t="s">
        <v>5793</v>
      </c>
    </row>
    <row r="2730" spans="1:17" x14ac:dyDescent="0.3">
      <c r="A2730" t="s">
        <v>4729</v>
      </c>
      <c r="B2730" t="str">
        <f>"002003"</f>
        <v>002003</v>
      </c>
      <c r="C2730" t="s">
        <v>5794</v>
      </c>
      <c r="D2730" t="s">
        <v>2956</v>
      </c>
      <c r="F2730">
        <v>138603102</v>
      </c>
      <c r="G2730">
        <v>103289731</v>
      </c>
      <c r="H2730">
        <v>130307288</v>
      </c>
      <c r="I2730">
        <v>112991868</v>
      </c>
      <c r="P2730">
        <v>763</v>
      </c>
      <c r="Q2730" t="s">
        <v>5795</v>
      </c>
    </row>
    <row r="2731" spans="1:17" x14ac:dyDescent="0.3">
      <c r="A2731" t="s">
        <v>4729</v>
      </c>
      <c r="B2731" t="str">
        <f>"002004"</f>
        <v>002004</v>
      </c>
      <c r="C2731" t="s">
        <v>5796</v>
      </c>
      <c r="D2731" t="s">
        <v>143</v>
      </c>
      <c r="F2731">
        <v>329471245</v>
      </c>
      <c r="G2731">
        <v>324353103</v>
      </c>
      <c r="H2731">
        <v>288026780</v>
      </c>
      <c r="I2731">
        <v>349461998</v>
      </c>
      <c r="P2731">
        <v>328</v>
      </c>
      <c r="Q2731" t="s">
        <v>5797</v>
      </c>
    </row>
    <row r="2732" spans="1:17" x14ac:dyDescent="0.3">
      <c r="A2732" t="s">
        <v>4729</v>
      </c>
      <c r="B2732" t="str">
        <f>"002005"</f>
        <v>002005</v>
      </c>
      <c r="C2732" t="s">
        <v>5798</v>
      </c>
      <c r="D2732" t="s">
        <v>5799</v>
      </c>
      <c r="F2732">
        <v>46428474</v>
      </c>
      <c r="G2732">
        <v>71260375</v>
      </c>
      <c r="H2732">
        <v>94059119</v>
      </c>
      <c r="I2732">
        <v>167006042</v>
      </c>
      <c r="P2732">
        <v>74</v>
      </c>
      <c r="Q2732" t="s">
        <v>5800</v>
      </c>
    </row>
    <row r="2733" spans="1:17" x14ac:dyDescent="0.3">
      <c r="A2733" t="s">
        <v>4729</v>
      </c>
      <c r="B2733" t="str">
        <f>"002006"</f>
        <v>002006</v>
      </c>
      <c r="C2733" t="s">
        <v>5801</v>
      </c>
      <c r="D2733" t="s">
        <v>741</v>
      </c>
      <c r="F2733">
        <v>97404232</v>
      </c>
      <c r="G2733">
        <v>62061515</v>
      </c>
      <c r="H2733">
        <v>46043237</v>
      </c>
      <c r="I2733">
        <v>46315524</v>
      </c>
      <c r="P2733">
        <v>127</v>
      </c>
      <c r="Q2733" t="s">
        <v>5802</v>
      </c>
    </row>
    <row r="2734" spans="1:17" x14ac:dyDescent="0.3">
      <c r="A2734" t="s">
        <v>4729</v>
      </c>
      <c r="B2734" t="str">
        <f>"002007"</f>
        <v>002007</v>
      </c>
      <c r="C2734" t="s">
        <v>5803</v>
      </c>
      <c r="D2734" t="s">
        <v>378</v>
      </c>
      <c r="F2734">
        <v>253634721</v>
      </c>
      <c r="G2734">
        <v>213212390</v>
      </c>
      <c r="H2734">
        <v>143539656</v>
      </c>
      <c r="I2734">
        <v>146459344</v>
      </c>
      <c r="P2734">
        <v>13194</v>
      </c>
      <c r="Q2734" t="s">
        <v>5804</v>
      </c>
    </row>
    <row r="2735" spans="1:17" x14ac:dyDescent="0.3">
      <c r="A2735" t="s">
        <v>4729</v>
      </c>
      <c r="B2735" t="str">
        <f>"002008"</f>
        <v>002008</v>
      </c>
      <c r="C2735" t="s">
        <v>5805</v>
      </c>
      <c r="D2735" t="s">
        <v>3811</v>
      </c>
      <c r="F2735">
        <v>1394453038</v>
      </c>
      <c r="G2735">
        <v>1218209509</v>
      </c>
      <c r="H2735">
        <v>1013828294</v>
      </c>
      <c r="I2735">
        <v>993034365</v>
      </c>
      <c r="P2735">
        <v>4830</v>
      </c>
      <c r="Q2735" t="s">
        <v>5806</v>
      </c>
    </row>
    <row r="2736" spans="1:17" x14ac:dyDescent="0.3">
      <c r="A2736" t="s">
        <v>4729</v>
      </c>
      <c r="B2736" t="str">
        <f>"002009"</f>
        <v>002009</v>
      </c>
      <c r="C2736" t="s">
        <v>5807</v>
      </c>
      <c r="D2736" t="s">
        <v>741</v>
      </c>
      <c r="F2736">
        <v>199106226</v>
      </c>
      <c r="G2736">
        <v>147288211</v>
      </c>
      <c r="H2736">
        <v>126219738</v>
      </c>
      <c r="I2736">
        <v>101224313</v>
      </c>
      <c r="P2736">
        <v>148</v>
      </c>
      <c r="Q2736" t="s">
        <v>5808</v>
      </c>
    </row>
    <row r="2737" spans="1:17" x14ac:dyDescent="0.3">
      <c r="A2737" t="s">
        <v>4729</v>
      </c>
      <c r="B2737" t="str">
        <f>"002010"</f>
        <v>002010</v>
      </c>
      <c r="C2737" t="s">
        <v>5809</v>
      </c>
      <c r="D2737" t="s">
        <v>2503</v>
      </c>
      <c r="F2737">
        <v>429427927</v>
      </c>
      <c r="G2737">
        <v>333700726</v>
      </c>
      <c r="H2737">
        <v>338323680</v>
      </c>
      <c r="I2737">
        <v>297167688</v>
      </c>
      <c r="J2737">
        <v>227813060</v>
      </c>
      <c r="P2737">
        <v>279</v>
      </c>
      <c r="Q2737" t="s">
        <v>5810</v>
      </c>
    </row>
    <row r="2738" spans="1:17" x14ac:dyDescent="0.3">
      <c r="A2738" t="s">
        <v>4729</v>
      </c>
      <c r="B2738" t="str">
        <f>"002011"</f>
        <v>002011</v>
      </c>
      <c r="C2738" t="s">
        <v>5811</v>
      </c>
      <c r="D2738" t="s">
        <v>1253</v>
      </c>
      <c r="F2738">
        <v>369511853</v>
      </c>
      <c r="G2738">
        <v>296151451</v>
      </c>
      <c r="H2738">
        <v>379806096</v>
      </c>
      <c r="I2738">
        <v>345233096</v>
      </c>
      <c r="P2738">
        <v>201</v>
      </c>
      <c r="Q2738" t="s">
        <v>5812</v>
      </c>
    </row>
    <row r="2739" spans="1:17" x14ac:dyDescent="0.3">
      <c r="A2739" t="s">
        <v>4729</v>
      </c>
      <c r="B2739" t="str">
        <f>"002012"</f>
        <v>002012</v>
      </c>
      <c r="C2739" t="s">
        <v>5813</v>
      </c>
      <c r="D2739" t="s">
        <v>244</v>
      </c>
      <c r="F2739">
        <v>116078885</v>
      </c>
      <c r="G2739">
        <v>108716044</v>
      </c>
      <c r="H2739">
        <v>80148840</v>
      </c>
      <c r="I2739">
        <v>78865556</v>
      </c>
      <c r="P2739">
        <v>131</v>
      </c>
      <c r="Q2739" t="s">
        <v>5814</v>
      </c>
    </row>
    <row r="2740" spans="1:17" x14ac:dyDescent="0.3">
      <c r="A2740" t="s">
        <v>4729</v>
      </c>
      <c r="B2740" t="str">
        <f>"002013"</f>
        <v>002013</v>
      </c>
      <c r="C2740" t="s">
        <v>5815</v>
      </c>
      <c r="D2740" t="s">
        <v>98</v>
      </c>
      <c r="F2740">
        <v>775708652</v>
      </c>
      <c r="G2740">
        <v>592853202</v>
      </c>
      <c r="H2740">
        <v>550088283</v>
      </c>
      <c r="I2740">
        <v>412742440</v>
      </c>
      <c r="P2740">
        <v>656</v>
      </c>
      <c r="Q2740" t="s">
        <v>5816</v>
      </c>
    </row>
    <row r="2741" spans="1:17" x14ac:dyDescent="0.3">
      <c r="A2741" t="s">
        <v>4729</v>
      </c>
      <c r="B2741" t="str">
        <f>"002014"</f>
        <v>002014</v>
      </c>
      <c r="C2741" t="s">
        <v>5817</v>
      </c>
      <c r="D2741" t="s">
        <v>485</v>
      </c>
      <c r="F2741">
        <v>121105571</v>
      </c>
      <c r="G2741">
        <v>112772451</v>
      </c>
      <c r="H2741">
        <v>101190953</v>
      </c>
      <c r="I2741">
        <v>65896663</v>
      </c>
      <c r="P2741">
        <v>467</v>
      </c>
      <c r="Q2741" t="s">
        <v>5818</v>
      </c>
    </row>
    <row r="2742" spans="1:17" x14ac:dyDescent="0.3">
      <c r="A2742" t="s">
        <v>4729</v>
      </c>
      <c r="B2742" t="str">
        <f>"002015"</f>
        <v>002015</v>
      </c>
      <c r="C2742" t="s">
        <v>5819</v>
      </c>
      <c r="D2742" t="s">
        <v>351</v>
      </c>
      <c r="F2742">
        <v>15491749</v>
      </c>
      <c r="G2742">
        <v>12167446</v>
      </c>
      <c r="H2742">
        <v>3080494</v>
      </c>
      <c r="P2742">
        <v>239</v>
      </c>
      <c r="Q2742" t="s">
        <v>5820</v>
      </c>
    </row>
    <row r="2743" spans="1:17" x14ac:dyDescent="0.3">
      <c r="A2743" t="s">
        <v>4729</v>
      </c>
      <c r="B2743" t="str">
        <f>"002016"</f>
        <v>002016</v>
      </c>
      <c r="C2743" t="s">
        <v>5821</v>
      </c>
      <c r="D2743" t="s">
        <v>104</v>
      </c>
      <c r="F2743">
        <v>2934367</v>
      </c>
      <c r="G2743">
        <v>0</v>
      </c>
      <c r="P2743">
        <v>457</v>
      </c>
      <c r="Q2743" t="s">
        <v>5822</v>
      </c>
    </row>
    <row r="2744" spans="1:17" x14ac:dyDescent="0.3">
      <c r="A2744" t="s">
        <v>4729</v>
      </c>
      <c r="B2744" t="str">
        <f>"002017"</f>
        <v>002017</v>
      </c>
      <c r="C2744" t="s">
        <v>5823</v>
      </c>
      <c r="D2744" t="s">
        <v>786</v>
      </c>
      <c r="F2744">
        <v>102704545</v>
      </c>
      <c r="G2744">
        <v>102555067</v>
      </c>
      <c r="H2744">
        <v>102657780</v>
      </c>
      <c r="I2744">
        <v>109576759</v>
      </c>
      <c r="P2744">
        <v>216</v>
      </c>
      <c r="Q2744" t="s">
        <v>5824</v>
      </c>
    </row>
    <row r="2745" spans="1:17" x14ac:dyDescent="0.3">
      <c r="A2745" t="s">
        <v>4729</v>
      </c>
      <c r="B2745" t="str">
        <f>"002018"</f>
        <v>002018</v>
      </c>
      <c r="C2745" t="s">
        <v>5825</v>
      </c>
      <c r="H2745">
        <v>0</v>
      </c>
      <c r="I2745">
        <v>0</v>
      </c>
      <c r="P2745">
        <v>40</v>
      </c>
      <c r="Q2745" t="s">
        <v>5826</v>
      </c>
    </row>
    <row r="2746" spans="1:17" x14ac:dyDescent="0.3">
      <c r="A2746" t="s">
        <v>4729</v>
      </c>
      <c r="B2746" t="str">
        <f>"002019"</f>
        <v>002019</v>
      </c>
      <c r="C2746" t="s">
        <v>5827</v>
      </c>
      <c r="D2746" t="s">
        <v>143</v>
      </c>
      <c r="F2746">
        <v>196639076</v>
      </c>
      <c r="G2746">
        <v>325340928</v>
      </c>
      <c r="H2746">
        <v>208493155</v>
      </c>
      <c r="I2746">
        <v>167017303</v>
      </c>
      <c r="P2746">
        <v>973</v>
      </c>
      <c r="Q2746" t="s">
        <v>5828</v>
      </c>
    </row>
    <row r="2747" spans="1:17" x14ac:dyDescent="0.3">
      <c r="A2747" t="s">
        <v>4729</v>
      </c>
      <c r="B2747" t="str">
        <f>"002020"</f>
        <v>002020</v>
      </c>
      <c r="C2747" t="s">
        <v>5829</v>
      </c>
      <c r="D2747" t="s">
        <v>143</v>
      </c>
      <c r="F2747">
        <v>329331079</v>
      </c>
      <c r="G2747">
        <v>259241603</v>
      </c>
      <c r="H2747">
        <v>254103871</v>
      </c>
      <c r="I2747">
        <v>242018851</v>
      </c>
      <c r="P2747">
        <v>619</v>
      </c>
      <c r="Q2747" t="s">
        <v>5830</v>
      </c>
    </row>
    <row r="2748" spans="1:17" x14ac:dyDescent="0.3">
      <c r="A2748" t="s">
        <v>4729</v>
      </c>
      <c r="B2748" t="str">
        <f>"002021"</f>
        <v>002021</v>
      </c>
      <c r="C2748" t="s">
        <v>5831</v>
      </c>
      <c r="D2748" t="s">
        <v>534</v>
      </c>
      <c r="F2748">
        <v>25093172</v>
      </c>
      <c r="G2748">
        <v>16070948</v>
      </c>
      <c r="H2748">
        <v>26860989</v>
      </c>
      <c r="I2748">
        <v>40847287</v>
      </c>
      <c r="P2748">
        <v>57</v>
      </c>
      <c r="Q2748" t="s">
        <v>5832</v>
      </c>
    </row>
    <row r="2749" spans="1:17" x14ac:dyDescent="0.3">
      <c r="A2749" t="s">
        <v>4729</v>
      </c>
      <c r="B2749" t="str">
        <f>"002022"</f>
        <v>002022</v>
      </c>
      <c r="C2749" t="s">
        <v>5833</v>
      </c>
      <c r="D2749" t="s">
        <v>1305</v>
      </c>
      <c r="F2749">
        <v>106933179</v>
      </c>
      <c r="G2749">
        <v>146926142</v>
      </c>
      <c r="H2749">
        <v>65661590</v>
      </c>
      <c r="I2749">
        <v>42182237</v>
      </c>
      <c r="P2749">
        <v>1024</v>
      </c>
      <c r="Q2749" t="s">
        <v>5834</v>
      </c>
    </row>
    <row r="2750" spans="1:17" x14ac:dyDescent="0.3">
      <c r="A2750" t="s">
        <v>4729</v>
      </c>
      <c r="B2750" t="str">
        <f>"002023"</f>
        <v>002023</v>
      </c>
      <c r="C2750" t="s">
        <v>5835</v>
      </c>
      <c r="D2750" t="s">
        <v>98</v>
      </c>
      <c r="F2750">
        <v>59881374</v>
      </c>
      <c r="G2750">
        <v>50925548</v>
      </c>
      <c r="H2750">
        <v>42955837</v>
      </c>
      <c r="I2750">
        <v>34197539</v>
      </c>
      <c r="P2750">
        <v>580</v>
      </c>
      <c r="Q2750" t="s">
        <v>5836</v>
      </c>
    </row>
    <row r="2751" spans="1:17" x14ac:dyDescent="0.3">
      <c r="A2751" t="s">
        <v>4729</v>
      </c>
      <c r="B2751" t="str">
        <f>"002024"</f>
        <v>002024</v>
      </c>
      <c r="C2751" t="s">
        <v>5837</v>
      </c>
      <c r="D2751" t="s">
        <v>3093</v>
      </c>
      <c r="F2751">
        <v>1911560000</v>
      </c>
      <c r="G2751">
        <v>2263933000</v>
      </c>
      <c r="H2751">
        <v>3267610000</v>
      </c>
      <c r="I2751">
        <v>2261875000</v>
      </c>
      <c r="P2751">
        <v>1902</v>
      </c>
      <c r="Q2751" t="s">
        <v>5838</v>
      </c>
    </row>
    <row r="2752" spans="1:17" x14ac:dyDescent="0.3">
      <c r="A2752" t="s">
        <v>4729</v>
      </c>
      <c r="B2752" t="str">
        <f>"002025"</f>
        <v>002025</v>
      </c>
      <c r="C2752" t="s">
        <v>5839</v>
      </c>
      <c r="D2752" t="s">
        <v>1136</v>
      </c>
      <c r="F2752">
        <v>503944667</v>
      </c>
      <c r="G2752">
        <v>428078761</v>
      </c>
      <c r="H2752">
        <v>377982655</v>
      </c>
      <c r="I2752">
        <v>301632363</v>
      </c>
      <c r="P2752">
        <v>468</v>
      </c>
      <c r="Q2752" t="s">
        <v>5840</v>
      </c>
    </row>
    <row r="2753" spans="1:17" x14ac:dyDescent="0.3">
      <c r="A2753" t="s">
        <v>4729</v>
      </c>
      <c r="B2753" t="str">
        <f>"002026"</f>
        <v>002026</v>
      </c>
      <c r="C2753" t="s">
        <v>5841</v>
      </c>
      <c r="D2753" t="s">
        <v>274</v>
      </c>
      <c r="F2753">
        <v>159488019</v>
      </c>
      <c r="G2753">
        <v>91382239</v>
      </c>
      <c r="H2753">
        <v>77133926</v>
      </c>
      <c r="I2753">
        <v>70819327</v>
      </c>
      <c r="P2753">
        <v>208</v>
      </c>
      <c r="Q2753" t="s">
        <v>5842</v>
      </c>
    </row>
    <row r="2754" spans="1:17" x14ac:dyDescent="0.3">
      <c r="A2754" t="s">
        <v>4729</v>
      </c>
      <c r="B2754" t="str">
        <f>"002027"</f>
        <v>002027</v>
      </c>
      <c r="C2754" t="s">
        <v>5843</v>
      </c>
      <c r="D2754" t="s">
        <v>5132</v>
      </c>
      <c r="F2754">
        <v>89308345</v>
      </c>
      <c r="G2754">
        <v>102544616</v>
      </c>
      <c r="H2754">
        <v>147971437</v>
      </c>
      <c r="I2754">
        <v>228938371</v>
      </c>
      <c r="P2754">
        <v>5234</v>
      </c>
      <c r="Q2754" t="s">
        <v>5844</v>
      </c>
    </row>
    <row r="2755" spans="1:17" x14ac:dyDescent="0.3">
      <c r="A2755" t="s">
        <v>4729</v>
      </c>
      <c r="B2755" t="str">
        <f>"002028"</f>
        <v>002028</v>
      </c>
      <c r="C2755" t="s">
        <v>5845</v>
      </c>
      <c r="D2755" t="s">
        <v>210</v>
      </c>
      <c r="F2755">
        <v>556296819</v>
      </c>
      <c r="G2755">
        <v>425371184</v>
      </c>
      <c r="H2755">
        <v>387060439</v>
      </c>
      <c r="I2755">
        <v>345312964</v>
      </c>
      <c r="P2755">
        <v>603</v>
      </c>
      <c r="Q2755" t="s">
        <v>5846</v>
      </c>
    </row>
    <row r="2756" spans="1:17" x14ac:dyDescent="0.3">
      <c r="A2756" t="s">
        <v>4729</v>
      </c>
      <c r="B2756" t="str">
        <f>"002029"</f>
        <v>002029</v>
      </c>
      <c r="C2756" t="s">
        <v>5847</v>
      </c>
      <c r="D2756" t="s">
        <v>255</v>
      </c>
      <c r="F2756">
        <v>77743444</v>
      </c>
      <c r="G2756">
        <v>58084419</v>
      </c>
      <c r="H2756">
        <v>55196874</v>
      </c>
      <c r="I2756">
        <v>46728260</v>
      </c>
      <c r="P2756">
        <v>219</v>
      </c>
      <c r="Q2756" t="s">
        <v>5848</v>
      </c>
    </row>
    <row r="2757" spans="1:17" x14ac:dyDescent="0.3">
      <c r="A2757" t="s">
        <v>4729</v>
      </c>
      <c r="B2757" t="str">
        <f>"002030"</f>
        <v>002030</v>
      </c>
      <c r="C2757" t="s">
        <v>5849</v>
      </c>
      <c r="D2757" t="s">
        <v>1305</v>
      </c>
      <c r="F2757">
        <v>508802181</v>
      </c>
      <c r="G2757">
        <v>166946920</v>
      </c>
      <c r="H2757">
        <v>94913893</v>
      </c>
      <c r="I2757">
        <v>86127998</v>
      </c>
      <c r="P2757">
        <v>1177</v>
      </c>
      <c r="Q2757" t="s">
        <v>5850</v>
      </c>
    </row>
    <row r="2758" spans="1:17" x14ac:dyDescent="0.3">
      <c r="A2758" t="s">
        <v>4729</v>
      </c>
      <c r="B2758" t="str">
        <f>"002031"</f>
        <v>002031</v>
      </c>
      <c r="C2758" t="s">
        <v>5851</v>
      </c>
      <c r="D2758" t="s">
        <v>741</v>
      </c>
      <c r="F2758">
        <v>82157694</v>
      </c>
      <c r="G2758">
        <v>68638387</v>
      </c>
      <c r="H2758">
        <v>78109627</v>
      </c>
      <c r="I2758">
        <v>71354414</v>
      </c>
      <c r="P2758">
        <v>137</v>
      </c>
      <c r="Q2758" t="s">
        <v>5852</v>
      </c>
    </row>
    <row r="2759" spans="1:17" x14ac:dyDescent="0.3">
      <c r="A2759" t="s">
        <v>4729</v>
      </c>
      <c r="B2759" t="str">
        <f>"002032"</f>
        <v>002032</v>
      </c>
      <c r="C2759" t="s">
        <v>5853</v>
      </c>
      <c r="D2759" t="s">
        <v>5799</v>
      </c>
      <c r="F2759">
        <v>450110511</v>
      </c>
      <c r="G2759">
        <v>441725805</v>
      </c>
      <c r="H2759">
        <v>452560911</v>
      </c>
      <c r="I2759">
        <v>402632733</v>
      </c>
      <c r="P2759">
        <v>52890</v>
      </c>
      <c r="Q2759" t="s">
        <v>5854</v>
      </c>
    </row>
    <row r="2760" spans="1:17" x14ac:dyDescent="0.3">
      <c r="A2760" t="s">
        <v>4729</v>
      </c>
      <c r="B2760" t="str">
        <f>"002033"</f>
        <v>002033</v>
      </c>
      <c r="C2760" t="s">
        <v>5855</v>
      </c>
      <c r="D2760" t="s">
        <v>119</v>
      </c>
      <c r="F2760">
        <v>0</v>
      </c>
      <c r="G2760">
        <v>0</v>
      </c>
      <c r="P2760">
        <v>278</v>
      </c>
      <c r="Q2760" t="s">
        <v>5856</v>
      </c>
    </row>
    <row r="2761" spans="1:17" x14ac:dyDescent="0.3">
      <c r="A2761" t="s">
        <v>4729</v>
      </c>
      <c r="B2761" t="str">
        <f>"002034"</f>
        <v>002034</v>
      </c>
      <c r="C2761" t="s">
        <v>5857</v>
      </c>
      <c r="D2761" t="s">
        <v>499</v>
      </c>
      <c r="F2761">
        <v>56411856</v>
      </c>
      <c r="G2761">
        <v>40964437</v>
      </c>
      <c r="H2761">
        <v>38367005</v>
      </c>
      <c r="I2761">
        <v>32156188</v>
      </c>
      <c r="P2761">
        <v>246</v>
      </c>
      <c r="Q2761" t="s">
        <v>5858</v>
      </c>
    </row>
    <row r="2762" spans="1:17" x14ac:dyDescent="0.3">
      <c r="A2762" t="s">
        <v>4729</v>
      </c>
      <c r="B2762" t="str">
        <f>"002035"</f>
        <v>002035</v>
      </c>
      <c r="C2762" t="s">
        <v>5859</v>
      </c>
      <c r="D2762" t="s">
        <v>3707</v>
      </c>
      <c r="F2762">
        <v>243555672</v>
      </c>
      <c r="G2762">
        <v>220099215</v>
      </c>
      <c r="H2762">
        <v>237166380</v>
      </c>
      <c r="I2762">
        <v>223619083</v>
      </c>
      <c r="P2762">
        <v>1344</v>
      </c>
      <c r="Q2762" t="s">
        <v>5860</v>
      </c>
    </row>
    <row r="2763" spans="1:17" x14ac:dyDescent="0.3">
      <c r="A2763" t="s">
        <v>4729</v>
      </c>
      <c r="B2763" t="str">
        <f>"002036"</f>
        <v>002036</v>
      </c>
      <c r="C2763" t="s">
        <v>5861</v>
      </c>
      <c r="D2763" t="s">
        <v>164</v>
      </c>
      <c r="F2763">
        <v>387481316</v>
      </c>
      <c r="G2763">
        <v>246382198</v>
      </c>
      <c r="H2763">
        <v>218677439</v>
      </c>
      <c r="I2763">
        <v>134699745</v>
      </c>
      <c r="P2763">
        <v>548</v>
      </c>
      <c r="Q2763" t="s">
        <v>5862</v>
      </c>
    </row>
    <row r="2764" spans="1:17" x14ac:dyDescent="0.3">
      <c r="A2764" t="s">
        <v>4729</v>
      </c>
      <c r="B2764" t="str">
        <f>"002037"</f>
        <v>002037</v>
      </c>
      <c r="C2764" t="s">
        <v>5863</v>
      </c>
      <c r="D2764" t="s">
        <v>2736</v>
      </c>
      <c r="F2764">
        <v>103609140</v>
      </c>
      <c r="G2764">
        <v>107981695</v>
      </c>
      <c r="H2764">
        <v>54898773</v>
      </c>
      <c r="I2764">
        <v>15745979</v>
      </c>
      <c r="P2764">
        <v>81</v>
      </c>
      <c r="Q2764" t="s">
        <v>5864</v>
      </c>
    </row>
    <row r="2765" spans="1:17" x14ac:dyDescent="0.3">
      <c r="A2765" t="s">
        <v>4729</v>
      </c>
      <c r="B2765" t="str">
        <f>"002038"</f>
        <v>002038</v>
      </c>
      <c r="C2765" t="s">
        <v>5865</v>
      </c>
      <c r="D2765" t="s">
        <v>1379</v>
      </c>
      <c r="F2765">
        <v>196147117</v>
      </c>
      <c r="G2765">
        <v>188641495</v>
      </c>
      <c r="H2765">
        <v>128352884</v>
      </c>
      <c r="I2765">
        <v>72894272</v>
      </c>
      <c r="P2765">
        <v>5165</v>
      </c>
      <c r="Q2765" t="s">
        <v>5866</v>
      </c>
    </row>
    <row r="2766" spans="1:17" x14ac:dyDescent="0.3">
      <c r="A2766" t="s">
        <v>4729</v>
      </c>
      <c r="B2766" t="str">
        <f>"002039"</f>
        <v>002039</v>
      </c>
      <c r="C2766" t="s">
        <v>5867</v>
      </c>
      <c r="D2766" t="s">
        <v>66</v>
      </c>
      <c r="F2766">
        <v>0</v>
      </c>
      <c r="G2766">
        <v>0</v>
      </c>
      <c r="P2766">
        <v>431</v>
      </c>
      <c r="Q2766" t="s">
        <v>5868</v>
      </c>
    </row>
    <row r="2767" spans="1:17" x14ac:dyDescent="0.3">
      <c r="A2767" t="s">
        <v>4729</v>
      </c>
      <c r="B2767" t="str">
        <f>"002040"</f>
        <v>002040</v>
      </c>
      <c r="C2767" t="s">
        <v>5869</v>
      </c>
      <c r="D2767" t="s">
        <v>51</v>
      </c>
      <c r="F2767">
        <v>7412720</v>
      </c>
      <c r="G2767">
        <v>0</v>
      </c>
      <c r="P2767">
        <v>100</v>
      </c>
      <c r="Q2767" t="s">
        <v>5870</v>
      </c>
    </row>
    <row r="2768" spans="1:17" x14ac:dyDescent="0.3">
      <c r="A2768" t="s">
        <v>4729</v>
      </c>
      <c r="B2768" t="str">
        <f>"002041"</f>
        <v>002041</v>
      </c>
      <c r="C2768" t="s">
        <v>5871</v>
      </c>
      <c r="D2768" t="s">
        <v>706</v>
      </c>
      <c r="F2768">
        <v>67718523</v>
      </c>
      <c r="G2768">
        <v>70567388</v>
      </c>
      <c r="H2768">
        <v>78414984</v>
      </c>
      <c r="I2768">
        <v>51891139</v>
      </c>
      <c r="P2768">
        <v>446</v>
      </c>
      <c r="Q2768" t="s">
        <v>5872</v>
      </c>
    </row>
    <row r="2769" spans="1:17" x14ac:dyDescent="0.3">
      <c r="A2769" t="s">
        <v>4729</v>
      </c>
      <c r="B2769" t="str">
        <f>"002042"</f>
        <v>002042</v>
      </c>
      <c r="C2769" t="s">
        <v>5873</v>
      </c>
      <c r="D2769" t="s">
        <v>1009</v>
      </c>
      <c r="F2769">
        <v>131561242</v>
      </c>
      <c r="G2769">
        <v>113121988</v>
      </c>
      <c r="H2769">
        <v>102547988</v>
      </c>
      <c r="I2769">
        <v>101118213</v>
      </c>
      <c r="P2769">
        <v>196</v>
      </c>
      <c r="Q2769" t="s">
        <v>5874</v>
      </c>
    </row>
    <row r="2770" spans="1:17" x14ac:dyDescent="0.3">
      <c r="A2770" t="s">
        <v>4729</v>
      </c>
      <c r="B2770" t="str">
        <f>"002043"</f>
        <v>002043</v>
      </c>
      <c r="C2770" t="s">
        <v>5875</v>
      </c>
      <c r="D2770" t="s">
        <v>722</v>
      </c>
      <c r="F2770">
        <v>70654310</v>
      </c>
      <c r="G2770">
        <v>58776684</v>
      </c>
      <c r="H2770">
        <v>51699602</v>
      </c>
      <c r="I2770">
        <v>53898237</v>
      </c>
      <c r="P2770">
        <v>667</v>
      </c>
      <c r="Q2770" t="s">
        <v>5876</v>
      </c>
    </row>
    <row r="2771" spans="1:17" x14ac:dyDescent="0.3">
      <c r="A2771" t="s">
        <v>4729</v>
      </c>
      <c r="B2771" t="str">
        <f>"002044"</f>
        <v>002044</v>
      </c>
      <c r="C2771" t="s">
        <v>5877</v>
      </c>
      <c r="D2771" t="s">
        <v>1147</v>
      </c>
      <c r="F2771">
        <v>60221092</v>
      </c>
      <c r="G2771">
        <v>45913450</v>
      </c>
      <c r="H2771">
        <v>46645752</v>
      </c>
      <c r="I2771">
        <v>37797628</v>
      </c>
      <c r="P2771">
        <v>1237</v>
      </c>
      <c r="Q2771" t="s">
        <v>5878</v>
      </c>
    </row>
    <row r="2772" spans="1:17" x14ac:dyDescent="0.3">
      <c r="A2772" t="s">
        <v>4729</v>
      </c>
      <c r="B2772" t="str">
        <f>"002045"</f>
        <v>002045</v>
      </c>
      <c r="C2772" t="s">
        <v>5879</v>
      </c>
      <c r="D2772" t="s">
        <v>3526</v>
      </c>
      <c r="F2772">
        <v>252387263</v>
      </c>
      <c r="G2772">
        <v>205758790</v>
      </c>
      <c r="H2772">
        <v>189707024</v>
      </c>
      <c r="I2772">
        <v>206941395</v>
      </c>
      <c r="P2772">
        <v>216</v>
      </c>
      <c r="Q2772" t="s">
        <v>5880</v>
      </c>
    </row>
    <row r="2773" spans="1:17" x14ac:dyDescent="0.3">
      <c r="A2773" t="s">
        <v>4729</v>
      </c>
      <c r="B2773" t="str">
        <f>"002046"</f>
        <v>002046</v>
      </c>
      <c r="C2773" t="s">
        <v>5881</v>
      </c>
      <c r="D2773" t="s">
        <v>274</v>
      </c>
      <c r="F2773">
        <v>161166697</v>
      </c>
      <c r="G2773">
        <v>106373344</v>
      </c>
      <c r="H2773">
        <v>93971658</v>
      </c>
      <c r="I2773">
        <v>73093530</v>
      </c>
      <c r="P2773">
        <v>148</v>
      </c>
      <c r="Q2773" t="s">
        <v>5882</v>
      </c>
    </row>
    <row r="2774" spans="1:17" x14ac:dyDescent="0.3">
      <c r="A2774" t="s">
        <v>4729</v>
      </c>
      <c r="B2774" t="str">
        <f>"002047"</f>
        <v>002047</v>
      </c>
      <c r="C2774" t="s">
        <v>5883</v>
      </c>
      <c r="D2774" t="s">
        <v>450</v>
      </c>
      <c r="F2774">
        <v>146058768</v>
      </c>
      <c r="G2774">
        <v>189600312</v>
      </c>
      <c r="H2774">
        <v>209912328</v>
      </c>
      <c r="I2774">
        <v>206891372</v>
      </c>
      <c r="P2774">
        <v>103</v>
      </c>
      <c r="Q2774" t="s">
        <v>5884</v>
      </c>
    </row>
    <row r="2775" spans="1:17" x14ac:dyDescent="0.3">
      <c r="A2775" t="s">
        <v>4729</v>
      </c>
      <c r="B2775" t="str">
        <f>"002048"</f>
        <v>002048</v>
      </c>
      <c r="C2775" t="s">
        <v>5885</v>
      </c>
      <c r="D2775" t="s">
        <v>191</v>
      </c>
      <c r="F2775">
        <v>640423916</v>
      </c>
      <c r="G2775">
        <v>528062433</v>
      </c>
      <c r="H2775">
        <v>569205172</v>
      </c>
      <c r="I2775">
        <v>517509144</v>
      </c>
      <c r="P2775">
        <v>645</v>
      </c>
      <c r="Q2775" t="s">
        <v>5886</v>
      </c>
    </row>
    <row r="2776" spans="1:17" x14ac:dyDescent="0.3">
      <c r="A2776" t="s">
        <v>4729</v>
      </c>
      <c r="B2776" t="str">
        <f>"002049"</f>
        <v>002049</v>
      </c>
      <c r="C2776" t="s">
        <v>5887</v>
      </c>
      <c r="D2776" t="s">
        <v>461</v>
      </c>
      <c r="F2776">
        <v>632197150</v>
      </c>
      <c r="G2776">
        <v>346876645</v>
      </c>
      <c r="H2776">
        <v>201839340</v>
      </c>
      <c r="I2776">
        <v>129220767</v>
      </c>
      <c r="P2776">
        <v>4605</v>
      </c>
      <c r="Q2776" t="s">
        <v>5888</v>
      </c>
    </row>
    <row r="2777" spans="1:17" x14ac:dyDescent="0.3">
      <c r="A2777" t="s">
        <v>4729</v>
      </c>
      <c r="B2777" t="str">
        <f>"002050"</f>
        <v>002050</v>
      </c>
      <c r="C2777" t="s">
        <v>5889</v>
      </c>
      <c r="D2777" t="s">
        <v>1253</v>
      </c>
      <c r="F2777">
        <v>751138559</v>
      </c>
      <c r="G2777">
        <v>518401364</v>
      </c>
      <c r="H2777">
        <v>532012336</v>
      </c>
      <c r="I2777">
        <v>437166918</v>
      </c>
      <c r="P2777">
        <v>2041</v>
      </c>
      <c r="Q2777" t="s">
        <v>5890</v>
      </c>
    </row>
    <row r="2778" spans="1:17" x14ac:dyDescent="0.3">
      <c r="A2778" t="s">
        <v>4729</v>
      </c>
      <c r="B2778" t="str">
        <f>"002051"</f>
        <v>002051</v>
      </c>
      <c r="C2778" t="s">
        <v>5891</v>
      </c>
      <c r="D2778" t="s">
        <v>1893</v>
      </c>
      <c r="F2778">
        <v>292881091</v>
      </c>
      <c r="G2778">
        <v>279636774</v>
      </c>
      <c r="H2778">
        <v>316147771</v>
      </c>
      <c r="I2778">
        <v>167727924</v>
      </c>
      <c r="P2778">
        <v>556</v>
      </c>
      <c r="Q2778" t="s">
        <v>5892</v>
      </c>
    </row>
    <row r="2779" spans="1:17" x14ac:dyDescent="0.3">
      <c r="A2779" t="s">
        <v>4729</v>
      </c>
      <c r="B2779" t="str">
        <f>"002052"</f>
        <v>002052</v>
      </c>
      <c r="C2779" t="s">
        <v>5893</v>
      </c>
      <c r="D2779" t="s">
        <v>4467</v>
      </c>
      <c r="F2779">
        <v>33331512</v>
      </c>
      <c r="G2779">
        <v>40361612</v>
      </c>
      <c r="H2779">
        <v>74512842</v>
      </c>
      <c r="I2779">
        <v>64063046</v>
      </c>
      <c r="P2779">
        <v>76</v>
      </c>
      <c r="Q2779" t="s">
        <v>5894</v>
      </c>
    </row>
    <row r="2780" spans="1:17" x14ac:dyDescent="0.3">
      <c r="A2780" t="s">
        <v>4729</v>
      </c>
      <c r="B2780" t="str">
        <f>"002053"</f>
        <v>002053</v>
      </c>
      <c r="C2780" t="s">
        <v>5895</v>
      </c>
      <c r="D2780" t="s">
        <v>736</v>
      </c>
      <c r="F2780">
        <v>5823097</v>
      </c>
      <c r="G2780">
        <v>11284582</v>
      </c>
      <c r="H2780">
        <v>9068433</v>
      </c>
      <c r="I2780">
        <v>2308241</v>
      </c>
      <c r="P2780">
        <v>107</v>
      </c>
      <c r="Q2780" t="s">
        <v>5896</v>
      </c>
    </row>
    <row r="2781" spans="1:17" x14ac:dyDescent="0.3">
      <c r="A2781" t="s">
        <v>4729</v>
      </c>
      <c r="B2781" t="str">
        <f>"002054"</f>
        <v>002054</v>
      </c>
      <c r="C2781" t="s">
        <v>5897</v>
      </c>
      <c r="D2781" t="s">
        <v>779</v>
      </c>
      <c r="F2781">
        <v>102531144</v>
      </c>
      <c r="G2781">
        <v>88926922</v>
      </c>
      <c r="H2781">
        <v>88940249</v>
      </c>
      <c r="I2781">
        <v>89516211</v>
      </c>
      <c r="P2781">
        <v>110</v>
      </c>
      <c r="Q2781" t="s">
        <v>5898</v>
      </c>
    </row>
    <row r="2782" spans="1:17" x14ac:dyDescent="0.3">
      <c r="A2782" t="s">
        <v>4729</v>
      </c>
      <c r="B2782" t="str">
        <f>"002055"</f>
        <v>002055</v>
      </c>
      <c r="C2782" t="s">
        <v>5899</v>
      </c>
      <c r="D2782" t="s">
        <v>313</v>
      </c>
      <c r="F2782">
        <v>314820120</v>
      </c>
      <c r="G2782">
        <v>345404598</v>
      </c>
      <c r="H2782">
        <v>285961714</v>
      </c>
      <c r="I2782">
        <v>186766469</v>
      </c>
      <c r="P2782">
        <v>245</v>
      </c>
      <c r="Q2782" t="s">
        <v>5900</v>
      </c>
    </row>
    <row r="2783" spans="1:17" x14ac:dyDescent="0.3">
      <c r="A2783" t="s">
        <v>4729</v>
      </c>
      <c r="B2783" t="str">
        <f>"002056"</f>
        <v>002056</v>
      </c>
      <c r="C2783" t="s">
        <v>5901</v>
      </c>
      <c r="D2783" t="s">
        <v>808</v>
      </c>
      <c r="F2783">
        <v>603296709</v>
      </c>
      <c r="G2783">
        <v>390030685</v>
      </c>
      <c r="H2783">
        <v>295598805</v>
      </c>
      <c r="I2783">
        <v>311495246</v>
      </c>
      <c r="P2783">
        <v>781</v>
      </c>
      <c r="Q2783" t="s">
        <v>5902</v>
      </c>
    </row>
    <row r="2784" spans="1:17" x14ac:dyDescent="0.3">
      <c r="A2784" t="s">
        <v>4729</v>
      </c>
      <c r="B2784" t="str">
        <f>"002057"</f>
        <v>002057</v>
      </c>
      <c r="C2784" t="s">
        <v>5903</v>
      </c>
      <c r="D2784" t="s">
        <v>808</v>
      </c>
      <c r="F2784">
        <v>153958651</v>
      </c>
      <c r="G2784">
        <v>95077921</v>
      </c>
      <c r="H2784">
        <v>71357235</v>
      </c>
      <c r="I2784">
        <v>63502819</v>
      </c>
      <c r="P2784">
        <v>126</v>
      </c>
      <c r="Q2784" t="s">
        <v>5904</v>
      </c>
    </row>
    <row r="2785" spans="1:17" x14ac:dyDescent="0.3">
      <c r="A2785" t="s">
        <v>4729</v>
      </c>
      <c r="B2785" t="str">
        <f>"002058"</f>
        <v>002058</v>
      </c>
      <c r="C2785" t="s">
        <v>5905</v>
      </c>
      <c r="D2785" t="s">
        <v>2180</v>
      </c>
      <c r="F2785">
        <v>9757373</v>
      </c>
      <c r="G2785">
        <v>1265664</v>
      </c>
      <c r="H2785">
        <v>3279941</v>
      </c>
      <c r="I2785">
        <v>3620305</v>
      </c>
      <c r="P2785">
        <v>55</v>
      </c>
      <c r="Q2785" t="s">
        <v>5906</v>
      </c>
    </row>
    <row r="2786" spans="1:17" x14ac:dyDescent="0.3">
      <c r="A2786" t="s">
        <v>4729</v>
      </c>
      <c r="B2786" t="str">
        <f>"002059"</f>
        <v>002059</v>
      </c>
      <c r="C2786" t="s">
        <v>5907</v>
      </c>
      <c r="D2786" t="s">
        <v>333</v>
      </c>
      <c r="F2786">
        <v>49804071</v>
      </c>
      <c r="G2786">
        <v>36637444</v>
      </c>
      <c r="H2786">
        <v>36655782</v>
      </c>
      <c r="P2786">
        <v>160</v>
      </c>
      <c r="Q2786" t="s">
        <v>5908</v>
      </c>
    </row>
    <row r="2787" spans="1:17" x14ac:dyDescent="0.3">
      <c r="A2787" t="s">
        <v>4729</v>
      </c>
      <c r="B2787" t="str">
        <f>"002060"</f>
        <v>002060</v>
      </c>
      <c r="C2787" t="s">
        <v>5909</v>
      </c>
      <c r="D2787" t="s">
        <v>101</v>
      </c>
      <c r="F2787">
        <v>129154804</v>
      </c>
      <c r="G2787">
        <v>100511592</v>
      </c>
      <c r="H2787">
        <v>34906917</v>
      </c>
      <c r="I2787">
        <v>9777086</v>
      </c>
      <c r="P2787">
        <v>169</v>
      </c>
      <c r="Q2787" t="s">
        <v>5910</v>
      </c>
    </row>
    <row r="2788" spans="1:17" x14ac:dyDescent="0.3">
      <c r="A2788" t="s">
        <v>4729</v>
      </c>
      <c r="B2788" t="str">
        <f>"002061"</f>
        <v>002061</v>
      </c>
      <c r="C2788" t="s">
        <v>5911</v>
      </c>
      <c r="D2788" t="s">
        <v>101</v>
      </c>
      <c r="F2788">
        <v>1159099155</v>
      </c>
      <c r="G2788">
        <v>807873337</v>
      </c>
      <c r="H2788">
        <v>381976720</v>
      </c>
      <c r="I2788">
        <v>300389663</v>
      </c>
      <c r="P2788">
        <v>215</v>
      </c>
      <c r="Q2788" t="s">
        <v>5912</v>
      </c>
    </row>
    <row r="2789" spans="1:17" x14ac:dyDescent="0.3">
      <c r="A2789" t="s">
        <v>4729</v>
      </c>
      <c r="B2789" t="str">
        <f>"002062"</f>
        <v>002062</v>
      </c>
      <c r="C2789" t="s">
        <v>5913</v>
      </c>
      <c r="D2789" t="s">
        <v>101</v>
      </c>
      <c r="F2789">
        <v>339269364</v>
      </c>
      <c r="G2789">
        <v>339340979</v>
      </c>
      <c r="H2789">
        <v>331896964</v>
      </c>
      <c r="I2789">
        <v>280952515</v>
      </c>
      <c r="P2789">
        <v>145</v>
      </c>
      <c r="Q2789" t="s">
        <v>5914</v>
      </c>
    </row>
    <row r="2790" spans="1:17" x14ac:dyDescent="0.3">
      <c r="A2790" t="s">
        <v>4729</v>
      </c>
      <c r="B2790" t="str">
        <f>"002063"</f>
        <v>002063</v>
      </c>
      <c r="C2790" t="s">
        <v>5915</v>
      </c>
      <c r="D2790" t="s">
        <v>945</v>
      </c>
      <c r="F2790">
        <v>418589623</v>
      </c>
      <c r="G2790">
        <v>354137608</v>
      </c>
      <c r="H2790">
        <v>308964473</v>
      </c>
      <c r="I2790">
        <v>258859298</v>
      </c>
      <c r="P2790">
        <v>489</v>
      </c>
      <c r="Q2790" t="s">
        <v>5916</v>
      </c>
    </row>
    <row r="2791" spans="1:17" x14ac:dyDescent="0.3">
      <c r="A2791" t="s">
        <v>4729</v>
      </c>
      <c r="B2791" t="str">
        <f>"002064"</f>
        <v>002064</v>
      </c>
      <c r="C2791" t="s">
        <v>5917</v>
      </c>
      <c r="D2791" t="s">
        <v>5631</v>
      </c>
      <c r="F2791">
        <v>1025694484</v>
      </c>
      <c r="G2791">
        <v>509531438</v>
      </c>
      <c r="H2791">
        <v>530095847</v>
      </c>
      <c r="I2791">
        <v>170397674</v>
      </c>
      <c r="P2791">
        <v>686</v>
      </c>
      <c r="Q2791" t="s">
        <v>5918</v>
      </c>
    </row>
    <row r="2792" spans="1:17" x14ac:dyDescent="0.3">
      <c r="A2792" t="s">
        <v>4729</v>
      </c>
      <c r="B2792" t="str">
        <f>"002065"</f>
        <v>002065</v>
      </c>
      <c r="C2792" t="s">
        <v>5919</v>
      </c>
      <c r="D2792" t="s">
        <v>316</v>
      </c>
      <c r="F2792">
        <v>728182157</v>
      </c>
      <c r="G2792">
        <v>635121949</v>
      </c>
      <c r="H2792">
        <v>596502193</v>
      </c>
      <c r="I2792">
        <v>416928963</v>
      </c>
      <c r="P2792">
        <v>942</v>
      </c>
      <c r="Q2792" t="s">
        <v>5920</v>
      </c>
    </row>
    <row r="2793" spans="1:17" x14ac:dyDescent="0.3">
      <c r="A2793" t="s">
        <v>4729</v>
      </c>
      <c r="B2793" t="str">
        <f>"002066"</f>
        <v>002066</v>
      </c>
      <c r="C2793" t="s">
        <v>5921</v>
      </c>
      <c r="D2793" t="s">
        <v>5922</v>
      </c>
      <c r="F2793">
        <v>175347054</v>
      </c>
      <c r="G2793">
        <v>137227262</v>
      </c>
      <c r="H2793">
        <v>137138401</v>
      </c>
      <c r="I2793">
        <v>119572492</v>
      </c>
      <c r="P2793">
        <v>74</v>
      </c>
      <c r="Q2793" t="s">
        <v>5923</v>
      </c>
    </row>
    <row r="2794" spans="1:17" x14ac:dyDescent="0.3">
      <c r="A2794" t="s">
        <v>4729</v>
      </c>
      <c r="B2794" t="str">
        <f>"002067"</f>
        <v>002067</v>
      </c>
      <c r="C2794" t="s">
        <v>5924</v>
      </c>
      <c r="D2794" t="s">
        <v>694</v>
      </c>
      <c r="F2794">
        <v>236540181</v>
      </c>
      <c r="G2794">
        <v>171374153</v>
      </c>
      <c r="H2794">
        <v>175844458</v>
      </c>
      <c r="I2794">
        <v>206025375</v>
      </c>
      <c r="P2794">
        <v>173</v>
      </c>
      <c r="Q2794" t="s">
        <v>5925</v>
      </c>
    </row>
    <row r="2795" spans="1:17" x14ac:dyDescent="0.3">
      <c r="A2795" t="s">
        <v>4729</v>
      </c>
      <c r="B2795" t="str">
        <f>"002068"</f>
        <v>002068</v>
      </c>
      <c r="C2795" t="s">
        <v>5926</v>
      </c>
      <c r="D2795" t="s">
        <v>3646</v>
      </c>
      <c r="F2795">
        <v>4671192</v>
      </c>
      <c r="G2795">
        <v>5645354</v>
      </c>
      <c r="H2795">
        <v>4016076</v>
      </c>
      <c r="P2795">
        <v>300</v>
      </c>
      <c r="Q2795" t="s">
        <v>5927</v>
      </c>
    </row>
    <row r="2796" spans="1:17" x14ac:dyDescent="0.3">
      <c r="A2796" t="s">
        <v>4729</v>
      </c>
      <c r="B2796" t="str">
        <f>"002069"</f>
        <v>002069</v>
      </c>
      <c r="C2796" t="s">
        <v>5928</v>
      </c>
      <c r="D2796" t="s">
        <v>587</v>
      </c>
      <c r="F2796">
        <v>18100622</v>
      </c>
      <c r="G2796">
        <v>17175349</v>
      </c>
      <c r="H2796">
        <v>3735816</v>
      </c>
      <c r="I2796">
        <v>4020431</v>
      </c>
      <c r="P2796">
        <v>406</v>
      </c>
      <c r="Q2796" t="s">
        <v>5929</v>
      </c>
    </row>
    <row r="2797" spans="1:17" x14ac:dyDescent="0.3">
      <c r="A2797" t="s">
        <v>4729</v>
      </c>
      <c r="B2797" t="str">
        <f>"002070"</f>
        <v>002070</v>
      </c>
      <c r="C2797" t="s">
        <v>5930</v>
      </c>
      <c r="I2797">
        <v>14494705</v>
      </c>
      <c r="P2797">
        <v>27</v>
      </c>
      <c r="Q2797" t="s">
        <v>5931</v>
      </c>
    </row>
    <row r="2798" spans="1:17" x14ac:dyDescent="0.3">
      <c r="A2798" t="s">
        <v>4729</v>
      </c>
      <c r="B2798" t="str">
        <f>"002071"</f>
        <v>002071</v>
      </c>
      <c r="C2798" t="s">
        <v>5932</v>
      </c>
      <c r="G2798">
        <v>0</v>
      </c>
      <c r="H2798">
        <v>0</v>
      </c>
      <c r="I2798">
        <v>0</v>
      </c>
      <c r="P2798">
        <v>97</v>
      </c>
      <c r="Q2798" t="s">
        <v>5933</v>
      </c>
    </row>
    <row r="2799" spans="1:17" x14ac:dyDescent="0.3">
      <c r="A2799" t="s">
        <v>4729</v>
      </c>
      <c r="B2799" t="str">
        <f>"002072"</f>
        <v>002072</v>
      </c>
      <c r="C2799" t="s">
        <v>5934</v>
      </c>
      <c r="D2799" t="s">
        <v>110</v>
      </c>
      <c r="F2799">
        <v>0</v>
      </c>
      <c r="G2799">
        <v>0</v>
      </c>
      <c r="H2799">
        <v>238265</v>
      </c>
      <c r="I2799">
        <v>1429371</v>
      </c>
      <c r="P2799">
        <v>64</v>
      </c>
      <c r="Q2799" t="s">
        <v>5935</v>
      </c>
    </row>
    <row r="2800" spans="1:17" x14ac:dyDescent="0.3">
      <c r="A2800" t="s">
        <v>4729</v>
      </c>
      <c r="B2800" t="str">
        <f>"002073"</f>
        <v>002073</v>
      </c>
      <c r="C2800" t="s">
        <v>5936</v>
      </c>
      <c r="D2800" t="s">
        <v>741</v>
      </c>
      <c r="F2800">
        <v>221031261</v>
      </c>
      <c r="G2800">
        <v>152879283</v>
      </c>
      <c r="H2800">
        <v>155246714</v>
      </c>
      <c r="I2800">
        <v>156597740</v>
      </c>
      <c r="P2800">
        <v>150</v>
      </c>
      <c r="Q2800" t="s">
        <v>5937</v>
      </c>
    </row>
    <row r="2801" spans="1:17" x14ac:dyDescent="0.3">
      <c r="A2801" t="s">
        <v>4729</v>
      </c>
      <c r="B2801" t="str">
        <f>"002074"</f>
        <v>002074</v>
      </c>
      <c r="C2801" t="s">
        <v>5938</v>
      </c>
      <c r="D2801" t="s">
        <v>359</v>
      </c>
      <c r="F2801">
        <v>644197062</v>
      </c>
      <c r="G2801">
        <v>498513897</v>
      </c>
      <c r="H2801">
        <v>437287887</v>
      </c>
      <c r="I2801">
        <v>347477252</v>
      </c>
      <c r="P2801">
        <v>1003</v>
      </c>
      <c r="Q2801" t="s">
        <v>5939</v>
      </c>
    </row>
    <row r="2802" spans="1:17" x14ac:dyDescent="0.3">
      <c r="A2802" t="s">
        <v>4729</v>
      </c>
      <c r="B2802" t="str">
        <f>"002075"</f>
        <v>002075</v>
      </c>
      <c r="C2802" t="s">
        <v>5940</v>
      </c>
      <c r="D2802" t="s">
        <v>281</v>
      </c>
      <c r="F2802">
        <v>545943579</v>
      </c>
      <c r="G2802">
        <v>165360430</v>
      </c>
      <c r="H2802">
        <v>60098466</v>
      </c>
      <c r="I2802">
        <v>57130195</v>
      </c>
      <c r="P2802">
        <v>281</v>
      </c>
      <c r="Q2802" t="s">
        <v>5941</v>
      </c>
    </row>
    <row r="2803" spans="1:17" x14ac:dyDescent="0.3">
      <c r="A2803" t="s">
        <v>4729</v>
      </c>
      <c r="B2803" t="str">
        <f>"002076"</f>
        <v>002076</v>
      </c>
      <c r="C2803" t="s">
        <v>5942</v>
      </c>
      <c r="D2803" t="s">
        <v>598</v>
      </c>
      <c r="F2803">
        <v>12969930</v>
      </c>
      <c r="G2803">
        <v>17737145</v>
      </c>
      <c r="H2803">
        <v>27503107</v>
      </c>
      <c r="I2803">
        <v>41239520</v>
      </c>
      <c r="P2803">
        <v>100</v>
      </c>
      <c r="Q2803" t="s">
        <v>5943</v>
      </c>
    </row>
    <row r="2804" spans="1:17" x14ac:dyDescent="0.3">
      <c r="A2804" t="s">
        <v>4729</v>
      </c>
      <c r="B2804" t="str">
        <f>"002077"</f>
        <v>002077</v>
      </c>
      <c r="C2804" t="s">
        <v>5944</v>
      </c>
      <c r="D2804" t="s">
        <v>1180</v>
      </c>
      <c r="F2804">
        <v>37849546</v>
      </c>
      <c r="G2804">
        <v>36270717</v>
      </c>
      <c r="H2804">
        <v>34193661</v>
      </c>
      <c r="I2804">
        <v>39710450</v>
      </c>
      <c r="P2804">
        <v>125</v>
      </c>
      <c r="Q2804" t="s">
        <v>5945</v>
      </c>
    </row>
    <row r="2805" spans="1:17" x14ac:dyDescent="0.3">
      <c r="A2805" t="s">
        <v>4729</v>
      </c>
      <c r="B2805" t="str">
        <f>"002078"</f>
        <v>002078</v>
      </c>
      <c r="C2805" t="s">
        <v>5946</v>
      </c>
      <c r="D2805" t="s">
        <v>694</v>
      </c>
      <c r="F2805">
        <v>538179746</v>
      </c>
      <c r="G2805">
        <v>410875066</v>
      </c>
      <c r="H2805">
        <v>412229667</v>
      </c>
      <c r="I2805">
        <v>267399730</v>
      </c>
      <c r="P2805">
        <v>1103</v>
      </c>
      <c r="Q2805" t="s">
        <v>5947</v>
      </c>
    </row>
    <row r="2806" spans="1:17" x14ac:dyDescent="0.3">
      <c r="A2806" t="s">
        <v>4729</v>
      </c>
      <c r="B2806" t="str">
        <f>"002079"</f>
        <v>002079</v>
      </c>
      <c r="C2806" t="s">
        <v>5948</v>
      </c>
      <c r="D2806" t="s">
        <v>795</v>
      </c>
      <c r="F2806">
        <v>103424552</v>
      </c>
      <c r="G2806">
        <v>84537386</v>
      </c>
      <c r="H2806">
        <v>81100121</v>
      </c>
      <c r="I2806">
        <v>82865887</v>
      </c>
      <c r="P2806">
        <v>372</v>
      </c>
      <c r="Q2806" t="s">
        <v>5949</v>
      </c>
    </row>
    <row r="2807" spans="1:17" x14ac:dyDescent="0.3">
      <c r="A2807" t="s">
        <v>4729</v>
      </c>
      <c r="B2807" t="str">
        <f>"002080"</f>
        <v>002080</v>
      </c>
      <c r="C2807" t="s">
        <v>5950</v>
      </c>
      <c r="D2807" t="s">
        <v>411</v>
      </c>
      <c r="F2807">
        <v>961486439</v>
      </c>
      <c r="G2807">
        <v>957629005</v>
      </c>
      <c r="H2807">
        <v>514764653</v>
      </c>
      <c r="I2807">
        <v>355973627</v>
      </c>
      <c r="P2807">
        <v>913</v>
      </c>
      <c r="Q2807" t="s">
        <v>5951</v>
      </c>
    </row>
    <row r="2808" spans="1:17" x14ac:dyDescent="0.3">
      <c r="A2808" t="s">
        <v>4729</v>
      </c>
      <c r="B2808" t="str">
        <f>"002081"</f>
        <v>002081</v>
      </c>
      <c r="C2808" t="s">
        <v>5952</v>
      </c>
      <c r="D2808" t="s">
        <v>450</v>
      </c>
      <c r="F2808">
        <v>841017213</v>
      </c>
      <c r="G2808">
        <v>955782334</v>
      </c>
      <c r="H2808">
        <v>879866124</v>
      </c>
      <c r="I2808">
        <v>718421717</v>
      </c>
      <c r="P2808">
        <v>18140</v>
      </c>
      <c r="Q2808" t="s">
        <v>5953</v>
      </c>
    </row>
    <row r="2809" spans="1:17" x14ac:dyDescent="0.3">
      <c r="A2809" t="s">
        <v>4729</v>
      </c>
      <c r="B2809" t="str">
        <f>"002082"</f>
        <v>002082</v>
      </c>
      <c r="C2809" t="s">
        <v>5954</v>
      </c>
      <c r="D2809" t="s">
        <v>504</v>
      </c>
      <c r="F2809">
        <v>76195922</v>
      </c>
      <c r="G2809">
        <v>184891091</v>
      </c>
      <c r="H2809">
        <v>119725206</v>
      </c>
      <c r="I2809">
        <v>99604457</v>
      </c>
      <c r="P2809">
        <v>135</v>
      </c>
      <c r="Q2809" t="s">
        <v>5955</v>
      </c>
    </row>
    <row r="2810" spans="1:17" x14ac:dyDescent="0.3">
      <c r="A2810" t="s">
        <v>4729</v>
      </c>
      <c r="B2810" t="str">
        <f>"002083"</f>
        <v>002083</v>
      </c>
      <c r="C2810" t="s">
        <v>5956</v>
      </c>
      <c r="D2810" t="s">
        <v>1009</v>
      </c>
      <c r="F2810">
        <v>22846546</v>
      </c>
      <c r="G2810">
        <v>11283035</v>
      </c>
      <c r="H2810">
        <v>5812318</v>
      </c>
      <c r="I2810">
        <v>827641</v>
      </c>
      <c r="P2810">
        <v>283</v>
      </c>
      <c r="Q2810" t="s">
        <v>5957</v>
      </c>
    </row>
    <row r="2811" spans="1:17" x14ac:dyDescent="0.3">
      <c r="A2811" t="s">
        <v>4729</v>
      </c>
      <c r="B2811" t="str">
        <f>"002084"</f>
        <v>002084</v>
      </c>
      <c r="C2811" t="s">
        <v>5958</v>
      </c>
      <c r="D2811" t="s">
        <v>2912</v>
      </c>
      <c r="F2811">
        <v>136588290</v>
      </c>
      <c r="G2811">
        <v>112693621</v>
      </c>
      <c r="H2811">
        <v>102112117</v>
      </c>
      <c r="I2811">
        <v>92846218</v>
      </c>
      <c r="P2811">
        <v>148</v>
      </c>
      <c r="Q2811" t="s">
        <v>5959</v>
      </c>
    </row>
    <row r="2812" spans="1:17" x14ac:dyDescent="0.3">
      <c r="A2812" t="s">
        <v>4729</v>
      </c>
      <c r="B2812" t="str">
        <f>"002085"</f>
        <v>002085</v>
      </c>
      <c r="C2812" t="s">
        <v>5960</v>
      </c>
      <c r="D2812" t="s">
        <v>422</v>
      </c>
      <c r="F2812">
        <v>412853240</v>
      </c>
      <c r="G2812">
        <v>337448871</v>
      </c>
      <c r="H2812">
        <v>366793101</v>
      </c>
      <c r="I2812">
        <v>378860363</v>
      </c>
      <c r="P2812">
        <v>1527</v>
      </c>
      <c r="Q2812" t="s">
        <v>5961</v>
      </c>
    </row>
    <row r="2813" spans="1:17" x14ac:dyDescent="0.3">
      <c r="A2813" t="s">
        <v>4729</v>
      </c>
      <c r="B2813" t="str">
        <f>"002086"</f>
        <v>002086</v>
      </c>
      <c r="C2813" t="s">
        <v>5962</v>
      </c>
      <c r="D2813" t="s">
        <v>587</v>
      </c>
      <c r="F2813">
        <v>10160740</v>
      </c>
      <c r="G2813">
        <v>4212313</v>
      </c>
      <c r="H2813">
        <v>8225525</v>
      </c>
      <c r="I2813">
        <v>704238</v>
      </c>
      <c r="P2813">
        <v>70</v>
      </c>
      <c r="Q2813" t="s">
        <v>5963</v>
      </c>
    </row>
    <row r="2814" spans="1:17" x14ac:dyDescent="0.3">
      <c r="A2814" t="s">
        <v>4729</v>
      </c>
      <c r="B2814" t="str">
        <f>"002087"</f>
        <v>002087</v>
      </c>
      <c r="C2814" t="s">
        <v>5964</v>
      </c>
      <c r="D2814" t="s">
        <v>1009</v>
      </c>
      <c r="F2814">
        <v>163025100</v>
      </c>
      <c r="G2814">
        <v>156715337</v>
      </c>
      <c r="H2814">
        <v>184918136</v>
      </c>
      <c r="I2814">
        <v>182711332</v>
      </c>
      <c r="P2814">
        <v>208</v>
      </c>
      <c r="Q2814" t="s">
        <v>5965</v>
      </c>
    </row>
    <row r="2815" spans="1:17" x14ac:dyDescent="0.3">
      <c r="A2815" t="s">
        <v>4729</v>
      </c>
      <c r="B2815" t="str">
        <f>"002088"</f>
        <v>002088</v>
      </c>
      <c r="C2815" t="s">
        <v>5966</v>
      </c>
      <c r="D2815" t="s">
        <v>5922</v>
      </c>
      <c r="F2815">
        <v>133861153</v>
      </c>
      <c r="G2815">
        <v>103011554</v>
      </c>
      <c r="H2815">
        <v>81720726</v>
      </c>
      <c r="I2815">
        <v>54037722</v>
      </c>
      <c r="P2815">
        <v>409</v>
      </c>
      <c r="Q2815" t="s">
        <v>5967</v>
      </c>
    </row>
    <row r="2816" spans="1:17" x14ac:dyDescent="0.3">
      <c r="A2816" t="s">
        <v>4729</v>
      </c>
      <c r="B2816" t="str">
        <f>"002089"</f>
        <v>002089</v>
      </c>
      <c r="C2816" t="s">
        <v>5968</v>
      </c>
      <c r="D2816" t="s">
        <v>1019</v>
      </c>
      <c r="F2816">
        <v>12911243</v>
      </c>
      <c r="G2816">
        <v>7817884</v>
      </c>
      <c r="H2816">
        <v>14559656</v>
      </c>
      <c r="I2816">
        <v>37479534</v>
      </c>
      <c r="P2816">
        <v>175</v>
      </c>
      <c r="Q2816" t="s">
        <v>5969</v>
      </c>
    </row>
    <row r="2817" spans="1:17" x14ac:dyDescent="0.3">
      <c r="A2817" t="s">
        <v>4729</v>
      </c>
      <c r="B2817" t="str">
        <f>"002090"</f>
        <v>002090</v>
      </c>
      <c r="C2817" t="s">
        <v>5970</v>
      </c>
      <c r="D2817" t="s">
        <v>610</v>
      </c>
      <c r="F2817">
        <v>164947095</v>
      </c>
      <c r="G2817">
        <v>159119622</v>
      </c>
      <c r="H2817">
        <v>184271220</v>
      </c>
      <c r="I2817">
        <v>157868105</v>
      </c>
      <c r="P2817">
        <v>229</v>
      </c>
      <c r="Q2817" t="s">
        <v>5971</v>
      </c>
    </row>
    <row r="2818" spans="1:17" x14ac:dyDescent="0.3">
      <c r="A2818" t="s">
        <v>4729</v>
      </c>
      <c r="B2818" t="str">
        <f>"002091"</f>
        <v>002091</v>
      </c>
      <c r="C2818" t="s">
        <v>5972</v>
      </c>
      <c r="D2818" t="s">
        <v>131</v>
      </c>
      <c r="F2818">
        <v>123057642</v>
      </c>
      <c r="G2818">
        <v>57625612</v>
      </c>
      <c r="H2818">
        <v>70811435</v>
      </c>
      <c r="I2818">
        <v>52304021</v>
      </c>
      <c r="P2818">
        <v>509</v>
      </c>
      <c r="Q2818" t="s">
        <v>5973</v>
      </c>
    </row>
    <row r="2819" spans="1:17" x14ac:dyDescent="0.3">
      <c r="A2819" t="s">
        <v>4729</v>
      </c>
      <c r="B2819" t="str">
        <f>"002092"</f>
        <v>002092</v>
      </c>
      <c r="C2819" t="s">
        <v>5974</v>
      </c>
      <c r="D2819" t="s">
        <v>175</v>
      </c>
      <c r="F2819">
        <v>76650792</v>
      </c>
      <c r="G2819">
        <v>25859526</v>
      </c>
      <c r="H2819">
        <v>58899444</v>
      </c>
      <c r="I2819">
        <v>35313122</v>
      </c>
      <c r="P2819">
        <v>521</v>
      </c>
      <c r="Q2819" t="s">
        <v>5975</v>
      </c>
    </row>
    <row r="2820" spans="1:17" x14ac:dyDescent="0.3">
      <c r="A2820" t="s">
        <v>4729</v>
      </c>
      <c r="B2820" t="str">
        <f>"002093"</f>
        <v>002093</v>
      </c>
      <c r="C2820" t="s">
        <v>5976</v>
      </c>
      <c r="D2820" t="s">
        <v>654</v>
      </c>
      <c r="F2820">
        <v>38305655</v>
      </c>
      <c r="G2820">
        <v>41301073</v>
      </c>
      <c r="H2820">
        <v>43214857</v>
      </c>
      <c r="I2820">
        <v>56501750</v>
      </c>
      <c r="P2820">
        <v>288</v>
      </c>
      <c r="Q2820" t="s">
        <v>5977</v>
      </c>
    </row>
    <row r="2821" spans="1:17" x14ac:dyDescent="0.3">
      <c r="A2821" t="s">
        <v>4729</v>
      </c>
      <c r="B2821" t="str">
        <f>"002094"</f>
        <v>002094</v>
      </c>
      <c r="C2821" t="s">
        <v>5978</v>
      </c>
      <c r="D2821" t="s">
        <v>5979</v>
      </c>
      <c r="F2821">
        <v>39289226</v>
      </c>
      <c r="G2821">
        <v>32371259</v>
      </c>
      <c r="H2821">
        <v>35840086</v>
      </c>
      <c r="I2821">
        <v>36294907</v>
      </c>
      <c r="P2821">
        <v>183</v>
      </c>
      <c r="Q2821" t="s">
        <v>5980</v>
      </c>
    </row>
    <row r="2822" spans="1:17" x14ac:dyDescent="0.3">
      <c r="A2822" t="s">
        <v>4729</v>
      </c>
      <c r="B2822" t="str">
        <f>"002095"</f>
        <v>002095</v>
      </c>
      <c r="C2822" t="s">
        <v>5981</v>
      </c>
      <c r="D2822" t="s">
        <v>522</v>
      </c>
      <c r="F2822">
        <v>16632256</v>
      </c>
      <c r="G2822">
        <v>16712452</v>
      </c>
      <c r="H2822">
        <v>17510104</v>
      </c>
      <c r="I2822">
        <v>14736352</v>
      </c>
      <c r="P2822">
        <v>97</v>
      </c>
      <c r="Q2822" t="s">
        <v>5982</v>
      </c>
    </row>
    <row r="2823" spans="1:17" x14ac:dyDescent="0.3">
      <c r="A2823" t="s">
        <v>4729</v>
      </c>
      <c r="B2823" t="str">
        <f>"002096"</f>
        <v>002096</v>
      </c>
      <c r="C2823" t="s">
        <v>5983</v>
      </c>
      <c r="D2823" t="s">
        <v>2736</v>
      </c>
      <c r="F2823">
        <v>78110812</v>
      </c>
      <c r="G2823">
        <v>72725435</v>
      </c>
      <c r="H2823">
        <v>64046027</v>
      </c>
      <c r="I2823">
        <v>54878241</v>
      </c>
      <c r="P2823">
        <v>79</v>
      </c>
      <c r="Q2823" t="s">
        <v>5984</v>
      </c>
    </row>
    <row r="2824" spans="1:17" x14ac:dyDescent="0.3">
      <c r="A2824" t="s">
        <v>4729</v>
      </c>
      <c r="B2824" t="str">
        <f>"002097"</f>
        <v>002097</v>
      </c>
      <c r="C2824" t="s">
        <v>5985</v>
      </c>
      <c r="D2824" t="s">
        <v>83</v>
      </c>
      <c r="F2824">
        <v>398321896</v>
      </c>
      <c r="G2824">
        <v>320847289</v>
      </c>
      <c r="H2824">
        <v>220934468</v>
      </c>
      <c r="I2824">
        <v>123500965</v>
      </c>
      <c r="P2824">
        <v>217</v>
      </c>
      <c r="Q2824" t="s">
        <v>5986</v>
      </c>
    </row>
    <row r="2825" spans="1:17" x14ac:dyDescent="0.3">
      <c r="A2825" t="s">
        <v>4729</v>
      </c>
      <c r="B2825" t="str">
        <f>"002098"</f>
        <v>002098</v>
      </c>
      <c r="C2825" t="s">
        <v>5987</v>
      </c>
      <c r="D2825" t="s">
        <v>2956</v>
      </c>
      <c r="F2825">
        <v>71110994</v>
      </c>
      <c r="G2825">
        <v>47625475</v>
      </c>
      <c r="H2825">
        <v>43891087</v>
      </c>
      <c r="I2825">
        <v>45564118</v>
      </c>
      <c r="P2825">
        <v>111</v>
      </c>
      <c r="Q2825" t="s">
        <v>5988</v>
      </c>
    </row>
    <row r="2826" spans="1:17" x14ac:dyDescent="0.3">
      <c r="A2826" t="s">
        <v>4729</v>
      </c>
      <c r="B2826" t="str">
        <f>"002099"</f>
        <v>002099</v>
      </c>
      <c r="C2826" t="s">
        <v>5989</v>
      </c>
      <c r="D2826" t="s">
        <v>496</v>
      </c>
      <c r="F2826">
        <v>164642384</v>
      </c>
      <c r="G2826">
        <v>131977009</v>
      </c>
      <c r="H2826">
        <v>122548225</v>
      </c>
      <c r="I2826">
        <v>111304662</v>
      </c>
      <c r="P2826">
        <v>298</v>
      </c>
      <c r="Q2826" t="s">
        <v>5990</v>
      </c>
    </row>
    <row r="2827" spans="1:17" x14ac:dyDescent="0.3">
      <c r="A2827" t="s">
        <v>4729</v>
      </c>
      <c r="B2827" t="str">
        <f>"002100"</f>
        <v>002100</v>
      </c>
      <c r="C2827" t="s">
        <v>5991</v>
      </c>
      <c r="D2827" t="s">
        <v>2886</v>
      </c>
      <c r="F2827">
        <v>142889665</v>
      </c>
      <c r="G2827">
        <v>103986146</v>
      </c>
      <c r="H2827">
        <v>84885753</v>
      </c>
      <c r="I2827">
        <v>78650489</v>
      </c>
      <c r="P2827">
        <v>737</v>
      </c>
      <c r="Q2827" t="s">
        <v>5992</v>
      </c>
    </row>
    <row r="2828" spans="1:17" x14ac:dyDescent="0.3">
      <c r="A2828" t="s">
        <v>4729</v>
      </c>
      <c r="B2828" t="str">
        <f>"002101"</f>
        <v>002101</v>
      </c>
      <c r="C2828" t="s">
        <v>5993</v>
      </c>
      <c r="D2828" t="s">
        <v>985</v>
      </c>
      <c r="F2828">
        <v>281671916</v>
      </c>
      <c r="G2828">
        <v>262088030</v>
      </c>
      <c r="H2828">
        <v>248808517</v>
      </c>
      <c r="I2828">
        <v>273799595</v>
      </c>
      <c r="P2828">
        <v>267</v>
      </c>
      <c r="Q2828" t="s">
        <v>5994</v>
      </c>
    </row>
    <row r="2829" spans="1:17" x14ac:dyDescent="0.3">
      <c r="A2829" t="s">
        <v>4729</v>
      </c>
      <c r="B2829" t="str">
        <f>"002102"</f>
        <v>002102</v>
      </c>
      <c r="C2829" t="s">
        <v>5995</v>
      </c>
      <c r="D2829" t="s">
        <v>496</v>
      </c>
      <c r="F2829">
        <v>63863006</v>
      </c>
      <c r="G2829">
        <v>73813639</v>
      </c>
      <c r="H2829">
        <v>109869108</v>
      </c>
      <c r="I2829">
        <v>88137399</v>
      </c>
      <c r="P2829">
        <v>119</v>
      </c>
      <c r="Q2829" t="s">
        <v>5996</v>
      </c>
    </row>
    <row r="2830" spans="1:17" x14ac:dyDescent="0.3">
      <c r="A2830" t="s">
        <v>4729</v>
      </c>
      <c r="B2830" t="str">
        <f>"002103"</f>
        <v>002103</v>
      </c>
      <c r="C2830" t="s">
        <v>5997</v>
      </c>
      <c r="D2830" t="s">
        <v>207</v>
      </c>
      <c r="F2830">
        <v>16766083</v>
      </c>
      <c r="G2830">
        <v>15283335</v>
      </c>
      <c r="H2830">
        <v>16443417</v>
      </c>
      <c r="I2830">
        <v>15766553</v>
      </c>
      <c r="P2830">
        <v>108</v>
      </c>
      <c r="Q2830" t="s">
        <v>5998</v>
      </c>
    </row>
    <row r="2831" spans="1:17" x14ac:dyDescent="0.3">
      <c r="A2831" t="s">
        <v>4729</v>
      </c>
      <c r="B2831" t="str">
        <f>"002104"</f>
        <v>002104</v>
      </c>
      <c r="C2831" t="s">
        <v>5999</v>
      </c>
      <c r="D2831" t="s">
        <v>786</v>
      </c>
      <c r="F2831">
        <v>100363256</v>
      </c>
      <c r="G2831">
        <v>127474839</v>
      </c>
      <c r="H2831">
        <v>127039036</v>
      </c>
      <c r="I2831">
        <v>121874377</v>
      </c>
      <c r="P2831">
        <v>416</v>
      </c>
      <c r="Q2831" t="s">
        <v>6000</v>
      </c>
    </row>
    <row r="2832" spans="1:17" x14ac:dyDescent="0.3">
      <c r="A2832" t="s">
        <v>4729</v>
      </c>
      <c r="B2832" t="str">
        <f>"002105"</f>
        <v>002105</v>
      </c>
      <c r="C2832" t="s">
        <v>6001</v>
      </c>
      <c r="D2832" t="s">
        <v>233</v>
      </c>
      <c r="F2832">
        <v>78031557</v>
      </c>
      <c r="G2832">
        <v>49894244</v>
      </c>
      <c r="H2832">
        <v>29964183</v>
      </c>
      <c r="I2832">
        <v>19774432</v>
      </c>
      <c r="P2832">
        <v>219</v>
      </c>
      <c r="Q2832" t="s">
        <v>6002</v>
      </c>
    </row>
    <row r="2833" spans="1:17" x14ac:dyDescent="0.3">
      <c r="A2833" t="s">
        <v>4729</v>
      </c>
      <c r="B2833" t="str">
        <f>"002106"</f>
        <v>002106</v>
      </c>
      <c r="C2833" t="s">
        <v>6003</v>
      </c>
      <c r="D2833" t="s">
        <v>1117</v>
      </c>
      <c r="F2833">
        <v>314727488</v>
      </c>
      <c r="G2833">
        <v>273922542</v>
      </c>
      <c r="H2833">
        <v>199117780</v>
      </c>
      <c r="I2833">
        <v>175991978</v>
      </c>
      <c r="P2833">
        <v>296</v>
      </c>
      <c r="Q2833" t="s">
        <v>6004</v>
      </c>
    </row>
    <row r="2834" spans="1:17" x14ac:dyDescent="0.3">
      <c r="A2834" t="s">
        <v>4729</v>
      </c>
      <c r="B2834" t="str">
        <f>"002107"</f>
        <v>002107</v>
      </c>
      <c r="C2834" t="s">
        <v>6005</v>
      </c>
      <c r="D2834" t="s">
        <v>188</v>
      </c>
      <c r="F2834">
        <v>47478168</v>
      </c>
      <c r="G2834">
        <v>46696594</v>
      </c>
      <c r="H2834">
        <v>52248340</v>
      </c>
      <c r="I2834">
        <v>40494508</v>
      </c>
      <c r="P2834">
        <v>350</v>
      </c>
      <c r="Q2834" t="s">
        <v>6006</v>
      </c>
    </row>
    <row r="2835" spans="1:17" x14ac:dyDescent="0.3">
      <c r="A2835" t="s">
        <v>4729</v>
      </c>
      <c r="B2835" t="str">
        <f>"002108"</f>
        <v>002108</v>
      </c>
      <c r="C2835" t="s">
        <v>6007</v>
      </c>
      <c r="D2835" t="s">
        <v>1192</v>
      </c>
      <c r="F2835">
        <v>42829276</v>
      </c>
      <c r="G2835">
        <v>31001864</v>
      </c>
      <c r="H2835">
        <v>41747884</v>
      </c>
      <c r="I2835">
        <v>38200078</v>
      </c>
      <c r="P2835">
        <v>345</v>
      </c>
      <c r="Q2835" t="s">
        <v>6008</v>
      </c>
    </row>
    <row r="2836" spans="1:17" x14ac:dyDescent="0.3">
      <c r="A2836" t="s">
        <v>4729</v>
      </c>
      <c r="B2836" t="str">
        <f>"002109"</f>
        <v>002109</v>
      </c>
      <c r="C2836" t="s">
        <v>6009</v>
      </c>
      <c r="D2836" t="s">
        <v>1233</v>
      </c>
      <c r="F2836">
        <v>0</v>
      </c>
      <c r="G2836">
        <v>0</v>
      </c>
      <c r="P2836">
        <v>138</v>
      </c>
      <c r="Q2836" t="s">
        <v>6010</v>
      </c>
    </row>
    <row r="2837" spans="1:17" x14ac:dyDescent="0.3">
      <c r="A2837" t="s">
        <v>4729</v>
      </c>
      <c r="B2837" t="str">
        <f>"002110"</f>
        <v>002110</v>
      </c>
      <c r="C2837" t="s">
        <v>6011</v>
      </c>
      <c r="D2837" t="s">
        <v>531</v>
      </c>
      <c r="F2837">
        <v>1383796952</v>
      </c>
      <c r="G2837">
        <v>1169507358</v>
      </c>
      <c r="H2837">
        <v>947571306</v>
      </c>
      <c r="I2837">
        <v>819028649</v>
      </c>
      <c r="P2837">
        <v>1174</v>
      </c>
      <c r="Q2837" t="s">
        <v>6012</v>
      </c>
    </row>
    <row r="2838" spans="1:17" x14ac:dyDescent="0.3">
      <c r="A2838" t="s">
        <v>4729</v>
      </c>
      <c r="B2838" t="str">
        <f>"002111"</f>
        <v>002111</v>
      </c>
      <c r="C2838" t="s">
        <v>6013</v>
      </c>
      <c r="D2838" t="s">
        <v>741</v>
      </c>
      <c r="F2838">
        <v>201947629</v>
      </c>
      <c r="G2838">
        <v>157421863</v>
      </c>
      <c r="H2838">
        <v>115321538</v>
      </c>
      <c r="I2838">
        <v>114847720</v>
      </c>
      <c r="P2838">
        <v>214</v>
      </c>
      <c r="Q2838" t="s">
        <v>6014</v>
      </c>
    </row>
    <row r="2839" spans="1:17" x14ac:dyDescent="0.3">
      <c r="A2839" t="s">
        <v>4729</v>
      </c>
      <c r="B2839" t="str">
        <f>"002112"</f>
        <v>002112</v>
      </c>
      <c r="C2839" t="s">
        <v>6015</v>
      </c>
      <c r="D2839" t="s">
        <v>210</v>
      </c>
      <c r="F2839">
        <v>32645581</v>
      </c>
      <c r="G2839">
        <v>34039436</v>
      </c>
      <c r="H2839">
        <v>24660764</v>
      </c>
      <c r="I2839">
        <v>17488207</v>
      </c>
      <c r="P2839">
        <v>76</v>
      </c>
      <c r="Q2839" t="s">
        <v>6016</v>
      </c>
    </row>
    <row r="2840" spans="1:17" x14ac:dyDescent="0.3">
      <c r="A2840" t="s">
        <v>4729</v>
      </c>
      <c r="B2840" t="str">
        <f>"002113"</f>
        <v>002113</v>
      </c>
      <c r="C2840" t="s">
        <v>6017</v>
      </c>
      <c r="D2840" t="s">
        <v>517</v>
      </c>
      <c r="F2840">
        <v>29412821</v>
      </c>
      <c r="G2840">
        <v>29856684</v>
      </c>
      <c r="H2840">
        <v>30703733</v>
      </c>
      <c r="I2840">
        <v>32627109</v>
      </c>
      <c r="P2840">
        <v>77</v>
      </c>
      <c r="Q2840" t="s">
        <v>6018</v>
      </c>
    </row>
    <row r="2841" spans="1:17" x14ac:dyDescent="0.3">
      <c r="A2841" t="s">
        <v>4729</v>
      </c>
      <c r="B2841" t="str">
        <f>"002114"</f>
        <v>002114</v>
      </c>
      <c r="C2841" t="s">
        <v>6019</v>
      </c>
      <c r="D2841" t="s">
        <v>744</v>
      </c>
      <c r="F2841">
        <v>4366939</v>
      </c>
      <c r="G2841">
        <v>4086093</v>
      </c>
      <c r="H2841">
        <v>4380111</v>
      </c>
      <c r="I2841">
        <v>2936525</v>
      </c>
      <c r="P2841">
        <v>73</v>
      </c>
      <c r="Q2841" t="s">
        <v>6020</v>
      </c>
    </row>
    <row r="2842" spans="1:17" x14ac:dyDescent="0.3">
      <c r="A2842" t="s">
        <v>4729</v>
      </c>
      <c r="B2842" t="str">
        <f>"002115"</f>
        <v>002115</v>
      </c>
      <c r="C2842" t="s">
        <v>6021</v>
      </c>
      <c r="D2842" t="s">
        <v>654</v>
      </c>
      <c r="F2842">
        <v>101567538</v>
      </c>
      <c r="G2842">
        <v>75388741</v>
      </c>
      <c r="H2842">
        <v>121908110</v>
      </c>
      <c r="I2842">
        <v>113608492</v>
      </c>
      <c r="P2842">
        <v>239</v>
      </c>
      <c r="Q2842" t="s">
        <v>6022</v>
      </c>
    </row>
    <row r="2843" spans="1:17" x14ac:dyDescent="0.3">
      <c r="A2843" t="s">
        <v>4729</v>
      </c>
      <c r="B2843" t="str">
        <f>"002116"</f>
        <v>002116</v>
      </c>
      <c r="C2843" t="s">
        <v>6023</v>
      </c>
      <c r="D2843" t="s">
        <v>1992</v>
      </c>
      <c r="F2843">
        <v>180198449</v>
      </c>
      <c r="G2843">
        <v>181072543</v>
      </c>
      <c r="H2843">
        <v>194777682</v>
      </c>
      <c r="I2843">
        <v>164702665</v>
      </c>
      <c r="P2843">
        <v>176</v>
      </c>
      <c r="Q2843" t="s">
        <v>6024</v>
      </c>
    </row>
    <row r="2844" spans="1:17" x14ac:dyDescent="0.3">
      <c r="A2844" t="s">
        <v>4729</v>
      </c>
      <c r="B2844" t="str">
        <f>"002117"</f>
        <v>002117</v>
      </c>
      <c r="C2844" t="s">
        <v>6025</v>
      </c>
      <c r="D2844" t="s">
        <v>1694</v>
      </c>
      <c r="F2844">
        <v>74000511</v>
      </c>
      <c r="G2844">
        <v>100047908</v>
      </c>
      <c r="H2844">
        <v>91259247</v>
      </c>
      <c r="I2844">
        <v>91371286</v>
      </c>
      <c r="P2844">
        <v>392</v>
      </c>
      <c r="Q2844" t="s">
        <v>6026</v>
      </c>
    </row>
    <row r="2845" spans="1:17" x14ac:dyDescent="0.3">
      <c r="A2845" t="s">
        <v>4729</v>
      </c>
      <c r="B2845" t="str">
        <f>"002118"</f>
        <v>002118</v>
      </c>
      <c r="C2845" t="s">
        <v>6027</v>
      </c>
      <c r="D2845" t="s">
        <v>188</v>
      </c>
      <c r="G2845">
        <v>16066618</v>
      </c>
      <c r="H2845">
        <v>40355846</v>
      </c>
      <c r="I2845">
        <v>45565651</v>
      </c>
      <c r="P2845">
        <v>226</v>
      </c>
      <c r="Q2845" t="s">
        <v>6028</v>
      </c>
    </row>
    <row r="2846" spans="1:17" x14ac:dyDescent="0.3">
      <c r="A2846" t="s">
        <v>4729</v>
      </c>
      <c r="B2846" t="str">
        <f>"002119"</f>
        <v>002119</v>
      </c>
      <c r="C2846" t="s">
        <v>6029</v>
      </c>
      <c r="D2846" t="s">
        <v>475</v>
      </c>
      <c r="F2846">
        <v>80346701</v>
      </c>
      <c r="G2846">
        <v>61572583</v>
      </c>
      <c r="H2846">
        <v>65142594</v>
      </c>
      <c r="I2846">
        <v>60779757</v>
      </c>
      <c r="P2846">
        <v>214</v>
      </c>
      <c r="Q2846" t="s">
        <v>6030</v>
      </c>
    </row>
    <row r="2847" spans="1:17" x14ac:dyDescent="0.3">
      <c r="A2847" t="s">
        <v>4729</v>
      </c>
      <c r="B2847" t="str">
        <f>"002120"</f>
        <v>002120</v>
      </c>
      <c r="C2847" t="s">
        <v>6031</v>
      </c>
      <c r="D2847" t="s">
        <v>537</v>
      </c>
      <c r="F2847">
        <v>267183204</v>
      </c>
      <c r="G2847">
        <v>204861613</v>
      </c>
      <c r="H2847">
        <v>174265816</v>
      </c>
      <c r="I2847">
        <v>60687578</v>
      </c>
      <c r="P2847">
        <v>1163</v>
      </c>
      <c r="Q2847" t="s">
        <v>6032</v>
      </c>
    </row>
    <row r="2848" spans="1:17" x14ac:dyDescent="0.3">
      <c r="A2848" t="s">
        <v>4729</v>
      </c>
      <c r="B2848" t="str">
        <f>"002121"</f>
        <v>002121</v>
      </c>
      <c r="C2848" t="s">
        <v>6033</v>
      </c>
      <c r="D2848" t="s">
        <v>2180</v>
      </c>
      <c r="F2848">
        <v>214403863</v>
      </c>
      <c r="G2848">
        <v>220905601</v>
      </c>
      <c r="H2848">
        <v>301734136</v>
      </c>
      <c r="I2848">
        <v>333960990</v>
      </c>
      <c r="P2848">
        <v>234</v>
      </c>
      <c r="Q2848" t="s">
        <v>6034</v>
      </c>
    </row>
    <row r="2849" spans="1:17" x14ac:dyDescent="0.3">
      <c r="A2849" t="s">
        <v>4729</v>
      </c>
      <c r="B2849" t="str">
        <f>"002122"</f>
        <v>002122</v>
      </c>
      <c r="C2849" t="s">
        <v>6035</v>
      </c>
      <c r="D2849" t="s">
        <v>274</v>
      </c>
      <c r="F2849">
        <v>25766409</v>
      </c>
      <c r="G2849">
        <v>26443102</v>
      </c>
      <c r="H2849">
        <v>57385555</v>
      </c>
      <c r="I2849">
        <v>45246233</v>
      </c>
      <c r="P2849">
        <v>69</v>
      </c>
      <c r="Q2849" t="s">
        <v>6036</v>
      </c>
    </row>
    <row r="2850" spans="1:17" x14ac:dyDescent="0.3">
      <c r="A2850" t="s">
        <v>4729</v>
      </c>
      <c r="B2850" t="str">
        <f>"002123"</f>
        <v>002123</v>
      </c>
      <c r="C2850" t="s">
        <v>6037</v>
      </c>
      <c r="D2850" t="s">
        <v>5670</v>
      </c>
      <c r="F2850">
        <v>141960454</v>
      </c>
      <c r="G2850">
        <v>96798083</v>
      </c>
      <c r="H2850">
        <v>134809319</v>
      </c>
      <c r="I2850">
        <v>137400108</v>
      </c>
      <c r="P2850">
        <v>364</v>
      </c>
      <c r="Q2850" t="s">
        <v>6038</v>
      </c>
    </row>
    <row r="2851" spans="1:17" x14ac:dyDescent="0.3">
      <c r="A2851" t="s">
        <v>4729</v>
      </c>
      <c r="B2851" t="str">
        <f>"002124"</f>
        <v>002124</v>
      </c>
      <c r="C2851" t="s">
        <v>6039</v>
      </c>
      <c r="D2851" t="s">
        <v>1900</v>
      </c>
      <c r="F2851">
        <v>86679657</v>
      </c>
      <c r="G2851">
        <v>108310205</v>
      </c>
      <c r="H2851">
        <v>99026909</v>
      </c>
      <c r="I2851">
        <v>111773948</v>
      </c>
      <c r="P2851">
        <v>922</v>
      </c>
      <c r="Q2851" t="s">
        <v>6040</v>
      </c>
    </row>
    <row r="2852" spans="1:17" x14ac:dyDescent="0.3">
      <c r="A2852" t="s">
        <v>4729</v>
      </c>
      <c r="B2852" t="str">
        <f>"002125"</f>
        <v>002125</v>
      </c>
      <c r="C2852" t="s">
        <v>6041</v>
      </c>
      <c r="D2852" t="s">
        <v>736</v>
      </c>
      <c r="F2852">
        <v>32391223</v>
      </c>
      <c r="G2852">
        <v>17542203</v>
      </c>
      <c r="H2852">
        <v>11654707</v>
      </c>
      <c r="I2852">
        <v>5610958</v>
      </c>
      <c r="P2852">
        <v>157</v>
      </c>
      <c r="Q2852" t="s">
        <v>6042</v>
      </c>
    </row>
    <row r="2853" spans="1:17" x14ac:dyDescent="0.3">
      <c r="A2853" t="s">
        <v>4729</v>
      </c>
      <c r="B2853" t="str">
        <f>"002126"</f>
        <v>002126</v>
      </c>
      <c r="C2853" t="s">
        <v>6043</v>
      </c>
      <c r="D2853" t="s">
        <v>348</v>
      </c>
      <c r="F2853">
        <v>326331766</v>
      </c>
      <c r="G2853">
        <v>269266952</v>
      </c>
      <c r="H2853">
        <v>220233074</v>
      </c>
      <c r="I2853">
        <v>185937841</v>
      </c>
      <c r="P2853">
        <v>450</v>
      </c>
      <c r="Q2853" t="s">
        <v>6044</v>
      </c>
    </row>
    <row r="2854" spans="1:17" x14ac:dyDescent="0.3">
      <c r="A2854" t="s">
        <v>4729</v>
      </c>
      <c r="B2854" t="str">
        <f>"002127"</f>
        <v>002127</v>
      </c>
      <c r="C2854" t="s">
        <v>6045</v>
      </c>
      <c r="D2854" t="s">
        <v>3617</v>
      </c>
      <c r="F2854">
        <v>35960292</v>
      </c>
      <c r="G2854">
        <v>45250152</v>
      </c>
      <c r="H2854">
        <v>43304604</v>
      </c>
      <c r="I2854">
        <v>37800843</v>
      </c>
      <c r="P2854">
        <v>1745</v>
      </c>
      <c r="Q2854" t="s">
        <v>6046</v>
      </c>
    </row>
    <row r="2855" spans="1:17" x14ac:dyDescent="0.3">
      <c r="A2855" t="s">
        <v>4729</v>
      </c>
      <c r="B2855" t="str">
        <f>"002128"</f>
        <v>002128</v>
      </c>
      <c r="C2855" t="s">
        <v>6047</v>
      </c>
      <c r="D2855" t="s">
        <v>292</v>
      </c>
      <c r="F2855">
        <v>11602378</v>
      </c>
      <c r="G2855">
        <v>10844835</v>
      </c>
      <c r="H2855">
        <v>8564775</v>
      </c>
      <c r="P2855">
        <v>1050</v>
      </c>
      <c r="Q2855" t="s">
        <v>6048</v>
      </c>
    </row>
    <row r="2856" spans="1:17" x14ac:dyDescent="0.3">
      <c r="A2856" t="s">
        <v>4729</v>
      </c>
      <c r="B2856" t="str">
        <f>"002129"</f>
        <v>002129</v>
      </c>
      <c r="C2856" t="s">
        <v>6049</v>
      </c>
      <c r="D2856" t="s">
        <v>929</v>
      </c>
      <c r="F2856">
        <v>1858807315</v>
      </c>
      <c r="G2856">
        <v>618747775</v>
      </c>
      <c r="H2856">
        <v>574433961</v>
      </c>
      <c r="I2856">
        <v>419485025</v>
      </c>
      <c r="P2856">
        <v>1522</v>
      </c>
      <c r="Q2856" t="s">
        <v>6050</v>
      </c>
    </row>
    <row r="2857" spans="1:17" x14ac:dyDescent="0.3">
      <c r="A2857" t="s">
        <v>4729</v>
      </c>
      <c r="B2857" t="str">
        <f>"002130"</f>
        <v>002130</v>
      </c>
      <c r="C2857" t="s">
        <v>6051</v>
      </c>
      <c r="D2857" t="s">
        <v>651</v>
      </c>
      <c r="F2857">
        <v>323968073</v>
      </c>
      <c r="G2857">
        <v>272812836</v>
      </c>
      <c r="H2857">
        <v>227879104</v>
      </c>
      <c r="I2857">
        <v>195684642</v>
      </c>
      <c r="P2857">
        <v>266</v>
      </c>
      <c r="Q2857" t="s">
        <v>6052</v>
      </c>
    </row>
    <row r="2858" spans="1:17" x14ac:dyDescent="0.3">
      <c r="A2858" t="s">
        <v>4729</v>
      </c>
      <c r="B2858" t="str">
        <f>"002131"</f>
        <v>002131</v>
      </c>
      <c r="C2858" t="s">
        <v>6053</v>
      </c>
      <c r="D2858" t="s">
        <v>207</v>
      </c>
      <c r="F2858">
        <v>165187714</v>
      </c>
      <c r="G2858">
        <v>122733418</v>
      </c>
      <c r="H2858">
        <v>159671004</v>
      </c>
      <c r="I2858">
        <v>162180958</v>
      </c>
      <c r="P2858">
        <v>417</v>
      </c>
      <c r="Q2858" t="s">
        <v>6054</v>
      </c>
    </row>
    <row r="2859" spans="1:17" x14ac:dyDescent="0.3">
      <c r="A2859" t="s">
        <v>4729</v>
      </c>
      <c r="B2859" t="str">
        <f>"002132"</f>
        <v>002132</v>
      </c>
      <c r="C2859" t="s">
        <v>6055</v>
      </c>
      <c r="D2859" t="s">
        <v>274</v>
      </c>
      <c r="F2859">
        <v>103754038</v>
      </c>
      <c r="G2859">
        <v>86041821</v>
      </c>
      <c r="H2859">
        <v>102480907</v>
      </c>
      <c r="I2859">
        <v>90875646</v>
      </c>
      <c r="P2859">
        <v>127</v>
      </c>
      <c r="Q2859" t="s">
        <v>6056</v>
      </c>
    </row>
    <row r="2860" spans="1:17" x14ac:dyDescent="0.3">
      <c r="A2860" t="s">
        <v>4729</v>
      </c>
      <c r="B2860" t="str">
        <f>"002133"</f>
        <v>002133</v>
      </c>
      <c r="C2860" t="s">
        <v>6057</v>
      </c>
      <c r="D2860" t="s">
        <v>104</v>
      </c>
      <c r="F2860">
        <v>0</v>
      </c>
      <c r="G2860">
        <v>0</v>
      </c>
      <c r="P2860">
        <v>132</v>
      </c>
      <c r="Q2860" t="s">
        <v>6058</v>
      </c>
    </row>
    <row r="2861" spans="1:17" x14ac:dyDescent="0.3">
      <c r="A2861" t="s">
        <v>4729</v>
      </c>
      <c r="B2861" t="str">
        <f>"002134"</f>
        <v>002134</v>
      </c>
      <c r="C2861" t="s">
        <v>6059</v>
      </c>
      <c r="D2861" t="s">
        <v>425</v>
      </c>
      <c r="F2861">
        <v>22097840</v>
      </c>
      <c r="G2861">
        <v>15587140</v>
      </c>
      <c r="H2861">
        <v>13712192</v>
      </c>
      <c r="I2861">
        <v>14196961</v>
      </c>
      <c r="P2861">
        <v>119</v>
      </c>
      <c r="Q2861" t="s">
        <v>6060</v>
      </c>
    </row>
    <row r="2862" spans="1:17" x14ac:dyDescent="0.3">
      <c r="A2862" t="s">
        <v>4729</v>
      </c>
      <c r="B2862" t="str">
        <f>"002135"</f>
        <v>002135</v>
      </c>
      <c r="C2862" t="s">
        <v>6061</v>
      </c>
      <c r="D2862" t="s">
        <v>978</v>
      </c>
      <c r="F2862">
        <v>402578878</v>
      </c>
      <c r="G2862">
        <v>329806566</v>
      </c>
      <c r="H2862">
        <v>400999833</v>
      </c>
      <c r="I2862">
        <v>397303974</v>
      </c>
      <c r="P2862">
        <v>163</v>
      </c>
      <c r="Q2862" t="s">
        <v>6062</v>
      </c>
    </row>
    <row r="2863" spans="1:17" x14ac:dyDescent="0.3">
      <c r="A2863" t="s">
        <v>4729</v>
      </c>
      <c r="B2863" t="str">
        <f>"002136"</f>
        <v>002136</v>
      </c>
      <c r="C2863" t="s">
        <v>6063</v>
      </c>
      <c r="D2863" t="s">
        <v>1474</v>
      </c>
      <c r="F2863">
        <v>67197228</v>
      </c>
      <c r="G2863">
        <v>37528448</v>
      </c>
      <c r="H2863">
        <v>35211838</v>
      </c>
      <c r="I2863">
        <v>34270233</v>
      </c>
      <c r="P2863">
        <v>131</v>
      </c>
      <c r="Q2863" t="s">
        <v>6064</v>
      </c>
    </row>
    <row r="2864" spans="1:17" x14ac:dyDescent="0.3">
      <c r="A2864" t="s">
        <v>4729</v>
      </c>
      <c r="B2864" t="str">
        <f>"002137"</f>
        <v>002137</v>
      </c>
      <c r="C2864" t="s">
        <v>6065</v>
      </c>
      <c r="D2864" t="s">
        <v>207</v>
      </c>
      <c r="F2864">
        <v>51934210</v>
      </c>
      <c r="G2864">
        <v>42779910</v>
      </c>
      <c r="H2864">
        <v>33387873</v>
      </c>
      <c r="I2864">
        <v>34594722</v>
      </c>
      <c r="P2864">
        <v>148</v>
      </c>
      <c r="Q2864" t="s">
        <v>6066</v>
      </c>
    </row>
    <row r="2865" spans="1:17" x14ac:dyDescent="0.3">
      <c r="A2865" t="s">
        <v>4729</v>
      </c>
      <c r="B2865" t="str">
        <f>"002138"</f>
        <v>002138</v>
      </c>
      <c r="C2865" t="s">
        <v>6067</v>
      </c>
      <c r="D2865" t="s">
        <v>546</v>
      </c>
      <c r="F2865">
        <v>344286412</v>
      </c>
      <c r="G2865">
        <v>244172667</v>
      </c>
      <c r="H2865">
        <v>196539539</v>
      </c>
      <c r="I2865">
        <v>133424623</v>
      </c>
      <c r="P2865">
        <v>1065</v>
      </c>
      <c r="Q2865" t="s">
        <v>6068</v>
      </c>
    </row>
    <row r="2866" spans="1:17" x14ac:dyDescent="0.3">
      <c r="A2866" t="s">
        <v>4729</v>
      </c>
      <c r="B2866" t="str">
        <f>"002139"</f>
        <v>002139</v>
      </c>
      <c r="C2866" t="s">
        <v>6069</v>
      </c>
      <c r="D2866" t="s">
        <v>313</v>
      </c>
      <c r="F2866">
        <v>449950052</v>
      </c>
      <c r="G2866">
        <v>313618278</v>
      </c>
      <c r="H2866">
        <v>257795969</v>
      </c>
      <c r="I2866">
        <v>180633054</v>
      </c>
      <c r="P2866">
        <v>919</v>
      </c>
      <c r="Q2866" t="s">
        <v>6070</v>
      </c>
    </row>
    <row r="2867" spans="1:17" x14ac:dyDescent="0.3">
      <c r="A2867" t="s">
        <v>4729</v>
      </c>
      <c r="B2867" t="str">
        <f>"002140"</f>
        <v>002140</v>
      </c>
      <c r="C2867" t="s">
        <v>6071</v>
      </c>
      <c r="D2867" t="s">
        <v>2025</v>
      </c>
      <c r="F2867">
        <v>198151925</v>
      </c>
      <c r="G2867">
        <v>186760481</v>
      </c>
      <c r="H2867">
        <v>162400923</v>
      </c>
      <c r="I2867">
        <v>130425719</v>
      </c>
      <c r="P2867">
        <v>129</v>
      </c>
      <c r="Q2867" t="s">
        <v>6072</v>
      </c>
    </row>
    <row r="2868" spans="1:17" x14ac:dyDescent="0.3">
      <c r="A2868" t="s">
        <v>4729</v>
      </c>
      <c r="B2868" t="str">
        <f>"002141"</f>
        <v>002141</v>
      </c>
      <c r="C2868" t="s">
        <v>6073</v>
      </c>
      <c r="D2868" t="s">
        <v>651</v>
      </c>
      <c r="F2868">
        <v>59706178</v>
      </c>
      <c r="G2868">
        <v>35266407</v>
      </c>
      <c r="H2868">
        <v>34472939</v>
      </c>
      <c r="I2868">
        <v>33783481</v>
      </c>
      <c r="P2868">
        <v>74</v>
      </c>
      <c r="Q2868" t="s">
        <v>6074</v>
      </c>
    </row>
    <row r="2869" spans="1:17" x14ac:dyDescent="0.3">
      <c r="A2869" t="s">
        <v>4729</v>
      </c>
      <c r="B2869" t="str">
        <f>"002142"</f>
        <v>002142</v>
      </c>
      <c r="C2869" t="s">
        <v>6075</v>
      </c>
      <c r="D2869" t="s">
        <v>1842</v>
      </c>
      <c r="P2869">
        <v>59332</v>
      </c>
      <c r="Q2869" t="s">
        <v>6076</v>
      </c>
    </row>
    <row r="2870" spans="1:17" x14ac:dyDescent="0.3">
      <c r="A2870" t="s">
        <v>4729</v>
      </c>
      <c r="B2870" t="str">
        <f>"002143"</f>
        <v>002143</v>
      </c>
      <c r="C2870" t="s">
        <v>6077</v>
      </c>
      <c r="I2870">
        <v>0</v>
      </c>
      <c r="P2870">
        <v>59</v>
      </c>
      <c r="Q2870" t="s">
        <v>6078</v>
      </c>
    </row>
    <row r="2871" spans="1:17" x14ac:dyDescent="0.3">
      <c r="A2871" t="s">
        <v>4729</v>
      </c>
      <c r="B2871" t="str">
        <f>"002144"</f>
        <v>002144</v>
      </c>
      <c r="C2871" t="s">
        <v>6079</v>
      </c>
      <c r="D2871" t="s">
        <v>366</v>
      </c>
      <c r="F2871">
        <v>33913947</v>
      </c>
      <c r="G2871">
        <v>34245483</v>
      </c>
      <c r="H2871">
        <v>28820804</v>
      </c>
      <c r="I2871">
        <v>25018269</v>
      </c>
      <c r="P2871">
        <v>115</v>
      </c>
      <c r="Q2871" t="s">
        <v>6080</v>
      </c>
    </row>
    <row r="2872" spans="1:17" x14ac:dyDescent="0.3">
      <c r="A2872" t="s">
        <v>4729</v>
      </c>
      <c r="B2872" t="str">
        <f>"002145"</f>
        <v>002145</v>
      </c>
      <c r="C2872" t="s">
        <v>6081</v>
      </c>
      <c r="D2872" t="s">
        <v>1474</v>
      </c>
      <c r="F2872">
        <v>148451988</v>
      </c>
      <c r="G2872">
        <v>100532428</v>
      </c>
      <c r="H2872">
        <v>81298172</v>
      </c>
      <c r="I2872">
        <v>82677282</v>
      </c>
      <c r="P2872">
        <v>282</v>
      </c>
      <c r="Q2872" t="s">
        <v>6082</v>
      </c>
    </row>
    <row r="2873" spans="1:17" x14ac:dyDescent="0.3">
      <c r="A2873" t="s">
        <v>4729</v>
      </c>
      <c r="B2873" t="str">
        <f>"002146"</f>
        <v>002146</v>
      </c>
      <c r="C2873" t="s">
        <v>6083</v>
      </c>
      <c r="D2873" t="s">
        <v>104</v>
      </c>
      <c r="F2873">
        <v>0</v>
      </c>
      <c r="G2873">
        <v>0</v>
      </c>
      <c r="P2873">
        <v>12588</v>
      </c>
      <c r="Q2873" t="s">
        <v>6084</v>
      </c>
    </row>
    <row r="2874" spans="1:17" x14ac:dyDescent="0.3">
      <c r="A2874" t="s">
        <v>4729</v>
      </c>
      <c r="B2874" t="str">
        <f>"002147"</f>
        <v>002147</v>
      </c>
      <c r="C2874" t="s">
        <v>6085</v>
      </c>
      <c r="D2874" t="s">
        <v>560</v>
      </c>
      <c r="F2874">
        <v>31920454</v>
      </c>
      <c r="G2874">
        <v>31746007</v>
      </c>
      <c r="H2874">
        <v>22295951</v>
      </c>
      <c r="I2874">
        <v>21409514</v>
      </c>
      <c r="P2874">
        <v>94</v>
      </c>
      <c r="Q2874" t="s">
        <v>6086</v>
      </c>
    </row>
    <row r="2875" spans="1:17" x14ac:dyDescent="0.3">
      <c r="A2875" t="s">
        <v>4729</v>
      </c>
      <c r="B2875" t="str">
        <f>"002148"</f>
        <v>002148</v>
      </c>
      <c r="C2875" t="s">
        <v>6087</v>
      </c>
      <c r="D2875" t="s">
        <v>5670</v>
      </c>
      <c r="F2875">
        <v>11443624</v>
      </c>
      <c r="G2875">
        <v>18439781</v>
      </c>
      <c r="H2875">
        <v>36924855</v>
      </c>
      <c r="I2875">
        <v>37198889</v>
      </c>
      <c r="P2875">
        <v>103</v>
      </c>
      <c r="Q2875" t="s">
        <v>6088</v>
      </c>
    </row>
    <row r="2876" spans="1:17" x14ac:dyDescent="0.3">
      <c r="A2876" t="s">
        <v>4729</v>
      </c>
      <c r="B2876" t="str">
        <f>"002149"</f>
        <v>002149</v>
      </c>
      <c r="C2876" t="s">
        <v>6089</v>
      </c>
      <c r="D2876" t="s">
        <v>636</v>
      </c>
      <c r="F2876">
        <v>134082107</v>
      </c>
      <c r="G2876">
        <v>94383557</v>
      </c>
      <c r="H2876">
        <v>96581229</v>
      </c>
      <c r="I2876">
        <v>47085833</v>
      </c>
      <c r="P2876">
        <v>259</v>
      </c>
      <c r="Q2876" t="s">
        <v>6090</v>
      </c>
    </row>
    <row r="2877" spans="1:17" x14ac:dyDescent="0.3">
      <c r="A2877" t="s">
        <v>4729</v>
      </c>
      <c r="B2877" t="str">
        <f>"002150"</f>
        <v>002150</v>
      </c>
      <c r="C2877" t="s">
        <v>6091</v>
      </c>
      <c r="D2877" t="s">
        <v>274</v>
      </c>
      <c r="F2877">
        <v>7810259</v>
      </c>
      <c r="G2877">
        <v>8352000</v>
      </c>
      <c r="H2877">
        <v>7259445</v>
      </c>
      <c r="I2877">
        <v>7410778</v>
      </c>
      <c r="P2877">
        <v>103</v>
      </c>
      <c r="Q2877" t="s">
        <v>6092</v>
      </c>
    </row>
    <row r="2878" spans="1:17" x14ac:dyDescent="0.3">
      <c r="A2878" t="s">
        <v>4729</v>
      </c>
      <c r="B2878" t="str">
        <f>"002151"</f>
        <v>002151</v>
      </c>
      <c r="C2878" t="s">
        <v>6093</v>
      </c>
      <c r="D2878" t="s">
        <v>1136</v>
      </c>
      <c r="F2878">
        <v>277738240</v>
      </c>
      <c r="G2878">
        <v>226733990</v>
      </c>
      <c r="H2878">
        <v>219773191</v>
      </c>
      <c r="I2878">
        <v>142217890</v>
      </c>
      <c r="P2878">
        <v>3423</v>
      </c>
      <c r="Q2878" t="s">
        <v>6094</v>
      </c>
    </row>
    <row r="2879" spans="1:17" x14ac:dyDescent="0.3">
      <c r="A2879" t="s">
        <v>4729</v>
      </c>
      <c r="B2879" t="str">
        <f>"002152"</f>
        <v>002152</v>
      </c>
      <c r="C2879" t="s">
        <v>6095</v>
      </c>
      <c r="D2879" t="s">
        <v>236</v>
      </c>
      <c r="F2879">
        <v>645653556</v>
      </c>
      <c r="G2879">
        <v>527762694</v>
      </c>
      <c r="H2879">
        <v>537938006</v>
      </c>
      <c r="I2879">
        <v>359029719</v>
      </c>
      <c r="P2879">
        <v>16880</v>
      </c>
      <c r="Q2879" t="s">
        <v>6096</v>
      </c>
    </row>
    <row r="2880" spans="1:17" x14ac:dyDescent="0.3">
      <c r="A2880" t="s">
        <v>4729</v>
      </c>
      <c r="B2880" t="str">
        <f>"002153"</f>
        <v>002153</v>
      </c>
      <c r="C2880" t="s">
        <v>6097</v>
      </c>
      <c r="D2880" t="s">
        <v>945</v>
      </c>
      <c r="F2880">
        <v>417879844</v>
      </c>
      <c r="G2880">
        <v>304916043</v>
      </c>
      <c r="H2880">
        <v>275870080</v>
      </c>
      <c r="I2880">
        <v>259042967</v>
      </c>
      <c r="P2880">
        <v>679</v>
      </c>
      <c r="Q2880" t="s">
        <v>6098</v>
      </c>
    </row>
    <row r="2881" spans="1:17" x14ac:dyDescent="0.3">
      <c r="A2881" t="s">
        <v>4729</v>
      </c>
      <c r="B2881" t="str">
        <f>"002154"</f>
        <v>002154</v>
      </c>
      <c r="C2881" t="s">
        <v>6099</v>
      </c>
      <c r="D2881" t="s">
        <v>255</v>
      </c>
      <c r="F2881">
        <v>75533468</v>
      </c>
      <c r="G2881">
        <v>59583122</v>
      </c>
      <c r="H2881">
        <v>61282466</v>
      </c>
      <c r="I2881">
        <v>53369386</v>
      </c>
      <c r="P2881">
        <v>206</v>
      </c>
      <c r="Q2881" t="s">
        <v>6100</v>
      </c>
    </row>
    <row r="2882" spans="1:17" x14ac:dyDescent="0.3">
      <c r="A2882" t="s">
        <v>4729</v>
      </c>
      <c r="B2882" t="str">
        <f>"002155"</f>
        <v>002155</v>
      </c>
      <c r="C2882" t="s">
        <v>6101</v>
      </c>
      <c r="D2882" t="s">
        <v>701</v>
      </c>
      <c r="F2882">
        <v>292943324</v>
      </c>
      <c r="G2882">
        <v>225647144</v>
      </c>
      <c r="H2882">
        <v>231007220</v>
      </c>
      <c r="I2882">
        <v>238968847</v>
      </c>
      <c r="P2882">
        <v>219</v>
      </c>
      <c r="Q2882" t="s">
        <v>6102</v>
      </c>
    </row>
    <row r="2883" spans="1:17" x14ac:dyDescent="0.3">
      <c r="A2883" t="s">
        <v>4729</v>
      </c>
      <c r="B2883" t="str">
        <f>"002156"</f>
        <v>002156</v>
      </c>
      <c r="C2883" t="s">
        <v>6103</v>
      </c>
      <c r="D2883" t="s">
        <v>1180</v>
      </c>
      <c r="F2883">
        <v>1062458725</v>
      </c>
      <c r="G2883">
        <v>744156050</v>
      </c>
      <c r="H2883">
        <v>688293438</v>
      </c>
      <c r="I2883">
        <v>562246350</v>
      </c>
      <c r="P2883">
        <v>772</v>
      </c>
      <c r="Q2883" t="s">
        <v>6104</v>
      </c>
    </row>
    <row r="2884" spans="1:17" x14ac:dyDescent="0.3">
      <c r="A2884" t="s">
        <v>4729</v>
      </c>
      <c r="B2884" t="str">
        <f>"002157"</f>
        <v>002157</v>
      </c>
      <c r="C2884" t="s">
        <v>6105</v>
      </c>
      <c r="D2884" t="s">
        <v>1900</v>
      </c>
      <c r="F2884">
        <v>545882371</v>
      </c>
      <c r="G2884">
        <v>527591958</v>
      </c>
      <c r="H2884">
        <v>394318803</v>
      </c>
      <c r="I2884">
        <v>208562305</v>
      </c>
      <c r="P2884">
        <v>1128</v>
      </c>
      <c r="Q2884" t="s">
        <v>6106</v>
      </c>
    </row>
    <row r="2885" spans="1:17" x14ac:dyDescent="0.3">
      <c r="A2885" t="s">
        <v>4729</v>
      </c>
      <c r="B2885" t="str">
        <f>"002158"</f>
        <v>002158</v>
      </c>
      <c r="C2885" t="s">
        <v>6107</v>
      </c>
      <c r="D2885" t="s">
        <v>988</v>
      </c>
      <c r="F2885">
        <v>185062159</v>
      </c>
      <c r="G2885">
        <v>172416022</v>
      </c>
      <c r="H2885">
        <v>121042714</v>
      </c>
      <c r="I2885">
        <v>114304194</v>
      </c>
      <c r="P2885">
        <v>478</v>
      </c>
      <c r="Q2885" t="s">
        <v>6108</v>
      </c>
    </row>
    <row r="2886" spans="1:17" x14ac:dyDescent="0.3">
      <c r="A2886" t="s">
        <v>4729</v>
      </c>
      <c r="B2886" t="str">
        <f>"002159"</f>
        <v>002159</v>
      </c>
      <c r="C2886" t="s">
        <v>6109</v>
      </c>
      <c r="D2886" t="s">
        <v>119</v>
      </c>
      <c r="F2886">
        <v>0</v>
      </c>
      <c r="G2886">
        <v>0</v>
      </c>
      <c r="P2886">
        <v>119</v>
      </c>
      <c r="Q2886" t="s">
        <v>6110</v>
      </c>
    </row>
    <row r="2887" spans="1:17" x14ac:dyDescent="0.3">
      <c r="A2887" t="s">
        <v>4729</v>
      </c>
      <c r="B2887" t="str">
        <f>"002160"</f>
        <v>002160</v>
      </c>
      <c r="C2887" t="s">
        <v>6111</v>
      </c>
      <c r="D2887" t="s">
        <v>504</v>
      </c>
      <c r="F2887">
        <v>208669491</v>
      </c>
      <c r="G2887">
        <v>154324993</v>
      </c>
      <c r="H2887">
        <v>140339494</v>
      </c>
      <c r="I2887">
        <v>129022483</v>
      </c>
      <c r="P2887">
        <v>166</v>
      </c>
      <c r="Q2887" t="s">
        <v>6112</v>
      </c>
    </row>
    <row r="2888" spans="1:17" x14ac:dyDescent="0.3">
      <c r="A2888" t="s">
        <v>4729</v>
      </c>
      <c r="B2888" t="str">
        <f>"002161"</f>
        <v>002161</v>
      </c>
      <c r="C2888" t="s">
        <v>6113</v>
      </c>
      <c r="D2888" t="s">
        <v>651</v>
      </c>
      <c r="F2888">
        <v>62100190</v>
      </c>
      <c r="G2888">
        <v>54949411</v>
      </c>
      <c r="H2888">
        <v>47675771</v>
      </c>
      <c r="I2888">
        <v>64635810</v>
      </c>
      <c r="P2888">
        <v>211</v>
      </c>
      <c r="Q2888" t="s">
        <v>6114</v>
      </c>
    </row>
    <row r="2889" spans="1:17" x14ac:dyDescent="0.3">
      <c r="A2889" t="s">
        <v>4729</v>
      </c>
      <c r="B2889" t="str">
        <f>"002162"</f>
        <v>002162</v>
      </c>
      <c r="C2889" t="s">
        <v>6115</v>
      </c>
      <c r="D2889" t="s">
        <v>178</v>
      </c>
      <c r="F2889">
        <v>13479279</v>
      </c>
      <c r="G2889">
        <v>13175450</v>
      </c>
      <c r="H2889">
        <v>9729195</v>
      </c>
      <c r="I2889">
        <v>10206501</v>
      </c>
      <c r="P2889">
        <v>137</v>
      </c>
      <c r="Q2889" t="s">
        <v>6116</v>
      </c>
    </row>
    <row r="2890" spans="1:17" x14ac:dyDescent="0.3">
      <c r="A2890" t="s">
        <v>4729</v>
      </c>
      <c r="B2890" t="str">
        <f>"002163"</f>
        <v>002163</v>
      </c>
      <c r="C2890" t="s">
        <v>6117</v>
      </c>
      <c r="D2890" t="s">
        <v>666</v>
      </c>
      <c r="F2890">
        <v>120596022</v>
      </c>
      <c r="G2890">
        <v>118722185</v>
      </c>
      <c r="H2890">
        <v>122638662</v>
      </c>
      <c r="I2890">
        <v>84147051</v>
      </c>
      <c r="P2890">
        <v>170</v>
      </c>
      <c r="Q2890" t="s">
        <v>6118</v>
      </c>
    </row>
    <row r="2891" spans="1:17" x14ac:dyDescent="0.3">
      <c r="A2891" t="s">
        <v>4729</v>
      </c>
      <c r="B2891" t="str">
        <f>"002164"</f>
        <v>002164</v>
      </c>
      <c r="C2891" t="s">
        <v>6119</v>
      </c>
      <c r="D2891" t="s">
        <v>274</v>
      </c>
      <c r="F2891">
        <v>65920896</v>
      </c>
      <c r="G2891">
        <v>52706513</v>
      </c>
      <c r="H2891">
        <v>44117458</v>
      </c>
      <c r="I2891">
        <v>41382473</v>
      </c>
      <c r="P2891">
        <v>187</v>
      </c>
      <c r="Q2891" t="s">
        <v>6120</v>
      </c>
    </row>
    <row r="2892" spans="1:17" x14ac:dyDescent="0.3">
      <c r="A2892" t="s">
        <v>4729</v>
      </c>
      <c r="B2892" t="str">
        <f>"002165"</f>
        <v>002165</v>
      </c>
      <c r="C2892" t="s">
        <v>6121</v>
      </c>
      <c r="D2892" t="s">
        <v>528</v>
      </c>
      <c r="F2892">
        <v>118909556</v>
      </c>
      <c r="G2892">
        <v>70086478</v>
      </c>
      <c r="H2892">
        <v>58421428</v>
      </c>
      <c r="I2892">
        <v>34958541</v>
      </c>
      <c r="P2892">
        <v>100</v>
      </c>
      <c r="Q2892" t="s">
        <v>6122</v>
      </c>
    </row>
    <row r="2893" spans="1:17" x14ac:dyDescent="0.3">
      <c r="A2893" t="s">
        <v>4729</v>
      </c>
      <c r="B2893" t="str">
        <f>"002166"</f>
        <v>002166</v>
      </c>
      <c r="C2893" t="s">
        <v>6123</v>
      </c>
      <c r="D2893" t="s">
        <v>188</v>
      </c>
      <c r="F2893">
        <v>38978112</v>
      </c>
      <c r="G2893">
        <v>24042499</v>
      </c>
      <c r="H2893">
        <v>14682044</v>
      </c>
      <c r="I2893">
        <v>10759583</v>
      </c>
      <c r="P2893">
        <v>200</v>
      </c>
      <c r="Q2893" t="s">
        <v>6124</v>
      </c>
    </row>
    <row r="2894" spans="1:17" x14ac:dyDescent="0.3">
      <c r="A2894" t="s">
        <v>4729</v>
      </c>
      <c r="B2894" t="str">
        <f>"002167"</f>
        <v>002167</v>
      </c>
      <c r="C2894" t="s">
        <v>6125</v>
      </c>
      <c r="D2894" t="s">
        <v>636</v>
      </c>
      <c r="F2894">
        <v>56525741</v>
      </c>
      <c r="G2894">
        <v>29756141</v>
      </c>
      <c r="H2894">
        <v>18980254</v>
      </c>
      <c r="I2894">
        <v>2002224</v>
      </c>
      <c r="P2894">
        <v>111</v>
      </c>
      <c r="Q2894" t="s">
        <v>6126</v>
      </c>
    </row>
    <row r="2895" spans="1:17" x14ac:dyDescent="0.3">
      <c r="A2895" t="s">
        <v>4729</v>
      </c>
      <c r="B2895" t="str">
        <f>"002168"</f>
        <v>002168</v>
      </c>
      <c r="C2895" t="s">
        <v>6127</v>
      </c>
      <c r="D2895" t="s">
        <v>517</v>
      </c>
      <c r="F2895">
        <v>40525353</v>
      </c>
      <c r="G2895">
        <v>57050212</v>
      </c>
      <c r="H2895">
        <v>72319838</v>
      </c>
      <c r="I2895">
        <v>53861968</v>
      </c>
      <c r="P2895">
        <v>158</v>
      </c>
      <c r="Q2895" t="s">
        <v>6128</v>
      </c>
    </row>
    <row r="2896" spans="1:17" x14ac:dyDescent="0.3">
      <c r="A2896" t="s">
        <v>4729</v>
      </c>
      <c r="B2896" t="str">
        <f>"002169"</f>
        <v>002169</v>
      </c>
      <c r="C2896" t="s">
        <v>6129</v>
      </c>
      <c r="D2896" t="s">
        <v>610</v>
      </c>
      <c r="F2896">
        <v>110102862</v>
      </c>
      <c r="G2896">
        <v>100900750</v>
      </c>
      <c r="H2896">
        <v>93104793</v>
      </c>
      <c r="I2896">
        <v>78450144</v>
      </c>
      <c r="P2896">
        <v>219</v>
      </c>
      <c r="Q2896" t="s">
        <v>6130</v>
      </c>
    </row>
    <row r="2897" spans="1:17" x14ac:dyDescent="0.3">
      <c r="A2897" t="s">
        <v>4729</v>
      </c>
      <c r="B2897" t="str">
        <f>"002170"</f>
        <v>002170</v>
      </c>
      <c r="C2897" t="s">
        <v>6131</v>
      </c>
      <c r="D2897" t="s">
        <v>5562</v>
      </c>
      <c r="F2897">
        <v>31918106</v>
      </c>
      <c r="G2897">
        <v>24299520</v>
      </c>
      <c r="H2897">
        <v>28844734</v>
      </c>
      <c r="I2897">
        <v>22912838</v>
      </c>
      <c r="P2897">
        <v>103</v>
      </c>
      <c r="Q2897" t="s">
        <v>6132</v>
      </c>
    </row>
    <row r="2898" spans="1:17" x14ac:dyDescent="0.3">
      <c r="A2898" t="s">
        <v>4729</v>
      </c>
      <c r="B2898" t="str">
        <f>"002171"</f>
        <v>002171</v>
      </c>
      <c r="C2898" t="s">
        <v>6133</v>
      </c>
      <c r="D2898" t="s">
        <v>263</v>
      </c>
      <c r="F2898">
        <v>1224408469</v>
      </c>
      <c r="G2898">
        <v>785683354</v>
      </c>
      <c r="H2898">
        <v>507142844</v>
      </c>
      <c r="I2898">
        <v>400569702</v>
      </c>
      <c r="P2898">
        <v>237</v>
      </c>
      <c r="Q2898" t="s">
        <v>6134</v>
      </c>
    </row>
    <row r="2899" spans="1:17" x14ac:dyDescent="0.3">
      <c r="A2899" t="s">
        <v>4729</v>
      </c>
      <c r="B2899" t="str">
        <f>"002172"</f>
        <v>002172</v>
      </c>
      <c r="C2899" t="s">
        <v>6135</v>
      </c>
      <c r="D2899" t="s">
        <v>888</v>
      </c>
      <c r="F2899">
        <v>0</v>
      </c>
      <c r="G2899">
        <v>1269895</v>
      </c>
      <c r="H2899">
        <v>20850091</v>
      </c>
      <c r="I2899">
        <v>57388175</v>
      </c>
      <c r="P2899">
        <v>141</v>
      </c>
      <c r="Q2899" t="s">
        <v>6136</v>
      </c>
    </row>
    <row r="2900" spans="1:17" x14ac:dyDescent="0.3">
      <c r="A2900" t="s">
        <v>4729</v>
      </c>
      <c r="B2900" t="str">
        <f>"002173"</f>
        <v>002173</v>
      </c>
      <c r="C2900" t="s">
        <v>6137</v>
      </c>
      <c r="D2900" t="s">
        <v>1147</v>
      </c>
      <c r="F2900">
        <v>0</v>
      </c>
      <c r="G2900">
        <v>0</v>
      </c>
      <c r="I2900">
        <v>3011062</v>
      </c>
      <c r="P2900">
        <v>125</v>
      </c>
      <c r="Q2900" t="s">
        <v>6138</v>
      </c>
    </row>
    <row r="2901" spans="1:17" x14ac:dyDescent="0.3">
      <c r="A2901" t="s">
        <v>4729</v>
      </c>
      <c r="B2901" t="str">
        <f>"002174"</f>
        <v>002174</v>
      </c>
      <c r="C2901" t="s">
        <v>6139</v>
      </c>
      <c r="D2901" t="s">
        <v>517</v>
      </c>
      <c r="F2901">
        <v>408852649</v>
      </c>
      <c r="G2901">
        <v>442784125</v>
      </c>
      <c r="H2901">
        <v>319028475</v>
      </c>
      <c r="I2901">
        <v>369531449</v>
      </c>
      <c r="P2901">
        <v>736</v>
      </c>
      <c r="Q2901" t="s">
        <v>6140</v>
      </c>
    </row>
    <row r="2902" spans="1:17" x14ac:dyDescent="0.3">
      <c r="A2902" t="s">
        <v>4729</v>
      </c>
      <c r="B2902" t="str">
        <f>"002175"</f>
        <v>002175</v>
      </c>
      <c r="C2902" t="s">
        <v>6141</v>
      </c>
      <c r="D2902" t="s">
        <v>110</v>
      </c>
      <c r="F2902">
        <v>5832034</v>
      </c>
      <c r="G2902">
        <v>5720308</v>
      </c>
      <c r="H2902">
        <v>9343194</v>
      </c>
      <c r="I2902">
        <v>12437428</v>
      </c>
      <c r="P2902">
        <v>79</v>
      </c>
      <c r="Q2902" t="s">
        <v>6142</v>
      </c>
    </row>
    <row r="2903" spans="1:17" x14ac:dyDescent="0.3">
      <c r="A2903" t="s">
        <v>4729</v>
      </c>
      <c r="B2903" t="str">
        <f>"002176"</f>
        <v>002176</v>
      </c>
      <c r="C2903" t="s">
        <v>6143</v>
      </c>
      <c r="D2903" t="s">
        <v>1171</v>
      </c>
      <c r="F2903">
        <v>112388266</v>
      </c>
      <c r="G2903">
        <v>75133528</v>
      </c>
      <c r="H2903">
        <v>161506727</v>
      </c>
      <c r="I2903">
        <v>225402271</v>
      </c>
      <c r="P2903">
        <v>315</v>
      </c>
      <c r="Q2903" t="s">
        <v>6144</v>
      </c>
    </row>
    <row r="2904" spans="1:17" x14ac:dyDescent="0.3">
      <c r="A2904" t="s">
        <v>4729</v>
      </c>
      <c r="B2904" t="str">
        <f>"002177"</f>
        <v>002177</v>
      </c>
      <c r="C2904" t="s">
        <v>6145</v>
      </c>
      <c r="D2904" t="s">
        <v>236</v>
      </c>
      <c r="F2904">
        <v>12989367</v>
      </c>
      <c r="G2904">
        <v>19273372</v>
      </c>
      <c r="H2904">
        <v>30476536</v>
      </c>
      <c r="I2904">
        <v>32706831</v>
      </c>
      <c r="P2904">
        <v>3025</v>
      </c>
      <c r="Q2904" t="s">
        <v>6146</v>
      </c>
    </row>
    <row r="2905" spans="1:17" x14ac:dyDescent="0.3">
      <c r="A2905" t="s">
        <v>4729</v>
      </c>
      <c r="B2905" t="str">
        <f>"002178"</f>
        <v>002178</v>
      </c>
      <c r="C2905" t="s">
        <v>6147</v>
      </c>
      <c r="D2905" t="s">
        <v>945</v>
      </c>
      <c r="F2905">
        <v>58602323</v>
      </c>
      <c r="G2905">
        <v>61091692</v>
      </c>
      <c r="H2905">
        <v>61123798</v>
      </c>
      <c r="I2905">
        <v>68300849</v>
      </c>
      <c r="P2905">
        <v>89</v>
      </c>
      <c r="Q2905" t="s">
        <v>6148</v>
      </c>
    </row>
    <row r="2906" spans="1:17" x14ac:dyDescent="0.3">
      <c r="A2906" t="s">
        <v>4729</v>
      </c>
      <c r="B2906" t="str">
        <f>"002179"</f>
        <v>002179</v>
      </c>
      <c r="C2906" t="s">
        <v>6149</v>
      </c>
      <c r="D2906" t="s">
        <v>1136</v>
      </c>
      <c r="F2906">
        <v>1306356386</v>
      </c>
      <c r="G2906">
        <v>962934893</v>
      </c>
      <c r="H2906">
        <v>919587086</v>
      </c>
      <c r="I2906">
        <v>663718334</v>
      </c>
      <c r="P2906">
        <v>1736</v>
      </c>
      <c r="Q2906" t="s">
        <v>6150</v>
      </c>
    </row>
    <row r="2907" spans="1:17" x14ac:dyDescent="0.3">
      <c r="A2907" t="s">
        <v>4729</v>
      </c>
      <c r="B2907" t="str">
        <f>"002180"</f>
        <v>002180</v>
      </c>
      <c r="C2907" t="s">
        <v>6151</v>
      </c>
      <c r="D2907" t="s">
        <v>461</v>
      </c>
      <c r="F2907">
        <v>1451657776</v>
      </c>
      <c r="G2907">
        <v>1247133389</v>
      </c>
      <c r="H2907">
        <v>1456904560</v>
      </c>
      <c r="I2907">
        <v>1478533802</v>
      </c>
      <c r="P2907">
        <v>470</v>
      </c>
      <c r="Q2907" t="s">
        <v>6152</v>
      </c>
    </row>
    <row r="2908" spans="1:17" x14ac:dyDescent="0.3">
      <c r="A2908" t="s">
        <v>4729</v>
      </c>
      <c r="B2908" t="str">
        <f>"002181"</f>
        <v>002181</v>
      </c>
      <c r="C2908" t="s">
        <v>6153</v>
      </c>
      <c r="D2908" t="s">
        <v>525</v>
      </c>
      <c r="F2908">
        <v>3294909</v>
      </c>
      <c r="G2908">
        <v>3025439</v>
      </c>
      <c r="H2908">
        <v>2947332</v>
      </c>
      <c r="I2908">
        <v>3953326</v>
      </c>
      <c r="P2908">
        <v>107</v>
      </c>
      <c r="Q2908" t="s">
        <v>6154</v>
      </c>
    </row>
    <row r="2909" spans="1:17" x14ac:dyDescent="0.3">
      <c r="A2909" t="s">
        <v>4729</v>
      </c>
      <c r="B2909" t="str">
        <f>"002182"</f>
        <v>002182</v>
      </c>
      <c r="C2909" t="s">
        <v>6155</v>
      </c>
      <c r="D2909" t="s">
        <v>636</v>
      </c>
      <c r="F2909">
        <v>309186447</v>
      </c>
      <c r="G2909">
        <v>231637881</v>
      </c>
      <c r="H2909">
        <v>219951870</v>
      </c>
      <c r="I2909">
        <v>183637918</v>
      </c>
      <c r="P2909">
        <v>372</v>
      </c>
      <c r="Q2909" t="s">
        <v>6156</v>
      </c>
    </row>
    <row r="2910" spans="1:17" x14ac:dyDescent="0.3">
      <c r="A2910" t="s">
        <v>4729</v>
      </c>
      <c r="B2910" t="str">
        <f>"002183"</f>
        <v>002183</v>
      </c>
      <c r="C2910" t="s">
        <v>6157</v>
      </c>
      <c r="D2910" t="s">
        <v>3125</v>
      </c>
      <c r="F2910">
        <v>12526138</v>
      </c>
      <c r="G2910">
        <v>15164054</v>
      </c>
      <c r="H2910">
        <v>17837080</v>
      </c>
      <c r="I2910">
        <v>26908057</v>
      </c>
      <c r="P2910">
        <v>261</v>
      </c>
      <c r="Q2910" t="s">
        <v>6158</v>
      </c>
    </row>
    <row r="2911" spans="1:17" x14ac:dyDescent="0.3">
      <c r="A2911" t="s">
        <v>4729</v>
      </c>
      <c r="B2911" t="str">
        <f>"002184"</f>
        <v>002184</v>
      </c>
      <c r="C2911" t="s">
        <v>6159</v>
      </c>
      <c r="D2911" t="s">
        <v>2432</v>
      </c>
      <c r="F2911">
        <v>60603466</v>
      </c>
      <c r="G2911">
        <v>69520535</v>
      </c>
      <c r="H2911">
        <v>65516443</v>
      </c>
      <c r="I2911">
        <v>86976264</v>
      </c>
      <c r="P2911">
        <v>186</v>
      </c>
      <c r="Q2911" t="s">
        <v>6160</v>
      </c>
    </row>
    <row r="2912" spans="1:17" x14ac:dyDescent="0.3">
      <c r="A2912" t="s">
        <v>4729</v>
      </c>
      <c r="B2912" t="str">
        <f>"002185"</f>
        <v>002185</v>
      </c>
      <c r="C2912" t="s">
        <v>6161</v>
      </c>
      <c r="D2912" t="s">
        <v>1180</v>
      </c>
      <c r="F2912">
        <v>649975333</v>
      </c>
      <c r="G2912">
        <v>461766295</v>
      </c>
      <c r="H2912">
        <v>402112423</v>
      </c>
      <c r="I2912">
        <v>383512036</v>
      </c>
      <c r="P2912">
        <v>1176</v>
      </c>
      <c r="Q2912" t="s">
        <v>6162</v>
      </c>
    </row>
    <row r="2913" spans="1:17" x14ac:dyDescent="0.3">
      <c r="A2913" t="s">
        <v>4729</v>
      </c>
      <c r="B2913" t="str">
        <f>"002186"</f>
        <v>002186</v>
      </c>
      <c r="C2913" t="s">
        <v>6163</v>
      </c>
      <c r="D2913" t="s">
        <v>3598</v>
      </c>
      <c r="F2913">
        <v>2916281</v>
      </c>
      <c r="G2913">
        <v>1523108</v>
      </c>
      <c r="H2913">
        <v>1082849</v>
      </c>
      <c r="I2913">
        <v>695353</v>
      </c>
      <c r="P2913">
        <v>179</v>
      </c>
      <c r="Q2913" t="s">
        <v>6164</v>
      </c>
    </row>
    <row r="2914" spans="1:17" x14ac:dyDescent="0.3">
      <c r="A2914" t="s">
        <v>4729</v>
      </c>
      <c r="B2914" t="str">
        <f>"002187"</f>
        <v>002187</v>
      </c>
      <c r="C2914" t="s">
        <v>6165</v>
      </c>
      <c r="D2914" t="s">
        <v>633</v>
      </c>
      <c r="F2914">
        <v>0</v>
      </c>
      <c r="G2914">
        <v>0</v>
      </c>
      <c r="P2914">
        <v>147</v>
      </c>
      <c r="Q2914" t="s">
        <v>6166</v>
      </c>
    </row>
    <row r="2915" spans="1:17" x14ac:dyDescent="0.3">
      <c r="A2915" t="s">
        <v>4729</v>
      </c>
      <c r="B2915" t="str">
        <f>"002188"</f>
        <v>002188</v>
      </c>
      <c r="C2915" t="s">
        <v>6167</v>
      </c>
      <c r="D2915" t="s">
        <v>207</v>
      </c>
      <c r="F2915">
        <v>1992525</v>
      </c>
      <c r="G2915">
        <v>0</v>
      </c>
      <c r="I2915">
        <v>6702873</v>
      </c>
      <c r="P2915">
        <v>69</v>
      </c>
      <c r="Q2915" t="s">
        <v>6168</v>
      </c>
    </row>
    <row r="2916" spans="1:17" x14ac:dyDescent="0.3">
      <c r="A2916" t="s">
        <v>4729</v>
      </c>
      <c r="B2916" t="str">
        <f>"002189"</f>
        <v>002189</v>
      </c>
      <c r="C2916" t="s">
        <v>6169</v>
      </c>
      <c r="D2916" t="s">
        <v>1136</v>
      </c>
      <c r="F2916">
        <v>194748149</v>
      </c>
      <c r="G2916">
        <v>188686228</v>
      </c>
      <c r="H2916">
        <v>167316258</v>
      </c>
      <c r="I2916">
        <v>171096419</v>
      </c>
      <c r="P2916">
        <v>221</v>
      </c>
      <c r="Q2916" t="s">
        <v>6170</v>
      </c>
    </row>
    <row r="2917" spans="1:17" x14ac:dyDescent="0.3">
      <c r="A2917" t="s">
        <v>4729</v>
      </c>
      <c r="B2917" t="str">
        <f>"002190"</f>
        <v>002190</v>
      </c>
      <c r="C2917" t="s">
        <v>6171</v>
      </c>
      <c r="D2917" t="s">
        <v>98</v>
      </c>
      <c r="F2917">
        <v>54410429</v>
      </c>
      <c r="G2917">
        <v>40830640</v>
      </c>
      <c r="H2917">
        <v>100066121</v>
      </c>
      <c r="I2917">
        <v>193231739</v>
      </c>
      <c r="P2917">
        <v>184</v>
      </c>
      <c r="Q2917" t="s">
        <v>6172</v>
      </c>
    </row>
    <row r="2918" spans="1:17" x14ac:dyDescent="0.3">
      <c r="A2918" t="s">
        <v>4729</v>
      </c>
      <c r="B2918" t="str">
        <f>"002191"</f>
        <v>002191</v>
      </c>
      <c r="C2918" t="s">
        <v>6173</v>
      </c>
      <c r="D2918" t="s">
        <v>2165</v>
      </c>
      <c r="F2918">
        <v>238585758</v>
      </c>
      <c r="G2918">
        <v>203020149</v>
      </c>
      <c r="H2918">
        <v>175460586</v>
      </c>
      <c r="I2918">
        <v>140312982</v>
      </c>
      <c r="P2918">
        <v>6347</v>
      </c>
      <c r="Q2918" t="s">
        <v>6174</v>
      </c>
    </row>
    <row r="2919" spans="1:17" x14ac:dyDescent="0.3">
      <c r="A2919" t="s">
        <v>4729</v>
      </c>
      <c r="B2919" t="str">
        <f>"002192"</f>
        <v>002192</v>
      </c>
      <c r="C2919" t="s">
        <v>6175</v>
      </c>
      <c r="D2919" t="s">
        <v>3776</v>
      </c>
      <c r="F2919">
        <v>35212675</v>
      </c>
      <c r="G2919">
        <v>12897943</v>
      </c>
      <c r="H2919">
        <v>27576663</v>
      </c>
      <c r="I2919">
        <v>17428897</v>
      </c>
      <c r="P2919">
        <v>230</v>
      </c>
      <c r="Q2919" t="s">
        <v>6176</v>
      </c>
    </row>
    <row r="2920" spans="1:17" x14ac:dyDescent="0.3">
      <c r="A2920" t="s">
        <v>4729</v>
      </c>
      <c r="B2920" t="str">
        <f>"002193"</f>
        <v>002193</v>
      </c>
      <c r="C2920" t="s">
        <v>6177</v>
      </c>
      <c r="D2920" t="s">
        <v>366</v>
      </c>
      <c r="F2920">
        <v>32871646</v>
      </c>
      <c r="G2920">
        <v>26734022</v>
      </c>
      <c r="H2920">
        <v>44590146</v>
      </c>
      <c r="I2920">
        <v>34433080</v>
      </c>
      <c r="P2920">
        <v>93</v>
      </c>
      <c r="Q2920" t="s">
        <v>6178</v>
      </c>
    </row>
    <row r="2921" spans="1:17" x14ac:dyDescent="0.3">
      <c r="A2921" t="s">
        <v>4729</v>
      </c>
      <c r="B2921" t="str">
        <f>"002194"</f>
        <v>002194</v>
      </c>
      <c r="C2921" t="s">
        <v>6179</v>
      </c>
      <c r="D2921" t="s">
        <v>1019</v>
      </c>
      <c r="F2921">
        <v>102092298</v>
      </c>
      <c r="G2921">
        <v>83036511</v>
      </c>
      <c r="H2921">
        <v>82114859</v>
      </c>
      <c r="I2921">
        <v>64856574</v>
      </c>
      <c r="P2921">
        <v>908</v>
      </c>
      <c r="Q2921" t="s">
        <v>6180</v>
      </c>
    </row>
    <row r="2922" spans="1:17" x14ac:dyDescent="0.3">
      <c r="A2922" t="s">
        <v>4729</v>
      </c>
      <c r="B2922" t="str">
        <f>"002195"</f>
        <v>002195</v>
      </c>
      <c r="C2922" t="s">
        <v>6181</v>
      </c>
      <c r="D2922" t="s">
        <v>316</v>
      </c>
      <c r="F2922">
        <v>147409482</v>
      </c>
      <c r="G2922">
        <v>177790843</v>
      </c>
      <c r="H2922">
        <v>247091511</v>
      </c>
      <c r="I2922">
        <v>297861977</v>
      </c>
      <c r="P2922">
        <v>558</v>
      </c>
      <c r="Q2922" t="s">
        <v>6182</v>
      </c>
    </row>
    <row r="2923" spans="1:17" x14ac:dyDescent="0.3">
      <c r="A2923" t="s">
        <v>4729</v>
      </c>
      <c r="B2923" t="str">
        <f>"002196"</f>
        <v>002196</v>
      </c>
      <c r="C2923" t="s">
        <v>6183</v>
      </c>
      <c r="D2923" t="s">
        <v>1171</v>
      </c>
      <c r="F2923">
        <v>162384281</v>
      </c>
      <c r="G2923">
        <v>119153572</v>
      </c>
      <c r="H2923">
        <v>82640445</v>
      </c>
      <c r="I2923">
        <v>79750907</v>
      </c>
      <c r="P2923">
        <v>163</v>
      </c>
      <c r="Q2923" t="s">
        <v>6184</v>
      </c>
    </row>
    <row r="2924" spans="1:17" x14ac:dyDescent="0.3">
      <c r="A2924" t="s">
        <v>4729</v>
      </c>
      <c r="B2924" t="str">
        <f>"002197"</f>
        <v>002197</v>
      </c>
      <c r="C2924" t="s">
        <v>6185</v>
      </c>
      <c r="D2924" t="s">
        <v>236</v>
      </c>
      <c r="F2924">
        <v>85836166</v>
      </c>
      <c r="G2924">
        <v>86180021</v>
      </c>
      <c r="H2924">
        <v>76222123</v>
      </c>
      <c r="I2924">
        <v>88279549</v>
      </c>
      <c r="P2924">
        <v>230</v>
      </c>
      <c r="Q2924" t="s">
        <v>6186</v>
      </c>
    </row>
    <row r="2925" spans="1:17" x14ac:dyDescent="0.3">
      <c r="A2925" t="s">
        <v>4729</v>
      </c>
      <c r="B2925" t="str">
        <f>"002198"</f>
        <v>002198</v>
      </c>
      <c r="C2925" t="s">
        <v>6187</v>
      </c>
      <c r="D2925" t="s">
        <v>188</v>
      </c>
      <c r="F2925">
        <v>14401080</v>
      </c>
      <c r="G2925">
        <v>9377920</v>
      </c>
      <c r="H2925">
        <v>14352997</v>
      </c>
      <c r="I2925">
        <v>12407496</v>
      </c>
      <c r="P2925">
        <v>120</v>
      </c>
      <c r="Q2925" t="s">
        <v>6188</v>
      </c>
    </row>
    <row r="2926" spans="1:17" x14ac:dyDescent="0.3">
      <c r="A2926" t="s">
        <v>4729</v>
      </c>
      <c r="B2926" t="str">
        <f>"002199"</f>
        <v>002199</v>
      </c>
      <c r="C2926" t="s">
        <v>6189</v>
      </c>
      <c r="D2926" t="s">
        <v>546</v>
      </c>
      <c r="F2926">
        <v>19243757</v>
      </c>
      <c r="G2926">
        <v>15363748</v>
      </c>
      <c r="H2926">
        <v>12087088</v>
      </c>
      <c r="I2926">
        <v>12546843</v>
      </c>
      <c r="P2926">
        <v>111</v>
      </c>
      <c r="Q2926" t="s">
        <v>6190</v>
      </c>
    </row>
    <row r="2927" spans="1:17" x14ac:dyDescent="0.3">
      <c r="A2927" t="s">
        <v>4729</v>
      </c>
      <c r="B2927" t="str">
        <f>"002200"</f>
        <v>002200</v>
      </c>
      <c r="C2927" t="s">
        <v>6191</v>
      </c>
      <c r="D2927" t="s">
        <v>2417</v>
      </c>
      <c r="F2927">
        <v>752803</v>
      </c>
      <c r="G2927">
        <v>3417098</v>
      </c>
      <c r="H2927">
        <v>3792004</v>
      </c>
      <c r="I2927">
        <v>5125236</v>
      </c>
      <c r="P2927">
        <v>53</v>
      </c>
      <c r="Q2927" t="s">
        <v>6192</v>
      </c>
    </row>
    <row r="2928" spans="1:17" x14ac:dyDescent="0.3">
      <c r="A2928" t="s">
        <v>4729</v>
      </c>
      <c r="B2928" t="str">
        <f>"002201"</f>
        <v>002201</v>
      </c>
      <c r="C2928" t="s">
        <v>6193</v>
      </c>
      <c r="D2928" t="s">
        <v>411</v>
      </c>
      <c r="F2928">
        <v>75157537</v>
      </c>
      <c r="G2928">
        <v>71066703</v>
      </c>
      <c r="H2928">
        <v>33298165</v>
      </c>
      <c r="I2928">
        <v>33284776</v>
      </c>
      <c r="P2928">
        <v>132</v>
      </c>
      <c r="Q2928" t="s">
        <v>6194</v>
      </c>
    </row>
    <row r="2929" spans="1:17" x14ac:dyDescent="0.3">
      <c r="A2929" t="s">
        <v>4729</v>
      </c>
      <c r="B2929" t="str">
        <f>"002202"</f>
        <v>002202</v>
      </c>
      <c r="C2929" t="s">
        <v>6195</v>
      </c>
      <c r="D2929" t="s">
        <v>895</v>
      </c>
      <c r="F2929">
        <v>1583519508</v>
      </c>
      <c r="G2929">
        <v>1478102545</v>
      </c>
      <c r="H2929">
        <v>946154720</v>
      </c>
      <c r="I2929">
        <v>1062025445</v>
      </c>
      <c r="P2929">
        <v>1283</v>
      </c>
      <c r="Q2929" t="s">
        <v>6196</v>
      </c>
    </row>
    <row r="2930" spans="1:17" x14ac:dyDescent="0.3">
      <c r="A2930" t="s">
        <v>4729</v>
      </c>
      <c r="B2930" t="str">
        <f>"002203"</f>
        <v>002203</v>
      </c>
      <c r="C2930" t="s">
        <v>6197</v>
      </c>
      <c r="D2930" t="s">
        <v>263</v>
      </c>
      <c r="F2930">
        <v>313359124</v>
      </c>
      <c r="G2930">
        <v>213237786</v>
      </c>
      <c r="H2930">
        <v>212360782</v>
      </c>
      <c r="I2930">
        <v>174803266</v>
      </c>
      <c r="P2930">
        <v>239</v>
      </c>
      <c r="Q2930" t="s">
        <v>6198</v>
      </c>
    </row>
    <row r="2931" spans="1:17" x14ac:dyDescent="0.3">
      <c r="A2931" t="s">
        <v>4729</v>
      </c>
      <c r="B2931" t="str">
        <f>"002204"</f>
        <v>002204</v>
      </c>
      <c r="C2931" t="s">
        <v>6199</v>
      </c>
      <c r="D2931" t="s">
        <v>395</v>
      </c>
      <c r="F2931">
        <v>640274166</v>
      </c>
      <c r="G2931">
        <v>494713965</v>
      </c>
      <c r="H2931">
        <v>514558256</v>
      </c>
      <c r="I2931">
        <v>396802529</v>
      </c>
      <c r="P2931">
        <v>137</v>
      </c>
      <c r="Q2931" t="s">
        <v>6200</v>
      </c>
    </row>
    <row r="2932" spans="1:17" x14ac:dyDescent="0.3">
      <c r="A2932" t="s">
        <v>4729</v>
      </c>
      <c r="B2932" t="str">
        <f>"002205"</f>
        <v>002205</v>
      </c>
      <c r="C2932" t="s">
        <v>6201</v>
      </c>
      <c r="D2932" t="s">
        <v>3575</v>
      </c>
      <c r="F2932">
        <v>19665660</v>
      </c>
      <c r="G2932">
        <v>12421221</v>
      </c>
      <c r="H2932">
        <v>13552996</v>
      </c>
      <c r="I2932">
        <v>10104102</v>
      </c>
      <c r="P2932">
        <v>86</v>
      </c>
      <c r="Q2932" t="s">
        <v>6202</v>
      </c>
    </row>
    <row r="2933" spans="1:17" x14ac:dyDescent="0.3">
      <c r="A2933" t="s">
        <v>4729</v>
      </c>
      <c r="B2933" t="str">
        <f>"002206"</f>
        <v>002206</v>
      </c>
      <c r="C2933" t="s">
        <v>6203</v>
      </c>
      <c r="D2933" t="s">
        <v>2731</v>
      </c>
      <c r="F2933">
        <v>186097879</v>
      </c>
      <c r="G2933">
        <v>147680495</v>
      </c>
      <c r="H2933">
        <v>121487673</v>
      </c>
      <c r="I2933">
        <v>135806086</v>
      </c>
      <c r="P2933">
        <v>369</v>
      </c>
      <c r="Q2933" t="s">
        <v>6204</v>
      </c>
    </row>
    <row r="2934" spans="1:17" x14ac:dyDescent="0.3">
      <c r="A2934" t="s">
        <v>4729</v>
      </c>
      <c r="B2934" t="str">
        <f>"002207"</f>
        <v>002207</v>
      </c>
      <c r="C2934" t="s">
        <v>6205</v>
      </c>
      <c r="D2934" t="s">
        <v>1762</v>
      </c>
      <c r="F2934">
        <v>0</v>
      </c>
      <c r="G2934">
        <v>0</v>
      </c>
      <c r="P2934">
        <v>73</v>
      </c>
      <c r="Q2934" t="s">
        <v>6206</v>
      </c>
    </row>
    <row r="2935" spans="1:17" x14ac:dyDescent="0.3">
      <c r="A2935" t="s">
        <v>4729</v>
      </c>
      <c r="B2935" t="str">
        <f>"002208"</f>
        <v>002208</v>
      </c>
      <c r="C2935" t="s">
        <v>6207</v>
      </c>
      <c r="D2935" t="s">
        <v>104</v>
      </c>
      <c r="F2935">
        <v>0</v>
      </c>
      <c r="G2935">
        <v>0</v>
      </c>
      <c r="P2935">
        <v>198</v>
      </c>
      <c r="Q2935" t="s">
        <v>6208</v>
      </c>
    </row>
    <row r="2936" spans="1:17" x14ac:dyDescent="0.3">
      <c r="A2936" t="s">
        <v>4729</v>
      </c>
      <c r="B2936" t="str">
        <f>"002209"</f>
        <v>002209</v>
      </c>
      <c r="C2936" t="s">
        <v>6209</v>
      </c>
      <c r="D2936" t="s">
        <v>3415</v>
      </c>
      <c r="F2936">
        <v>40768319</v>
      </c>
      <c r="G2936">
        <v>30334227</v>
      </c>
      <c r="H2936">
        <v>26212662</v>
      </c>
      <c r="I2936">
        <v>26612231</v>
      </c>
      <c r="P2936">
        <v>75</v>
      </c>
      <c r="Q2936" t="s">
        <v>6210</v>
      </c>
    </row>
    <row r="2937" spans="1:17" x14ac:dyDescent="0.3">
      <c r="A2937" t="s">
        <v>4729</v>
      </c>
      <c r="B2937" t="str">
        <f>"002210"</f>
        <v>002210</v>
      </c>
      <c r="C2937" t="s">
        <v>6211</v>
      </c>
      <c r="D2937" t="s">
        <v>128</v>
      </c>
      <c r="F2937">
        <v>5934374</v>
      </c>
      <c r="G2937">
        <v>8194811</v>
      </c>
      <c r="H2937">
        <v>7548447</v>
      </c>
      <c r="I2937">
        <v>12271788</v>
      </c>
      <c r="P2937">
        <v>83</v>
      </c>
      <c r="Q2937" t="s">
        <v>6212</v>
      </c>
    </row>
    <row r="2938" spans="1:17" x14ac:dyDescent="0.3">
      <c r="A2938" t="s">
        <v>4729</v>
      </c>
      <c r="B2938" t="str">
        <f>"002211"</f>
        <v>002211</v>
      </c>
      <c r="C2938" t="s">
        <v>6213</v>
      </c>
      <c r="D2938" t="s">
        <v>1205</v>
      </c>
      <c r="F2938">
        <v>23561919</v>
      </c>
      <c r="G2938">
        <v>26043500</v>
      </c>
      <c r="H2938">
        <v>37770428</v>
      </c>
      <c r="I2938">
        <v>38155324</v>
      </c>
      <c r="P2938">
        <v>85</v>
      </c>
      <c r="Q2938" t="s">
        <v>6214</v>
      </c>
    </row>
    <row r="2939" spans="1:17" x14ac:dyDescent="0.3">
      <c r="A2939" t="s">
        <v>4729</v>
      </c>
      <c r="B2939" t="str">
        <f>"002212"</f>
        <v>002212</v>
      </c>
      <c r="C2939" t="s">
        <v>6215</v>
      </c>
      <c r="D2939" t="s">
        <v>1189</v>
      </c>
      <c r="F2939">
        <v>802710823</v>
      </c>
      <c r="G2939">
        <v>613991114</v>
      </c>
      <c r="H2939">
        <v>502309782</v>
      </c>
      <c r="I2939">
        <v>351484246</v>
      </c>
      <c r="P2939">
        <v>249</v>
      </c>
      <c r="Q2939" t="s">
        <v>6216</v>
      </c>
    </row>
    <row r="2940" spans="1:17" x14ac:dyDescent="0.3">
      <c r="A2940" t="s">
        <v>4729</v>
      </c>
      <c r="B2940" t="str">
        <f>"002213"</f>
        <v>002213</v>
      </c>
      <c r="C2940" t="s">
        <v>6217</v>
      </c>
      <c r="D2940" t="s">
        <v>348</v>
      </c>
      <c r="F2940">
        <v>9319104</v>
      </c>
      <c r="G2940">
        <v>6773548</v>
      </c>
      <c r="H2940">
        <v>6618688</v>
      </c>
      <c r="I2940">
        <v>7203557</v>
      </c>
      <c r="P2940">
        <v>90</v>
      </c>
      <c r="Q2940" t="s">
        <v>6218</v>
      </c>
    </row>
    <row r="2941" spans="1:17" x14ac:dyDescent="0.3">
      <c r="A2941" t="s">
        <v>4729</v>
      </c>
      <c r="B2941" t="str">
        <f>"002214"</f>
        <v>002214</v>
      </c>
      <c r="C2941" t="s">
        <v>6219</v>
      </c>
      <c r="D2941" t="s">
        <v>1136</v>
      </c>
      <c r="F2941">
        <v>175603283</v>
      </c>
      <c r="G2941">
        <v>123197784</v>
      </c>
      <c r="H2941">
        <v>88177280</v>
      </c>
      <c r="I2941">
        <v>62920438</v>
      </c>
      <c r="P2941">
        <v>511</v>
      </c>
      <c r="Q2941" t="s">
        <v>6220</v>
      </c>
    </row>
    <row r="2942" spans="1:17" x14ac:dyDescent="0.3">
      <c r="A2942" t="s">
        <v>4729</v>
      </c>
      <c r="B2942" t="str">
        <f>"002215"</f>
        <v>002215</v>
      </c>
      <c r="C2942" t="s">
        <v>6221</v>
      </c>
      <c r="D2942" t="s">
        <v>853</v>
      </c>
      <c r="F2942">
        <v>107376637</v>
      </c>
      <c r="G2942">
        <v>99030779</v>
      </c>
      <c r="H2942">
        <v>92972714</v>
      </c>
      <c r="I2942">
        <v>99400170</v>
      </c>
      <c r="P2942">
        <v>175</v>
      </c>
      <c r="Q2942" t="s">
        <v>6222</v>
      </c>
    </row>
    <row r="2943" spans="1:17" x14ac:dyDescent="0.3">
      <c r="A2943" t="s">
        <v>4729</v>
      </c>
      <c r="B2943" t="str">
        <f>"002216"</f>
        <v>002216</v>
      </c>
      <c r="C2943" t="s">
        <v>6223</v>
      </c>
      <c r="D2943" t="s">
        <v>2865</v>
      </c>
      <c r="F2943">
        <v>54871410</v>
      </c>
      <c r="G2943">
        <v>48249995</v>
      </c>
      <c r="H2943">
        <v>47052556</v>
      </c>
      <c r="I2943">
        <v>18727831</v>
      </c>
      <c r="P2943">
        <v>1276</v>
      </c>
      <c r="Q2943" t="s">
        <v>6224</v>
      </c>
    </row>
    <row r="2944" spans="1:17" x14ac:dyDescent="0.3">
      <c r="A2944" t="s">
        <v>4729</v>
      </c>
      <c r="B2944" t="str">
        <f>"002217"</f>
        <v>002217</v>
      </c>
      <c r="C2944" t="s">
        <v>6225</v>
      </c>
      <c r="D2944" t="s">
        <v>1117</v>
      </c>
      <c r="F2944">
        <v>745839288</v>
      </c>
      <c r="G2944">
        <v>686218394</v>
      </c>
      <c r="H2944">
        <v>669770985</v>
      </c>
      <c r="I2944">
        <v>631650776</v>
      </c>
      <c r="P2944">
        <v>490</v>
      </c>
      <c r="Q2944" t="s">
        <v>6226</v>
      </c>
    </row>
    <row r="2945" spans="1:17" x14ac:dyDescent="0.3">
      <c r="A2945" t="s">
        <v>4729</v>
      </c>
      <c r="B2945" t="str">
        <f>"002218"</f>
        <v>002218</v>
      </c>
      <c r="C2945" t="s">
        <v>6227</v>
      </c>
      <c r="D2945" t="s">
        <v>478</v>
      </c>
      <c r="F2945">
        <v>25307330</v>
      </c>
      <c r="G2945">
        <v>22420433</v>
      </c>
      <c r="H2945">
        <v>6198884</v>
      </c>
      <c r="I2945">
        <v>3963474</v>
      </c>
      <c r="P2945">
        <v>218</v>
      </c>
      <c r="Q2945" t="s">
        <v>6228</v>
      </c>
    </row>
    <row r="2946" spans="1:17" x14ac:dyDescent="0.3">
      <c r="A2946" t="s">
        <v>4729</v>
      </c>
      <c r="B2946" t="str">
        <f>"002219"</f>
        <v>002219</v>
      </c>
      <c r="C2946" t="s">
        <v>6229</v>
      </c>
      <c r="D2946" t="s">
        <v>1147</v>
      </c>
      <c r="F2946">
        <v>444481</v>
      </c>
      <c r="G2946">
        <v>296938</v>
      </c>
      <c r="H2946">
        <v>1292864</v>
      </c>
      <c r="I2946">
        <v>8267725</v>
      </c>
      <c r="P2946">
        <v>94</v>
      </c>
      <c r="Q2946" t="s">
        <v>6230</v>
      </c>
    </row>
    <row r="2947" spans="1:17" x14ac:dyDescent="0.3">
      <c r="A2947" t="s">
        <v>4729</v>
      </c>
      <c r="B2947" t="str">
        <f>"002220"</f>
        <v>002220</v>
      </c>
      <c r="C2947" t="s">
        <v>6231</v>
      </c>
      <c r="H2947">
        <v>0</v>
      </c>
      <c r="I2947">
        <v>0</v>
      </c>
      <c r="P2947">
        <v>51</v>
      </c>
      <c r="Q2947" t="s">
        <v>6232</v>
      </c>
    </row>
    <row r="2948" spans="1:17" x14ac:dyDescent="0.3">
      <c r="A2948" t="s">
        <v>4729</v>
      </c>
      <c r="B2948" t="str">
        <f>"002221"</f>
        <v>002221</v>
      </c>
      <c r="C2948" t="s">
        <v>6233</v>
      </c>
      <c r="D2948" t="s">
        <v>1617</v>
      </c>
      <c r="F2948">
        <v>116459019</v>
      </c>
      <c r="G2948">
        <v>95017807</v>
      </c>
      <c r="H2948">
        <v>3957757</v>
      </c>
      <c r="I2948">
        <v>13092778</v>
      </c>
      <c r="P2948">
        <v>390</v>
      </c>
      <c r="Q2948" t="s">
        <v>6234</v>
      </c>
    </row>
    <row r="2949" spans="1:17" x14ac:dyDescent="0.3">
      <c r="A2949" t="s">
        <v>4729</v>
      </c>
      <c r="B2949" t="str">
        <f>"002222"</f>
        <v>002222</v>
      </c>
      <c r="C2949" t="s">
        <v>6235</v>
      </c>
      <c r="D2949" t="s">
        <v>164</v>
      </c>
      <c r="F2949">
        <v>61134409</v>
      </c>
      <c r="G2949">
        <v>56097151</v>
      </c>
      <c r="H2949">
        <v>54101599</v>
      </c>
      <c r="I2949">
        <v>46803509</v>
      </c>
      <c r="P2949">
        <v>517</v>
      </c>
      <c r="Q2949" t="s">
        <v>6236</v>
      </c>
    </row>
    <row r="2950" spans="1:17" x14ac:dyDescent="0.3">
      <c r="A2950" t="s">
        <v>4729</v>
      </c>
      <c r="B2950" t="str">
        <f>"002223"</f>
        <v>002223</v>
      </c>
      <c r="C2950" t="s">
        <v>6237</v>
      </c>
      <c r="D2950" t="s">
        <v>122</v>
      </c>
      <c r="F2950">
        <v>425668478</v>
      </c>
      <c r="G2950">
        <v>401516788</v>
      </c>
      <c r="H2950">
        <v>235067581</v>
      </c>
      <c r="I2950">
        <v>152120543</v>
      </c>
      <c r="P2950">
        <v>17492</v>
      </c>
      <c r="Q2950" t="s">
        <v>6238</v>
      </c>
    </row>
    <row r="2951" spans="1:17" x14ac:dyDescent="0.3">
      <c r="A2951" t="s">
        <v>4729</v>
      </c>
      <c r="B2951" t="str">
        <f>"002224"</f>
        <v>002224</v>
      </c>
      <c r="C2951" t="s">
        <v>6239</v>
      </c>
      <c r="D2951" t="s">
        <v>2469</v>
      </c>
      <c r="F2951">
        <v>36297472</v>
      </c>
      <c r="G2951">
        <v>35001720</v>
      </c>
      <c r="H2951">
        <v>35226913</v>
      </c>
      <c r="I2951">
        <v>29238230</v>
      </c>
      <c r="P2951">
        <v>186</v>
      </c>
      <c r="Q2951" t="s">
        <v>6240</v>
      </c>
    </row>
    <row r="2952" spans="1:17" x14ac:dyDescent="0.3">
      <c r="A2952" t="s">
        <v>4729</v>
      </c>
      <c r="B2952" t="str">
        <f>"002225"</f>
        <v>002225</v>
      </c>
      <c r="C2952" t="s">
        <v>6241</v>
      </c>
      <c r="D2952" t="s">
        <v>5922</v>
      </c>
      <c r="F2952">
        <v>189166523</v>
      </c>
      <c r="G2952">
        <v>175706841</v>
      </c>
      <c r="H2952">
        <v>192801496</v>
      </c>
      <c r="I2952">
        <v>169163946</v>
      </c>
      <c r="J2952">
        <v>135206438</v>
      </c>
      <c r="P2952">
        <v>142</v>
      </c>
      <c r="Q2952" t="s">
        <v>6242</v>
      </c>
    </row>
    <row r="2953" spans="1:17" x14ac:dyDescent="0.3">
      <c r="A2953" t="s">
        <v>4729</v>
      </c>
      <c r="B2953" t="str">
        <f>"002226"</f>
        <v>002226</v>
      </c>
      <c r="C2953" t="s">
        <v>6243</v>
      </c>
      <c r="D2953" t="s">
        <v>2736</v>
      </c>
      <c r="F2953">
        <v>153710214</v>
      </c>
      <c r="G2953">
        <v>63170719</v>
      </c>
      <c r="H2953">
        <v>42754080</v>
      </c>
      <c r="I2953">
        <v>38798555</v>
      </c>
      <c r="P2953">
        <v>172</v>
      </c>
      <c r="Q2953" t="s">
        <v>6244</v>
      </c>
    </row>
    <row r="2954" spans="1:17" x14ac:dyDescent="0.3">
      <c r="A2954" t="s">
        <v>4729</v>
      </c>
      <c r="B2954" t="str">
        <f>"002227"</f>
        <v>002227</v>
      </c>
      <c r="C2954" t="s">
        <v>6245</v>
      </c>
      <c r="D2954" t="s">
        <v>470</v>
      </c>
      <c r="F2954">
        <v>24522280</v>
      </c>
      <c r="G2954">
        <v>25448101</v>
      </c>
      <c r="H2954">
        <v>29201350</v>
      </c>
      <c r="I2954">
        <v>27592484</v>
      </c>
      <c r="P2954">
        <v>162</v>
      </c>
      <c r="Q2954" t="s">
        <v>6246</v>
      </c>
    </row>
    <row r="2955" spans="1:17" x14ac:dyDescent="0.3">
      <c r="A2955" t="s">
        <v>4729</v>
      </c>
      <c r="B2955" t="str">
        <f>"002228"</f>
        <v>002228</v>
      </c>
      <c r="C2955" t="s">
        <v>6247</v>
      </c>
      <c r="D2955" t="s">
        <v>2165</v>
      </c>
      <c r="F2955">
        <v>304527175</v>
      </c>
      <c r="G2955">
        <v>194256387</v>
      </c>
      <c r="H2955">
        <v>136985799</v>
      </c>
      <c r="I2955">
        <v>117204062</v>
      </c>
      <c r="J2955">
        <v>98498895</v>
      </c>
      <c r="K2955">
        <v>40669919</v>
      </c>
      <c r="P2955">
        <v>290</v>
      </c>
      <c r="Q2955" t="s">
        <v>6248</v>
      </c>
    </row>
    <row r="2956" spans="1:17" x14ac:dyDescent="0.3">
      <c r="A2956" t="s">
        <v>4729</v>
      </c>
      <c r="B2956" t="str">
        <f>"002229"</f>
        <v>002229</v>
      </c>
      <c r="C2956" t="s">
        <v>6249</v>
      </c>
      <c r="D2956" t="s">
        <v>1694</v>
      </c>
      <c r="F2956">
        <v>22985966</v>
      </c>
      <c r="G2956">
        <v>21159854</v>
      </c>
      <c r="H2956">
        <v>23466835</v>
      </c>
      <c r="I2956">
        <v>24226569</v>
      </c>
      <c r="P2956">
        <v>118</v>
      </c>
      <c r="Q2956" t="s">
        <v>6250</v>
      </c>
    </row>
    <row r="2957" spans="1:17" x14ac:dyDescent="0.3">
      <c r="A2957" t="s">
        <v>4729</v>
      </c>
      <c r="B2957" t="str">
        <f>"002230"</f>
        <v>002230</v>
      </c>
      <c r="C2957" t="s">
        <v>6251</v>
      </c>
      <c r="D2957" t="s">
        <v>1189</v>
      </c>
      <c r="F2957">
        <v>2829840978</v>
      </c>
      <c r="G2957">
        <v>2211061147</v>
      </c>
      <c r="H2957">
        <v>1639545496</v>
      </c>
      <c r="I2957">
        <v>939224221</v>
      </c>
      <c r="P2957">
        <v>3020</v>
      </c>
      <c r="Q2957" t="s">
        <v>6252</v>
      </c>
    </row>
    <row r="2958" spans="1:17" x14ac:dyDescent="0.3">
      <c r="A2958" t="s">
        <v>4729</v>
      </c>
      <c r="B2958" t="str">
        <f>"002231"</f>
        <v>002231</v>
      </c>
      <c r="C2958" t="s">
        <v>6253</v>
      </c>
      <c r="D2958" t="s">
        <v>1136</v>
      </c>
      <c r="F2958">
        <v>21528813</v>
      </c>
      <c r="G2958">
        <v>17214281</v>
      </c>
      <c r="H2958">
        <v>12194774</v>
      </c>
      <c r="I2958">
        <v>11031896</v>
      </c>
      <c r="P2958">
        <v>155</v>
      </c>
      <c r="Q2958" t="s">
        <v>6254</v>
      </c>
    </row>
    <row r="2959" spans="1:17" x14ac:dyDescent="0.3">
      <c r="A2959" t="s">
        <v>4729</v>
      </c>
      <c r="B2959" t="str">
        <f>"002232"</f>
        <v>002232</v>
      </c>
      <c r="C2959" t="s">
        <v>6255</v>
      </c>
      <c r="D2959" t="s">
        <v>316</v>
      </c>
      <c r="F2959">
        <v>80086332</v>
      </c>
      <c r="G2959">
        <v>83559571</v>
      </c>
      <c r="H2959">
        <v>39052741</v>
      </c>
      <c r="I2959">
        <v>30847612</v>
      </c>
      <c r="P2959">
        <v>247</v>
      </c>
      <c r="Q2959" t="s">
        <v>6256</v>
      </c>
    </row>
    <row r="2960" spans="1:17" x14ac:dyDescent="0.3">
      <c r="A2960" t="s">
        <v>4729</v>
      </c>
      <c r="B2960" t="str">
        <f>"002233"</f>
        <v>002233</v>
      </c>
      <c r="C2960" t="s">
        <v>6257</v>
      </c>
      <c r="D2960" t="s">
        <v>731</v>
      </c>
      <c r="F2960">
        <v>16959657</v>
      </c>
      <c r="G2960">
        <v>8368226</v>
      </c>
      <c r="H2960">
        <v>6186432</v>
      </c>
      <c r="I2960">
        <v>3066690</v>
      </c>
      <c r="P2960">
        <v>1388</v>
      </c>
      <c r="Q2960" t="s">
        <v>6258</v>
      </c>
    </row>
    <row r="2961" spans="1:17" x14ac:dyDescent="0.3">
      <c r="A2961" t="s">
        <v>4729</v>
      </c>
      <c r="B2961" t="str">
        <f>"002234"</f>
        <v>002234</v>
      </c>
      <c r="C2961" t="s">
        <v>6259</v>
      </c>
      <c r="D2961" t="s">
        <v>6260</v>
      </c>
      <c r="F2961">
        <v>10609931</v>
      </c>
      <c r="G2961">
        <v>8258148</v>
      </c>
      <c r="H2961">
        <v>6740449</v>
      </c>
      <c r="I2961">
        <v>2880126</v>
      </c>
      <c r="P2961">
        <v>577</v>
      </c>
      <c r="Q2961" t="s">
        <v>6261</v>
      </c>
    </row>
    <row r="2962" spans="1:17" x14ac:dyDescent="0.3">
      <c r="A2962" t="s">
        <v>4729</v>
      </c>
      <c r="B2962" t="str">
        <f>"002235"</f>
        <v>002235</v>
      </c>
      <c r="C2962" t="s">
        <v>6262</v>
      </c>
      <c r="D2962" t="s">
        <v>244</v>
      </c>
      <c r="F2962">
        <v>18540958</v>
      </c>
      <c r="G2962">
        <v>14332894</v>
      </c>
      <c r="H2962">
        <v>22134615</v>
      </c>
      <c r="I2962">
        <v>27030292</v>
      </c>
      <c r="P2962">
        <v>142</v>
      </c>
      <c r="Q2962" t="s">
        <v>6263</v>
      </c>
    </row>
    <row r="2963" spans="1:17" x14ac:dyDescent="0.3">
      <c r="A2963" t="s">
        <v>4729</v>
      </c>
      <c r="B2963" t="str">
        <f>"002236"</f>
        <v>002236</v>
      </c>
      <c r="C2963" t="s">
        <v>6264</v>
      </c>
      <c r="D2963" t="s">
        <v>2980</v>
      </c>
      <c r="F2963">
        <v>3451978394</v>
      </c>
      <c r="G2963">
        <v>2997545667</v>
      </c>
      <c r="H2963">
        <v>2794219504</v>
      </c>
      <c r="I2963">
        <v>2283872503</v>
      </c>
      <c r="P2963">
        <v>32899</v>
      </c>
      <c r="Q2963" t="s">
        <v>6265</v>
      </c>
    </row>
    <row r="2964" spans="1:17" x14ac:dyDescent="0.3">
      <c r="A2964" t="s">
        <v>4729</v>
      </c>
      <c r="B2964" t="str">
        <f>"002237"</f>
        <v>002237</v>
      </c>
      <c r="C2964" t="s">
        <v>6266</v>
      </c>
      <c r="D2964" t="s">
        <v>701</v>
      </c>
      <c r="F2964">
        <v>135344216</v>
      </c>
      <c r="G2964">
        <v>103617758</v>
      </c>
      <c r="H2964">
        <v>62071216</v>
      </c>
      <c r="I2964">
        <v>60137531</v>
      </c>
      <c r="P2964">
        <v>193</v>
      </c>
      <c r="Q2964" t="s">
        <v>6267</v>
      </c>
    </row>
    <row r="2965" spans="1:17" x14ac:dyDescent="0.3">
      <c r="A2965" t="s">
        <v>4729</v>
      </c>
      <c r="B2965" t="str">
        <f>"002238"</f>
        <v>002238</v>
      </c>
      <c r="C2965" t="s">
        <v>6268</v>
      </c>
      <c r="D2965" t="s">
        <v>95</v>
      </c>
      <c r="F2965">
        <v>82821065</v>
      </c>
      <c r="G2965">
        <v>78053367</v>
      </c>
      <c r="H2965">
        <v>77425578</v>
      </c>
      <c r="I2965">
        <v>60788153</v>
      </c>
      <c r="P2965">
        <v>205</v>
      </c>
      <c r="Q2965" t="s">
        <v>6269</v>
      </c>
    </row>
    <row r="2966" spans="1:17" x14ac:dyDescent="0.3">
      <c r="A2966" t="s">
        <v>4729</v>
      </c>
      <c r="B2966" t="str">
        <f>"002239"</f>
        <v>002239</v>
      </c>
      <c r="C2966" t="s">
        <v>6270</v>
      </c>
      <c r="D2966" t="s">
        <v>1415</v>
      </c>
      <c r="F2966">
        <v>144607974</v>
      </c>
      <c r="G2966">
        <v>173662872</v>
      </c>
      <c r="H2966">
        <v>109843569</v>
      </c>
      <c r="I2966">
        <v>88308912</v>
      </c>
      <c r="P2966">
        <v>242</v>
      </c>
      <c r="Q2966" t="s">
        <v>6271</v>
      </c>
    </row>
    <row r="2967" spans="1:17" x14ac:dyDescent="0.3">
      <c r="A2967" t="s">
        <v>4729</v>
      </c>
      <c r="B2967" t="str">
        <f>"002240"</f>
        <v>002240</v>
      </c>
      <c r="C2967" t="s">
        <v>6272</v>
      </c>
      <c r="D2967" t="s">
        <v>5371</v>
      </c>
      <c r="F2967">
        <v>8588675</v>
      </c>
      <c r="G2967">
        <v>29874521</v>
      </c>
      <c r="H2967">
        <v>21483867</v>
      </c>
      <c r="P2967">
        <v>389</v>
      </c>
      <c r="Q2967" t="s">
        <v>6273</v>
      </c>
    </row>
    <row r="2968" spans="1:17" x14ac:dyDescent="0.3">
      <c r="A2968" t="s">
        <v>4729</v>
      </c>
      <c r="B2968" t="str">
        <f>"002241"</f>
        <v>002241</v>
      </c>
      <c r="C2968" t="s">
        <v>6274</v>
      </c>
      <c r="D2968" t="s">
        <v>313</v>
      </c>
      <c r="F2968">
        <v>4170074282</v>
      </c>
      <c r="G2968">
        <v>3425971012</v>
      </c>
      <c r="H2968">
        <v>1806796550</v>
      </c>
      <c r="I2968">
        <v>1334266411</v>
      </c>
      <c r="P2968">
        <v>3528</v>
      </c>
      <c r="Q2968" t="s">
        <v>6275</v>
      </c>
    </row>
    <row r="2969" spans="1:17" x14ac:dyDescent="0.3">
      <c r="A2969" t="s">
        <v>4729</v>
      </c>
      <c r="B2969" t="str">
        <f>"002242"</f>
        <v>002242</v>
      </c>
      <c r="C2969" t="s">
        <v>6276</v>
      </c>
      <c r="D2969" t="s">
        <v>5799</v>
      </c>
      <c r="F2969">
        <v>357278725</v>
      </c>
      <c r="G2969">
        <v>345841937</v>
      </c>
      <c r="H2969">
        <v>330378806</v>
      </c>
      <c r="I2969">
        <v>297666696</v>
      </c>
      <c r="P2969">
        <v>54901</v>
      </c>
      <c r="Q2969" t="s">
        <v>6277</v>
      </c>
    </row>
    <row r="2970" spans="1:17" x14ac:dyDescent="0.3">
      <c r="A2970" t="s">
        <v>4729</v>
      </c>
      <c r="B2970" t="str">
        <f>"002243"</f>
        <v>002243</v>
      </c>
      <c r="C2970" t="s">
        <v>6278</v>
      </c>
      <c r="D2970" t="s">
        <v>5979</v>
      </c>
      <c r="F2970">
        <v>119461626</v>
      </c>
      <c r="G2970">
        <v>106146463</v>
      </c>
      <c r="H2970">
        <v>92492315</v>
      </c>
      <c r="I2970">
        <v>72732005</v>
      </c>
      <c r="P2970">
        <v>155</v>
      </c>
      <c r="Q2970" t="s">
        <v>6279</v>
      </c>
    </row>
    <row r="2971" spans="1:17" x14ac:dyDescent="0.3">
      <c r="A2971" t="s">
        <v>4729</v>
      </c>
      <c r="B2971" t="str">
        <f>"002244"</f>
        <v>002244</v>
      </c>
      <c r="C2971" t="s">
        <v>6280</v>
      </c>
      <c r="D2971" t="s">
        <v>104</v>
      </c>
      <c r="F2971">
        <v>0</v>
      </c>
      <c r="G2971">
        <v>0</v>
      </c>
      <c r="P2971">
        <v>403</v>
      </c>
      <c r="Q2971" t="s">
        <v>6281</v>
      </c>
    </row>
    <row r="2972" spans="1:17" x14ac:dyDescent="0.3">
      <c r="A2972" t="s">
        <v>4729</v>
      </c>
      <c r="B2972" t="str">
        <f>"002245"</f>
        <v>002245</v>
      </c>
      <c r="C2972" t="s">
        <v>6282</v>
      </c>
      <c r="D2972" t="s">
        <v>359</v>
      </c>
      <c r="F2972">
        <v>340107253</v>
      </c>
      <c r="G2972">
        <v>157389040</v>
      </c>
      <c r="H2972">
        <v>145629992</v>
      </c>
      <c r="I2972">
        <v>226174433</v>
      </c>
      <c r="P2972">
        <v>377</v>
      </c>
      <c r="Q2972" t="s">
        <v>6283</v>
      </c>
    </row>
    <row r="2973" spans="1:17" x14ac:dyDescent="0.3">
      <c r="A2973" t="s">
        <v>4729</v>
      </c>
      <c r="B2973" t="str">
        <f>"002246"</f>
        <v>002246</v>
      </c>
      <c r="C2973" t="s">
        <v>6284</v>
      </c>
      <c r="D2973" t="s">
        <v>2736</v>
      </c>
      <c r="F2973">
        <v>110361394</v>
      </c>
      <c r="G2973">
        <v>94207591</v>
      </c>
      <c r="H2973">
        <v>96024100</v>
      </c>
      <c r="I2973">
        <v>84658925</v>
      </c>
      <c r="P2973">
        <v>117</v>
      </c>
      <c r="Q2973" t="s">
        <v>6285</v>
      </c>
    </row>
    <row r="2974" spans="1:17" x14ac:dyDescent="0.3">
      <c r="A2974" t="s">
        <v>4729</v>
      </c>
      <c r="B2974" t="str">
        <f>"002247"</f>
        <v>002247</v>
      </c>
      <c r="C2974" t="s">
        <v>6286</v>
      </c>
      <c r="D2974" t="s">
        <v>207</v>
      </c>
      <c r="F2974">
        <v>43497806</v>
      </c>
      <c r="G2974">
        <v>40829654</v>
      </c>
      <c r="H2974">
        <v>55611735</v>
      </c>
      <c r="I2974">
        <v>49123447</v>
      </c>
      <c r="P2974">
        <v>90</v>
      </c>
      <c r="Q2974" t="s">
        <v>6287</v>
      </c>
    </row>
    <row r="2975" spans="1:17" x14ac:dyDescent="0.3">
      <c r="A2975" t="s">
        <v>4729</v>
      </c>
      <c r="B2975" t="str">
        <f>"002248"</f>
        <v>002248</v>
      </c>
      <c r="C2975" t="s">
        <v>6288</v>
      </c>
      <c r="D2975" t="s">
        <v>2321</v>
      </c>
      <c r="F2975">
        <v>12844951</v>
      </c>
      <c r="G2975">
        <v>9962023</v>
      </c>
      <c r="H2975">
        <v>7229794</v>
      </c>
      <c r="I2975">
        <v>7948410</v>
      </c>
      <c r="P2975">
        <v>109</v>
      </c>
      <c r="Q2975" t="s">
        <v>6289</v>
      </c>
    </row>
    <row r="2976" spans="1:17" x14ac:dyDescent="0.3">
      <c r="A2976" t="s">
        <v>4729</v>
      </c>
      <c r="B2976" t="str">
        <f>"002249"</f>
        <v>002249</v>
      </c>
      <c r="C2976" t="s">
        <v>6290</v>
      </c>
      <c r="D2976" t="s">
        <v>1171</v>
      </c>
      <c r="F2976">
        <v>369826771</v>
      </c>
      <c r="G2976">
        <v>352889362</v>
      </c>
      <c r="H2976">
        <v>343895346</v>
      </c>
      <c r="I2976">
        <v>324872182</v>
      </c>
      <c r="P2976">
        <v>340</v>
      </c>
      <c r="Q2976" t="s">
        <v>6291</v>
      </c>
    </row>
    <row r="2977" spans="1:17" x14ac:dyDescent="0.3">
      <c r="A2977" t="s">
        <v>4729</v>
      </c>
      <c r="B2977" t="str">
        <f>"002250"</f>
        <v>002250</v>
      </c>
      <c r="C2977" t="s">
        <v>6292</v>
      </c>
      <c r="D2977" t="s">
        <v>853</v>
      </c>
      <c r="F2977">
        <v>317120216</v>
      </c>
      <c r="G2977">
        <v>262761333</v>
      </c>
      <c r="H2977">
        <v>218379894</v>
      </c>
      <c r="I2977">
        <v>176392005</v>
      </c>
      <c r="P2977">
        <v>348</v>
      </c>
      <c r="Q2977" t="s">
        <v>6293</v>
      </c>
    </row>
    <row r="2978" spans="1:17" x14ac:dyDescent="0.3">
      <c r="A2978" t="s">
        <v>4729</v>
      </c>
      <c r="B2978" t="str">
        <f>"002251"</f>
        <v>002251</v>
      </c>
      <c r="C2978" t="s">
        <v>6294</v>
      </c>
      <c r="D2978" t="s">
        <v>798</v>
      </c>
      <c r="F2978">
        <v>26910883</v>
      </c>
      <c r="G2978">
        <v>27454860</v>
      </c>
      <c r="H2978">
        <v>26002369</v>
      </c>
      <c r="I2978">
        <v>8637717</v>
      </c>
      <c r="P2978">
        <v>196</v>
      </c>
      <c r="Q2978" t="s">
        <v>6295</v>
      </c>
    </row>
    <row r="2979" spans="1:17" x14ac:dyDescent="0.3">
      <c r="A2979" t="s">
        <v>4729</v>
      </c>
      <c r="B2979" t="str">
        <f>"002252"</f>
        <v>002252</v>
      </c>
      <c r="C2979" t="s">
        <v>6296</v>
      </c>
      <c r="D2979" t="s">
        <v>378</v>
      </c>
      <c r="F2979">
        <v>129019787</v>
      </c>
      <c r="G2979">
        <v>129692988</v>
      </c>
      <c r="H2979">
        <v>102437381</v>
      </c>
      <c r="I2979">
        <v>96182988</v>
      </c>
      <c r="P2979">
        <v>602</v>
      </c>
      <c r="Q2979" t="s">
        <v>6297</v>
      </c>
    </row>
    <row r="2980" spans="1:17" x14ac:dyDescent="0.3">
      <c r="A2980" t="s">
        <v>4729</v>
      </c>
      <c r="B2980" t="str">
        <f>"002253"</f>
        <v>002253</v>
      </c>
      <c r="C2980" t="s">
        <v>6298</v>
      </c>
      <c r="D2980" t="s">
        <v>945</v>
      </c>
      <c r="F2980">
        <v>37581785</v>
      </c>
      <c r="G2980">
        <v>24560678</v>
      </c>
      <c r="H2980">
        <v>20048874</v>
      </c>
      <c r="I2980">
        <v>6062268</v>
      </c>
      <c r="P2980">
        <v>151</v>
      </c>
      <c r="Q2980" t="s">
        <v>6299</v>
      </c>
    </row>
    <row r="2981" spans="1:17" x14ac:dyDescent="0.3">
      <c r="A2981" t="s">
        <v>4729</v>
      </c>
      <c r="B2981" t="str">
        <f>"002254"</f>
        <v>002254</v>
      </c>
      <c r="C2981" t="s">
        <v>6300</v>
      </c>
      <c r="D2981" t="s">
        <v>5631</v>
      </c>
      <c r="F2981">
        <v>193150617</v>
      </c>
      <c r="G2981">
        <v>116509682</v>
      </c>
      <c r="H2981">
        <v>66673638</v>
      </c>
      <c r="I2981">
        <v>78832378</v>
      </c>
      <c r="P2981">
        <v>215</v>
      </c>
      <c r="Q2981" t="s">
        <v>6301</v>
      </c>
    </row>
    <row r="2982" spans="1:17" x14ac:dyDescent="0.3">
      <c r="A2982" t="s">
        <v>4729</v>
      </c>
      <c r="B2982" t="str">
        <f>"002255"</f>
        <v>002255</v>
      </c>
      <c r="C2982" t="s">
        <v>6302</v>
      </c>
      <c r="D2982" t="s">
        <v>470</v>
      </c>
      <c r="F2982">
        <v>94175377</v>
      </c>
      <c r="G2982">
        <v>54543439</v>
      </c>
      <c r="H2982">
        <v>56330525</v>
      </c>
      <c r="I2982">
        <v>57190693</v>
      </c>
      <c r="P2982">
        <v>107</v>
      </c>
      <c r="Q2982" t="s">
        <v>6303</v>
      </c>
    </row>
    <row r="2983" spans="1:17" x14ac:dyDescent="0.3">
      <c r="A2983" t="s">
        <v>4729</v>
      </c>
      <c r="B2983" t="str">
        <f>"002256"</f>
        <v>002256</v>
      </c>
      <c r="C2983" t="s">
        <v>6304</v>
      </c>
      <c r="D2983" t="s">
        <v>86</v>
      </c>
      <c r="F2983">
        <v>8108067</v>
      </c>
      <c r="G2983">
        <v>12462341</v>
      </c>
      <c r="H2983">
        <v>10975433</v>
      </c>
      <c r="I2983">
        <v>13513452</v>
      </c>
      <c r="P2983">
        <v>151</v>
      </c>
      <c r="Q2983" t="s">
        <v>6305</v>
      </c>
    </row>
    <row r="2984" spans="1:17" x14ac:dyDescent="0.3">
      <c r="A2984" t="s">
        <v>4729</v>
      </c>
      <c r="B2984" t="str">
        <f>"002258"</f>
        <v>002258</v>
      </c>
      <c r="C2984" t="s">
        <v>6306</v>
      </c>
      <c r="D2984" t="s">
        <v>853</v>
      </c>
      <c r="F2984">
        <v>247090973</v>
      </c>
      <c r="G2984">
        <v>188091142</v>
      </c>
      <c r="H2984">
        <v>221222479</v>
      </c>
      <c r="I2984">
        <v>165465385</v>
      </c>
      <c r="P2984">
        <v>646</v>
      </c>
      <c r="Q2984" t="s">
        <v>6307</v>
      </c>
    </row>
    <row r="2985" spans="1:17" x14ac:dyDescent="0.3">
      <c r="A2985" t="s">
        <v>4729</v>
      </c>
      <c r="B2985" t="str">
        <f>"002259"</f>
        <v>002259</v>
      </c>
      <c r="C2985" t="s">
        <v>6308</v>
      </c>
      <c r="D2985" t="s">
        <v>749</v>
      </c>
      <c r="F2985">
        <v>0</v>
      </c>
      <c r="G2985">
        <v>0</v>
      </c>
      <c r="P2985">
        <v>59</v>
      </c>
      <c r="Q2985" t="s">
        <v>6309</v>
      </c>
    </row>
    <row r="2986" spans="1:17" x14ac:dyDescent="0.3">
      <c r="A2986" t="s">
        <v>4729</v>
      </c>
      <c r="B2986" t="str">
        <f>"002260"</f>
        <v>002260</v>
      </c>
      <c r="C2986" t="s">
        <v>6310</v>
      </c>
      <c r="D2986" t="s">
        <v>5799</v>
      </c>
      <c r="F2986">
        <v>18783680</v>
      </c>
      <c r="G2986">
        <v>18561425</v>
      </c>
      <c r="H2986">
        <v>18685189</v>
      </c>
      <c r="I2986">
        <v>27611509</v>
      </c>
      <c r="P2986">
        <v>57</v>
      </c>
      <c r="Q2986" t="s">
        <v>6311</v>
      </c>
    </row>
    <row r="2987" spans="1:17" x14ac:dyDescent="0.3">
      <c r="A2987" t="s">
        <v>4729</v>
      </c>
      <c r="B2987" t="str">
        <f>"002261"</f>
        <v>002261</v>
      </c>
      <c r="C2987" t="s">
        <v>6312</v>
      </c>
      <c r="D2987" t="s">
        <v>1285</v>
      </c>
      <c r="F2987">
        <v>176307000</v>
      </c>
      <c r="G2987">
        <v>140956819</v>
      </c>
      <c r="H2987">
        <v>128391008</v>
      </c>
      <c r="I2987">
        <v>137840075</v>
      </c>
      <c r="P2987">
        <v>299</v>
      </c>
      <c r="Q2987" t="s">
        <v>6313</v>
      </c>
    </row>
    <row r="2988" spans="1:17" x14ac:dyDescent="0.3">
      <c r="A2988" t="s">
        <v>4729</v>
      </c>
      <c r="B2988" t="str">
        <f>"002262"</f>
        <v>002262</v>
      </c>
      <c r="C2988" t="s">
        <v>6314</v>
      </c>
      <c r="D2988" t="s">
        <v>143</v>
      </c>
      <c r="F2988">
        <v>351725811</v>
      </c>
      <c r="G2988">
        <v>245863036</v>
      </c>
      <c r="H2988">
        <v>188974078</v>
      </c>
      <c r="I2988">
        <v>172025076</v>
      </c>
      <c r="P2988">
        <v>51363</v>
      </c>
      <c r="Q2988" t="s">
        <v>6315</v>
      </c>
    </row>
    <row r="2989" spans="1:17" x14ac:dyDescent="0.3">
      <c r="A2989" t="s">
        <v>4729</v>
      </c>
      <c r="B2989" t="str">
        <f>"002263"</f>
        <v>002263</v>
      </c>
      <c r="C2989" t="s">
        <v>6316</v>
      </c>
      <c r="D2989" t="s">
        <v>324</v>
      </c>
      <c r="F2989">
        <v>37823121</v>
      </c>
      <c r="G2989">
        <v>29422348</v>
      </c>
      <c r="H2989">
        <v>9790198</v>
      </c>
      <c r="I2989">
        <v>18418256</v>
      </c>
      <c r="P2989">
        <v>126</v>
      </c>
      <c r="Q2989" t="s">
        <v>6317</v>
      </c>
    </row>
    <row r="2990" spans="1:17" x14ac:dyDescent="0.3">
      <c r="A2990" t="s">
        <v>4729</v>
      </c>
      <c r="B2990" t="str">
        <f>"002264"</f>
        <v>002264</v>
      </c>
      <c r="C2990" t="s">
        <v>6318</v>
      </c>
      <c r="D2990" t="s">
        <v>798</v>
      </c>
      <c r="F2990">
        <v>7507403</v>
      </c>
      <c r="G2990">
        <v>3189904</v>
      </c>
      <c r="P2990">
        <v>96</v>
      </c>
      <c r="Q2990" t="s">
        <v>6319</v>
      </c>
    </row>
    <row r="2991" spans="1:17" x14ac:dyDescent="0.3">
      <c r="A2991" t="s">
        <v>4729</v>
      </c>
      <c r="B2991" t="str">
        <f>"002265"</f>
        <v>002265</v>
      </c>
      <c r="C2991" t="s">
        <v>6320</v>
      </c>
      <c r="D2991" t="s">
        <v>348</v>
      </c>
      <c r="F2991">
        <v>43669779</v>
      </c>
      <c r="G2991">
        <v>33971796</v>
      </c>
      <c r="H2991">
        <v>29125578</v>
      </c>
      <c r="I2991">
        <v>33971324</v>
      </c>
      <c r="P2991">
        <v>86</v>
      </c>
      <c r="Q2991" t="s">
        <v>6321</v>
      </c>
    </row>
    <row r="2992" spans="1:17" x14ac:dyDescent="0.3">
      <c r="A2992" t="s">
        <v>4729</v>
      </c>
      <c r="B2992" t="str">
        <f>"002266"</f>
        <v>002266</v>
      </c>
      <c r="C2992" t="s">
        <v>6322</v>
      </c>
      <c r="D2992" t="s">
        <v>499</v>
      </c>
      <c r="F2992">
        <v>678869603</v>
      </c>
      <c r="G2992">
        <v>330132049</v>
      </c>
      <c r="H2992">
        <v>50250116</v>
      </c>
      <c r="I2992">
        <v>58513594</v>
      </c>
      <c r="P2992">
        <v>297</v>
      </c>
      <c r="Q2992" t="s">
        <v>6323</v>
      </c>
    </row>
    <row r="2993" spans="1:17" x14ac:dyDescent="0.3">
      <c r="A2993" t="s">
        <v>4729</v>
      </c>
      <c r="B2993" t="str">
        <f>"002267"</f>
        <v>002267</v>
      </c>
      <c r="C2993" t="s">
        <v>6324</v>
      </c>
      <c r="D2993" t="s">
        <v>749</v>
      </c>
      <c r="F2993">
        <v>23874781</v>
      </c>
      <c r="G2993">
        <v>34977604</v>
      </c>
      <c r="H2993">
        <v>37970735</v>
      </c>
      <c r="I2993">
        <v>13076253</v>
      </c>
      <c r="J2993">
        <v>9941954</v>
      </c>
      <c r="K2993">
        <v>10815213</v>
      </c>
      <c r="L2993">
        <v>8740085</v>
      </c>
      <c r="P2993">
        <v>200</v>
      </c>
      <c r="Q2993" t="s">
        <v>6325</v>
      </c>
    </row>
    <row r="2994" spans="1:17" x14ac:dyDescent="0.3">
      <c r="A2994" t="s">
        <v>4729</v>
      </c>
      <c r="B2994" t="str">
        <f>"002268"</f>
        <v>002268</v>
      </c>
      <c r="C2994" t="s">
        <v>6326</v>
      </c>
      <c r="D2994" t="s">
        <v>236</v>
      </c>
      <c r="F2994">
        <v>282925506</v>
      </c>
      <c r="G2994">
        <v>247594767</v>
      </c>
      <c r="H2994">
        <v>191595542</v>
      </c>
      <c r="I2994">
        <v>192665351</v>
      </c>
      <c r="P2994">
        <v>525</v>
      </c>
      <c r="Q2994" t="s">
        <v>6327</v>
      </c>
    </row>
    <row r="2995" spans="1:17" x14ac:dyDescent="0.3">
      <c r="A2995" t="s">
        <v>4729</v>
      </c>
      <c r="B2995" t="str">
        <f>"002269"</f>
        <v>002269</v>
      </c>
      <c r="C2995" t="s">
        <v>6328</v>
      </c>
      <c r="D2995" t="s">
        <v>255</v>
      </c>
      <c r="F2995">
        <v>69259105</v>
      </c>
      <c r="G2995">
        <v>68555590</v>
      </c>
      <c r="H2995">
        <v>108913317</v>
      </c>
      <c r="I2995">
        <v>155552394</v>
      </c>
      <c r="P2995">
        <v>143</v>
      </c>
      <c r="Q2995" t="s">
        <v>6329</v>
      </c>
    </row>
    <row r="2996" spans="1:17" x14ac:dyDescent="0.3">
      <c r="A2996" t="s">
        <v>4729</v>
      </c>
      <c r="B2996" t="str">
        <f>"002270"</f>
        <v>002270</v>
      </c>
      <c r="C2996" t="s">
        <v>6330</v>
      </c>
      <c r="D2996" t="s">
        <v>210</v>
      </c>
      <c r="F2996">
        <v>64801046</v>
      </c>
      <c r="G2996">
        <v>65561377</v>
      </c>
      <c r="H2996">
        <v>42917078</v>
      </c>
      <c r="I2996">
        <v>28276981</v>
      </c>
      <c r="P2996">
        <v>160</v>
      </c>
      <c r="Q2996" t="s">
        <v>6331</v>
      </c>
    </row>
    <row r="2997" spans="1:17" x14ac:dyDescent="0.3">
      <c r="A2997" t="s">
        <v>4729</v>
      </c>
      <c r="B2997" t="str">
        <f>"002271"</f>
        <v>002271</v>
      </c>
      <c r="C2997" t="s">
        <v>6332</v>
      </c>
      <c r="D2997" t="s">
        <v>6333</v>
      </c>
      <c r="F2997">
        <v>559308938</v>
      </c>
      <c r="G2997">
        <v>463653705</v>
      </c>
      <c r="H2997">
        <v>356706013</v>
      </c>
      <c r="I2997">
        <v>268180033</v>
      </c>
      <c r="P2997">
        <v>22866</v>
      </c>
      <c r="Q2997" t="s">
        <v>6334</v>
      </c>
    </row>
    <row r="2998" spans="1:17" x14ac:dyDescent="0.3">
      <c r="A2998" t="s">
        <v>4729</v>
      </c>
      <c r="B2998" t="str">
        <f>"002272"</f>
        <v>002272</v>
      </c>
      <c r="C2998" t="s">
        <v>6335</v>
      </c>
      <c r="D2998" t="s">
        <v>2007</v>
      </c>
      <c r="F2998">
        <v>61084212</v>
      </c>
      <c r="G2998">
        <v>50485799</v>
      </c>
      <c r="H2998">
        <v>32867190</v>
      </c>
      <c r="I2998">
        <v>29117612</v>
      </c>
      <c r="P2998">
        <v>107</v>
      </c>
      <c r="Q2998" t="s">
        <v>6336</v>
      </c>
    </row>
    <row r="2999" spans="1:17" x14ac:dyDescent="0.3">
      <c r="A2999" t="s">
        <v>4729</v>
      </c>
      <c r="B2999" t="str">
        <f>"002273"</f>
        <v>002273</v>
      </c>
      <c r="C2999" t="s">
        <v>6337</v>
      </c>
      <c r="D2999" t="s">
        <v>164</v>
      </c>
      <c r="F2999">
        <v>244218510</v>
      </c>
      <c r="G2999">
        <v>208787962</v>
      </c>
      <c r="H2999">
        <v>158403729</v>
      </c>
      <c r="I2999">
        <v>129587869</v>
      </c>
      <c r="P2999">
        <v>949</v>
      </c>
      <c r="Q2999" t="s">
        <v>6338</v>
      </c>
    </row>
    <row r="3000" spans="1:17" x14ac:dyDescent="0.3">
      <c r="A3000" t="s">
        <v>4729</v>
      </c>
      <c r="B3000" t="str">
        <f>"002274"</f>
        <v>002274</v>
      </c>
      <c r="C3000" t="s">
        <v>6339</v>
      </c>
      <c r="D3000" t="s">
        <v>5562</v>
      </c>
      <c r="F3000">
        <v>63446405</v>
      </c>
      <c r="G3000">
        <v>36791971</v>
      </c>
      <c r="H3000">
        <v>36870701</v>
      </c>
      <c r="I3000">
        <v>36110462</v>
      </c>
      <c r="P3000">
        <v>219</v>
      </c>
      <c r="Q3000" t="s">
        <v>6340</v>
      </c>
    </row>
    <row r="3001" spans="1:17" x14ac:dyDescent="0.3">
      <c r="A3001" t="s">
        <v>4729</v>
      </c>
      <c r="B3001" t="str">
        <f>"002275"</f>
        <v>002275</v>
      </c>
      <c r="C3001" t="s">
        <v>6341</v>
      </c>
      <c r="D3001" t="s">
        <v>188</v>
      </c>
      <c r="F3001">
        <v>202449905</v>
      </c>
      <c r="G3001">
        <v>154282042</v>
      </c>
      <c r="H3001">
        <v>104111971</v>
      </c>
      <c r="I3001">
        <v>64666339</v>
      </c>
      <c r="P3001">
        <v>11980</v>
      </c>
      <c r="Q3001" t="s">
        <v>6342</v>
      </c>
    </row>
    <row r="3002" spans="1:17" x14ac:dyDescent="0.3">
      <c r="A3002" t="s">
        <v>4729</v>
      </c>
      <c r="B3002" t="str">
        <f>"002276"</f>
        <v>002276</v>
      </c>
      <c r="C3002" t="s">
        <v>6343</v>
      </c>
      <c r="D3002" t="s">
        <v>1164</v>
      </c>
      <c r="F3002">
        <v>473142485</v>
      </c>
      <c r="G3002">
        <v>346836148</v>
      </c>
      <c r="H3002">
        <v>364143469</v>
      </c>
      <c r="I3002">
        <v>312085273</v>
      </c>
      <c r="P3002">
        <v>254</v>
      </c>
      <c r="Q3002" t="s">
        <v>6344</v>
      </c>
    </row>
    <row r="3003" spans="1:17" x14ac:dyDescent="0.3">
      <c r="A3003" t="s">
        <v>4729</v>
      </c>
      <c r="B3003" t="str">
        <f>"002277"</f>
        <v>002277</v>
      </c>
      <c r="C3003" t="s">
        <v>6345</v>
      </c>
      <c r="D3003" t="s">
        <v>633</v>
      </c>
      <c r="F3003">
        <v>7260269</v>
      </c>
      <c r="G3003">
        <v>12360455</v>
      </c>
      <c r="H3003">
        <v>9635540</v>
      </c>
      <c r="P3003">
        <v>145</v>
      </c>
      <c r="Q3003" t="s">
        <v>6346</v>
      </c>
    </row>
    <row r="3004" spans="1:17" x14ac:dyDescent="0.3">
      <c r="A3004" t="s">
        <v>4729</v>
      </c>
      <c r="B3004" t="str">
        <f>"002278"</f>
        <v>002278</v>
      </c>
      <c r="C3004" t="s">
        <v>6347</v>
      </c>
      <c r="D3004" t="s">
        <v>395</v>
      </c>
      <c r="F3004">
        <v>60378773</v>
      </c>
      <c r="G3004">
        <v>62731952</v>
      </c>
      <c r="H3004">
        <v>65666812</v>
      </c>
      <c r="I3004">
        <v>52804413</v>
      </c>
      <c r="P3004">
        <v>57</v>
      </c>
      <c r="Q3004" t="s">
        <v>6348</v>
      </c>
    </row>
    <row r="3005" spans="1:17" x14ac:dyDescent="0.3">
      <c r="A3005" t="s">
        <v>4729</v>
      </c>
      <c r="B3005" t="str">
        <f>"002279"</f>
        <v>002279</v>
      </c>
      <c r="C3005" t="s">
        <v>6349</v>
      </c>
      <c r="D3005" t="s">
        <v>1189</v>
      </c>
      <c r="F3005">
        <v>259706057</v>
      </c>
      <c r="G3005">
        <v>279301396</v>
      </c>
      <c r="H3005">
        <v>323615110</v>
      </c>
      <c r="I3005">
        <v>272619938</v>
      </c>
      <c r="P3005">
        <v>323</v>
      </c>
      <c r="Q3005" t="s">
        <v>6350</v>
      </c>
    </row>
    <row r="3006" spans="1:17" x14ac:dyDescent="0.3">
      <c r="A3006" t="s">
        <v>4729</v>
      </c>
      <c r="B3006" t="str">
        <f>"002280"</f>
        <v>002280</v>
      </c>
      <c r="C3006" t="s">
        <v>6351</v>
      </c>
      <c r="D3006" t="s">
        <v>2020</v>
      </c>
      <c r="F3006">
        <v>101212961</v>
      </c>
      <c r="G3006">
        <v>97477219</v>
      </c>
      <c r="H3006">
        <v>137075126</v>
      </c>
      <c r="I3006">
        <v>190420878</v>
      </c>
      <c r="P3006">
        <v>179</v>
      </c>
      <c r="Q3006" t="s">
        <v>6352</v>
      </c>
    </row>
    <row r="3007" spans="1:17" x14ac:dyDescent="0.3">
      <c r="A3007" t="s">
        <v>4729</v>
      </c>
      <c r="B3007" t="str">
        <f>"002281"</f>
        <v>002281</v>
      </c>
      <c r="C3007" t="s">
        <v>6353</v>
      </c>
      <c r="D3007" t="s">
        <v>1019</v>
      </c>
      <c r="F3007">
        <v>661114273</v>
      </c>
      <c r="G3007">
        <v>555823651</v>
      </c>
      <c r="H3007">
        <v>439774043</v>
      </c>
      <c r="I3007">
        <v>395309379</v>
      </c>
      <c r="P3007">
        <v>894</v>
      </c>
      <c r="Q3007" t="s">
        <v>6354</v>
      </c>
    </row>
    <row r="3008" spans="1:17" x14ac:dyDescent="0.3">
      <c r="A3008" t="s">
        <v>4729</v>
      </c>
      <c r="B3008" t="str">
        <f>"002282"</f>
        <v>002282</v>
      </c>
      <c r="C3008" t="s">
        <v>6355</v>
      </c>
      <c r="D3008" t="s">
        <v>404</v>
      </c>
      <c r="F3008">
        <v>63090620</v>
      </c>
      <c r="G3008">
        <v>48356879</v>
      </c>
      <c r="H3008">
        <v>38814039</v>
      </c>
      <c r="I3008">
        <v>33458530</v>
      </c>
      <c r="P3008">
        <v>97</v>
      </c>
      <c r="Q3008" t="s">
        <v>6356</v>
      </c>
    </row>
    <row r="3009" spans="1:17" x14ac:dyDescent="0.3">
      <c r="A3009" t="s">
        <v>4729</v>
      </c>
      <c r="B3009" t="str">
        <f>"002283"</f>
        <v>002283</v>
      </c>
      <c r="C3009" t="s">
        <v>6357</v>
      </c>
      <c r="D3009" t="s">
        <v>348</v>
      </c>
      <c r="F3009">
        <v>275796634</v>
      </c>
      <c r="G3009">
        <v>228421967</v>
      </c>
      <c r="H3009">
        <v>220932302</v>
      </c>
      <c r="I3009">
        <v>140313109</v>
      </c>
      <c r="P3009">
        <v>202</v>
      </c>
      <c r="Q3009" t="s">
        <v>6358</v>
      </c>
    </row>
    <row r="3010" spans="1:17" x14ac:dyDescent="0.3">
      <c r="A3010" t="s">
        <v>4729</v>
      </c>
      <c r="B3010" t="str">
        <f>"002284"</f>
        <v>002284</v>
      </c>
      <c r="C3010" t="s">
        <v>6359</v>
      </c>
      <c r="D3010" t="s">
        <v>348</v>
      </c>
      <c r="F3010">
        <v>170384587</v>
      </c>
      <c r="G3010">
        <v>159362678</v>
      </c>
      <c r="H3010">
        <v>164158995</v>
      </c>
      <c r="I3010">
        <v>157582007</v>
      </c>
      <c r="P3010">
        <v>197</v>
      </c>
      <c r="Q3010" t="s">
        <v>6360</v>
      </c>
    </row>
    <row r="3011" spans="1:17" x14ac:dyDescent="0.3">
      <c r="A3011" t="s">
        <v>4729</v>
      </c>
      <c r="B3011" t="str">
        <f>"002285"</f>
        <v>002285</v>
      </c>
      <c r="C3011" t="s">
        <v>6361</v>
      </c>
      <c r="D3011" t="s">
        <v>5051</v>
      </c>
      <c r="F3011">
        <v>60113247</v>
      </c>
      <c r="G3011">
        <v>73598166</v>
      </c>
      <c r="H3011">
        <v>96419997</v>
      </c>
      <c r="I3011">
        <v>86926057</v>
      </c>
      <c r="P3011">
        <v>477</v>
      </c>
      <c r="Q3011" t="s">
        <v>6362</v>
      </c>
    </row>
    <row r="3012" spans="1:17" x14ac:dyDescent="0.3">
      <c r="A3012" t="s">
        <v>4729</v>
      </c>
      <c r="B3012" t="str">
        <f>"002286"</f>
        <v>002286</v>
      </c>
      <c r="C3012" t="s">
        <v>6363</v>
      </c>
      <c r="D3012" t="s">
        <v>445</v>
      </c>
      <c r="F3012">
        <v>12581184</v>
      </c>
      <c r="G3012">
        <v>11199806</v>
      </c>
      <c r="H3012">
        <v>9119152</v>
      </c>
      <c r="I3012">
        <v>4539312</v>
      </c>
      <c r="P3012">
        <v>179</v>
      </c>
      <c r="Q3012" t="s">
        <v>6364</v>
      </c>
    </row>
    <row r="3013" spans="1:17" x14ac:dyDescent="0.3">
      <c r="A3013" t="s">
        <v>4729</v>
      </c>
      <c r="B3013" t="str">
        <f>"002287"</f>
        <v>002287</v>
      </c>
      <c r="C3013" t="s">
        <v>6365</v>
      </c>
      <c r="D3013" t="s">
        <v>188</v>
      </c>
      <c r="F3013">
        <v>70822936</v>
      </c>
      <c r="G3013">
        <v>60324497</v>
      </c>
      <c r="H3013">
        <v>55549215</v>
      </c>
      <c r="I3013">
        <v>36813976</v>
      </c>
      <c r="P3013">
        <v>13304</v>
      </c>
      <c r="Q3013" t="s">
        <v>6366</v>
      </c>
    </row>
    <row r="3014" spans="1:17" x14ac:dyDescent="0.3">
      <c r="A3014" t="s">
        <v>4729</v>
      </c>
      <c r="B3014" t="str">
        <f>"002288"</f>
        <v>002288</v>
      </c>
      <c r="C3014" t="s">
        <v>6367</v>
      </c>
      <c r="D3014" t="s">
        <v>425</v>
      </c>
      <c r="F3014">
        <v>132031233</v>
      </c>
      <c r="G3014">
        <v>73732812</v>
      </c>
      <c r="H3014">
        <v>70272311</v>
      </c>
      <c r="I3014">
        <v>8838167</v>
      </c>
      <c r="P3014">
        <v>176</v>
      </c>
      <c r="Q3014" t="s">
        <v>6368</v>
      </c>
    </row>
    <row r="3015" spans="1:17" x14ac:dyDescent="0.3">
      <c r="A3015" t="s">
        <v>4729</v>
      </c>
      <c r="B3015" t="str">
        <f>"002289"</f>
        <v>002289</v>
      </c>
      <c r="C3015" t="s">
        <v>6369</v>
      </c>
      <c r="D3015" t="s">
        <v>1117</v>
      </c>
      <c r="F3015">
        <v>4369823</v>
      </c>
      <c r="G3015">
        <v>3579013</v>
      </c>
      <c r="H3015">
        <v>10724490</v>
      </c>
      <c r="I3015">
        <v>20242021</v>
      </c>
      <c r="P3015">
        <v>70</v>
      </c>
      <c r="Q3015" t="s">
        <v>6370</v>
      </c>
    </row>
    <row r="3016" spans="1:17" x14ac:dyDescent="0.3">
      <c r="A3016" t="s">
        <v>4729</v>
      </c>
      <c r="B3016" t="str">
        <f>"002290"</f>
        <v>002290</v>
      </c>
      <c r="C3016" t="s">
        <v>6371</v>
      </c>
      <c r="D3016" t="s">
        <v>1253</v>
      </c>
      <c r="F3016">
        <v>74793459</v>
      </c>
      <c r="G3016">
        <v>60054668</v>
      </c>
      <c r="H3016">
        <v>59444531</v>
      </c>
      <c r="I3016">
        <v>49939250</v>
      </c>
      <c r="P3016">
        <v>80</v>
      </c>
      <c r="Q3016" t="s">
        <v>6372</v>
      </c>
    </row>
    <row r="3017" spans="1:17" x14ac:dyDescent="0.3">
      <c r="A3017" t="s">
        <v>4729</v>
      </c>
      <c r="B3017" t="str">
        <f>"002291"</f>
        <v>002291</v>
      </c>
      <c r="C3017" t="s">
        <v>6373</v>
      </c>
      <c r="D3017" t="s">
        <v>207</v>
      </c>
      <c r="F3017">
        <v>68691729</v>
      </c>
      <c r="G3017">
        <v>42255709</v>
      </c>
      <c r="H3017">
        <v>52753149</v>
      </c>
      <c r="I3017">
        <v>28100538</v>
      </c>
      <c r="P3017">
        <v>172</v>
      </c>
      <c r="Q3017" t="s">
        <v>6374</v>
      </c>
    </row>
    <row r="3018" spans="1:17" x14ac:dyDescent="0.3">
      <c r="A3018" t="s">
        <v>4729</v>
      </c>
      <c r="B3018" t="str">
        <f>"002292"</f>
        <v>002292</v>
      </c>
      <c r="C3018" t="s">
        <v>6375</v>
      </c>
      <c r="D3018" t="s">
        <v>113</v>
      </c>
      <c r="F3018">
        <v>195886538</v>
      </c>
      <c r="G3018">
        <v>191942178</v>
      </c>
      <c r="H3018">
        <v>191341682</v>
      </c>
      <c r="I3018">
        <v>301234189</v>
      </c>
      <c r="P3018">
        <v>291</v>
      </c>
      <c r="Q3018" t="s">
        <v>6376</v>
      </c>
    </row>
    <row r="3019" spans="1:17" x14ac:dyDescent="0.3">
      <c r="A3019" t="s">
        <v>4729</v>
      </c>
      <c r="B3019" t="str">
        <f>"002293"</f>
        <v>002293</v>
      </c>
      <c r="C3019" t="s">
        <v>6377</v>
      </c>
      <c r="D3019" t="s">
        <v>2889</v>
      </c>
      <c r="F3019">
        <v>124896917</v>
      </c>
      <c r="G3019">
        <v>101498465</v>
      </c>
      <c r="H3019">
        <v>99997967</v>
      </c>
      <c r="I3019">
        <v>125504440</v>
      </c>
      <c r="P3019">
        <v>4959</v>
      </c>
      <c r="Q3019" t="s">
        <v>6378</v>
      </c>
    </row>
    <row r="3020" spans="1:17" x14ac:dyDescent="0.3">
      <c r="A3020" t="s">
        <v>4729</v>
      </c>
      <c r="B3020" t="str">
        <f>"002294"</f>
        <v>002294</v>
      </c>
      <c r="C3020" t="s">
        <v>6379</v>
      </c>
      <c r="D3020" t="s">
        <v>143</v>
      </c>
      <c r="F3020">
        <v>357368428</v>
      </c>
      <c r="G3020">
        <v>371195199</v>
      </c>
      <c r="H3020">
        <v>763496739</v>
      </c>
      <c r="I3020">
        <v>407476515</v>
      </c>
      <c r="P3020">
        <v>25590</v>
      </c>
      <c r="Q3020" t="s">
        <v>6380</v>
      </c>
    </row>
    <row r="3021" spans="1:17" x14ac:dyDescent="0.3">
      <c r="A3021" t="s">
        <v>4729</v>
      </c>
      <c r="B3021" t="str">
        <f>"002295"</f>
        <v>002295</v>
      </c>
      <c r="C3021" t="s">
        <v>6381</v>
      </c>
      <c r="D3021" t="s">
        <v>263</v>
      </c>
      <c r="F3021">
        <v>18828284</v>
      </c>
      <c r="G3021">
        <v>21436570</v>
      </c>
      <c r="H3021">
        <v>14123200</v>
      </c>
      <c r="I3021">
        <v>12022426</v>
      </c>
      <c r="P3021">
        <v>56</v>
      </c>
      <c r="Q3021" t="s">
        <v>6382</v>
      </c>
    </row>
    <row r="3022" spans="1:17" x14ac:dyDescent="0.3">
      <c r="A3022" t="s">
        <v>4729</v>
      </c>
      <c r="B3022" t="str">
        <f>"002296"</f>
        <v>002296</v>
      </c>
      <c r="C3022" t="s">
        <v>6383</v>
      </c>
      <c r="D3022" t="s">
        <v>1019</v>
      </c>
      <c r="F3022">
        <v>94445482</v>
      </c>
      <c r="G3022">
        <v>67584066</v>
      </c>
      <c r="H3022">
        <v>77709270</v>
      </c>
      <c r="I3022">
        <v>64326311</v>
      </c>
      <c r="P3022">
        <v>160</v>
      </c>
      <c r="Q3022" t="s">
        <v>6384</v>
      </c>
    </row>
    <row r="3023" spans="1:17" x14ac:dyDescent="0.3">
      <c r="A3023" t="s">
        <v>4729</v>
      </c>
      <c r="B3023" t="str">
        <f>"002297"</f>
        <v>002297</v>
      </c>
      <c r="C3023" t="s">
        <v>6385</v>
      </c>
      <c r="D3023" t="s">
        <v>98</v>
      </c>
      <c r="F3023">
        <v>40011787</v>
      </c>
      <c r="G3023">
        <v>33556370</v>
      </c>
      <c r="H3023">
        <v>44475350</v>
      </c>
      <c r="I3023">
        <v>20951843</v>
      </c>
      <c r="P3023">
        <v>100</v>
      </c>
      <c r="Q3023" t="s">
        <v>6386</v>
      </c>
    </row>
    <row r="3024" spans="1:17" x14ac:dyDescent="0.3">
      <c r="A3024" t="s">
        <v>4729</v>
      </c>
      <c r="B3024" t="str">
        <f>"002298"</f>
        <v>002298</v>
      </c>
      <c r="C3024" t="s">
        <v>6387</v>
      </c>
      <c r="D3024" t="s">
        <v>945</v>
      </c>
      <c r="F3024">
        <v>144582540</v>
      </c>
      <c r="G3024">
        <v>141805652</v>
      </c>
      <c r="H3024">
        <v>134950646</v>
      </c>
      <c r="I3024">
        <v>123579819</v>
      </c>
      <c r="P3024">
        <v>181</v>
      </c>
      <c r="Q3024" t="s">
        <v>6388</v>
      </c>
    </row>
    <row r="3025" spans="1:17" x14ac:dyDescent="0.3">
      <c r="A3025" t="s">
        <v>4729</v>
      </c>
      <c r="B3025" t="str">
        <f>"002299"</f>
        <v>002299</v>
      </c>
      <c r="C3025" t="s">
        <v>6389</v>
      </c>
      <c r="D3025" t="s">
        <v>6260</v>
      </c>
      <c r="F3025">
        <v>67112005</v>
      </c>
      <c r="G3025">
        <v>73661779</v>
      </c>
      <c r="H3025">
        <v>46330649</v>
      </c>
      <c r="I3025">
        <v>36626542</v>
      </c>
      <c r="P3025">
        <v>1371</v>
      </c>
      <c r="Q3025" t="s">
        <v>6390</v>
      </c>
    </row>
    <row r="3026" spans="1:17" x14ac:dyDescent="0.3">
      <c r="A3026" t="s">
        <v>4729</v>
      </c>
      <c r="B3026" t="str">
        <f>"002300"</f>
        <v>002300</v>
      </c>
      <c r="C3026" t="s">
        <v>6391</v>
      </c>
      <c r="D3026" t="s">
        <v>1164</v>
      </c>
      <c r="F3026">
        <v>22851312</v>
      </c>
      <c r="G3026">
        <v>20053944</v>
      </c>
      <c r="H3026">
        <v>17693542</v>
      </c>
      <c r="I3026">
        <v>16724607</v>
      </c>
      <c r="P3026">
        <v>125</v>
      </c>
      <c r="Q3026" t="s">
        <v>6392</v>
      </c>
    </row>
    <row r="3027" spans="1:17" x14ac:dyDescent="0.3">
      <c r="A3027" t="s">
        <v>4729</v>
      </c>
      <c r="B3027" t="str">
        <f>"002301"</f>
        <v>002301</v>
      </c>
      <c r="C3027" t="s">
        <v>6393</v>
      </c>
      <c r="D3027" t="s">
        <v>3410</v>
      </c>
      <c r="F3027">
        <v>79869015</v>
      </c>
      <c r="G3027">
        <v>50257143</v>
      </c>
      <c r="H3027">
        <v>50407336</v>
      </c>
      <c r="I3027">
        <v>58257853</v>
      </c>
      <c r="P3027">
        <v>202</v>
      </c>
      <c r="Q3027" t="s">
        <v>6394</v>
      </c>
    </row>
    <row r="3028" spans="1:17" x14ac:dyDescent="0.3">
      <c r="A3028" t="s">
        <v>4729</v>
      </c>
      <c r="B3028" t="str">
        <f>"002302"</f>
        <v>002302</v>
      </c>
      <c r="C3028" t="s">
        <v>6395</v>
      </c>
      <c r="D3028" t="s">
        <v>3098</v>
      </c>
      <c r="F3028">
        <v>613554562</v>
      </c>
      <c r="G3028">
        <v>575138553</v>
      </c>
      <c r="H3028">
        <v>446284183</v>
      </c>
      <c r="I3028">
        <v>325488418</v>
      </c>
      <c r="P3028">
        <v>201</v>
      </c>
      <c r="Q3028" t="s">
        <v>6396</v>
      </c>
    </row>
    <row r="3029" spans="1:17" x14ac:dyDescent="0.3">
      <c r="A3029" t="s">
        <v>4729</v>
      </c>
      <c r="B3029" t="str">
        <f>"002303"</f>
        <v>002303</v>
      </c>
      <c r="C3029" t="s">
        <v>6397</v>
      </c>
      <c r="D3029" t="s">
        <v>2165</v>
      </c>
      <c r="F3029">
        <v>144160810</v>
      </c>
      <c r="G3029">
        <v>143139798</v>
      </c>
      <c r="H3029">
        <v>147391163</v>
      </c>
      <c r="I3029">
        <v>127081637</v>
      </c>
      <c r="P3029">
        <v>224</v>
      </c>
      <c r="Q3029" t="s">
        <v>6398</v>
      </c>
    </row>
    <row r="3030" spans="1:17" x14ac:dyDescent="0.3">
      <c r="A3030" t="s">
        <v>4729</v>
      </c>
      <c r="B3030" t="str">
        <f>"002304"</f>
        <v>002304</v>
      </c>
      <c r="C3030" t="s">
        <v>6399</v>
      </c>
      <c r="D3030" t="s">
        <v>458</v>
      </c>
      <c r="F3030">
        <v>258458103</v>
      </c>
      <c r="G3030">
        <v>260094291</v>
      </c>
      <c r="H3030">
        <v>159965594</v>
      </c>
      <c r="I3030">
        <v>27565218</v>
      </c>
      <c r="P3030">
        <v>52720</v>
      </c>
      <c r="Q3030" t="s">
        <v>6400</v>
      </c>
    </row>
    <row r="3031" spans="1:17" x14ac:dyDescent="0.3">
      <c r="A3031" t="s">
        <v>4729</v>
      </c>
      <c r="B3031" t="str">
        <f>"002305"</f>
        <v>002305</v>
      </c>
      <c r="C3031" t="s">
        <v>6401</v>
      </c>
      <c r="D3031" t="s">
        <v>30</v>
      </c>
      <c r="F3031">
        <v>0</v>
      </c>
      <c r="G3031">
        <v>0</v>
      </c>
      <c r="P3031">
        <v>107</v>
      </c>
      <c r="Q3031" t="s">
        <v>6402</v>
      </c>
    </row>
    <row r="3032" spans="1:17" x14ac:dyDescent="0.3">
      <c r="A3032" t="s">
        <v>4729</v>
      </c>
      <c r="B3032" t="str">
        <f>"002306"</f>
        <v>002306</v>
      </c>
      <c r="C3032" t="s">
        <v>6403</v>
      </c>
      <c r="D3032" t="s">
        <v>3598</v>
      </c>
      <c r="F3032">
        <v>4067967</v>
      </c>
      <c r="G3032">
        <v>3302008</v>
      </c>
      <c r="P3032">
        <v>68</v>
      </c>
      <c r="Q3032" t="s">
        <v>6404</v>
      </c>
    </row>
    <row r="3033" spans="1:17" x14ac:dyDescent="0.3">
      <c r="A3033" t="s">
        <v>4729</v>
      </c>
      <c r="B3033" t="str">
        <f>"002307"</f>
        <v>002307</v>
      </c>
      <c r="C3033" t="s">
        <v>6405</v>
      </c>
      <c r="D3033" t="s">
        <v>101</v>
      </c>
      <c r="F3033">
        <v>4795313</v>
      </c>
      <c r="G3033">
        <v>3322360</v>
      </c>
      <c r="H3033">
        <v>2050565</v>
      </c>
      <c r="I3033">
        <v>548188</v>
      </c>
      <c r="P3033">
        <v>90</v>
      </c>
      <c r="Q3033" t="s">
        <v>6406</v>
      </c>
    </row>
    <row r="3034" spans="1:17" x14ac:dyDescent="0.3">
      <c r="A3034" t="s">
        <v>4729</v>
      </c>
      <c r="B3034" t="str">
        <f>"002308"</f>
        <v>002308</v>
      </c>
      <c r="C3034" t="s">
        <v>6407</v>
      </c>
      <c r="D3034" t="s">
        <v>236</v>
      </c>
      <c r="F3034">
        <v>70225264</v>
      </c>
      <c r="G3034">
        <v>97680066</v>
      </c>
      <c r="H3034">
        <v>106262579</v>
      </c>
      <c r="I3034">
        <v>92612930</v>
      </c>
      <c r="P3034">
        <v>218</v>
      </c>
      <c r="Q3034" t="s">
        <v>6408</v>
      </c>
    </row>
    <row r="3035" spans="1:17" x14ac:dyDescent="0.3">
      <c r="A3035" t="s">
        <v>4729</v>
      </c>
      <c r="B3035" t="str">
        <f>"002309"</f>
        <v>002309</v>
      </c>
      <c r="C3035" t="s">
        <v>6409</v>
      </c>
      <c r="D3035" t="s">
        <v>356</v>
      </c>
      <c r="F3035">
        <v>441486500</v>
      </c>
      <c r="G3035">
        <v>283669116</v>
      </c>
      <c r="H3035">
        <v>433080291</v>
      </c>
      <c r="I3035">
        <v>524743672</v>
      </c>
      <c r="P3035">
        <v>284</v>
      </c>
      <c r="Q3035" t="s">
        <v>6410</v>
      </c>
    </row>
    <row r="3036" spans="1:17" x14ac:dyDescent="0.3">
      <c r="A3036" t="s">
        <v>4729</v>
      </c>
      <c r="B3036" t="str">
        <f>"002310"</f>
        <v>002310</v>
      </c>
      <c r="C3036" t="s">
        <v>6411</v>
      </c>
      <c r="D3036" t="s">
        <v>2417</v>
      </c>
      <c r="F3036">
        <v>170069655</v>
      </c>
      <c r="G3036">
        <v>187927760</v>
      </c>
      <c r="H3036">
        <v>232449431</v>
      </c>
      <c r="I3036">
        <v>369972170</v>
      </c>
      <c r="P3036">
        <v>1194</v>
      </c>
      <c r="Q3036" t="s">
        <v>6412</v>
      </c>
    </row>
    <row r="3037" spans="1:17" x14ac:dyDescent="0.3">
      <c r="A3037" t="s">
        <v>4729</v>
      </c>
      <c r="B3037" t="str">
        <f>"002311"</f>
        <v>002311</v>
      </c>
      <c r="C3037" t="s">
        <v>6413</v>
      </c>
      <c r="D3037" t="s">
        <v>3155</v>
      </c>
      <c r="F3037">
        <v>652995299</v>
      </c>
      <c r="G3037">
        <v>479306686</v>
      </c>
      <c r="H3037">
        <v>416009960</v>
      </c>
      <c r="I3037">
        <v>309167321</v>
      </c>
      <c r="P3037">
        <v>1933</v>
      </c>
      <c r="Q3037" t="s">
        <v>6414</v>
      </c>
    </row>
    <row r="3038" spans="1:17" x14ac:dyDescent="0.3">
      <c r="A3038" t="s">
        <v>4729</v>
      </c>
      <c r="B3038" t="str">
        <f>"002312"</f>
        <v>002312</v>
      </c>
      <c r="C3038" t="s">
        <v>6415</v>
      </c>
      <c r="D3038" t="s">
        <v>183</v>
      </c>
      <c r="F3038">
        <v>98468408</v>
      </c>
      <c r="G3038">
        <v>56844203</v>
      </c>
      <c r="H3038">
        <v>9412104</v>
      </c>
      <c r="I3038">
        <v>1865769</v>
      </c>
      <c r="P3038">
        <v>249</v>
      </c>
      <c r="Q3038" t="s">
        <v>6416</v>
      </c>
    </row>
    <row r="3039" spans="1:17" x14ac:dyDescent="0.3">
      <c r="A3039" t="s">
        <v>4729</v>
      </c>
      <c r="B3039" t="str">
        <f>"002313"</f>
        <v>002313</v>
      </c>
      <c r="C3039" t="s">
        <v>6417</v>
      </c>
      <c r="D3039" t="s">
        <v>786</v>
      </c>
      <c r="F3039">
        <v>258554684</v>
      </c>
      <c r="G3039">
        <v>274682623</v>
      </c>
      <c r="H3039">
        <v>190931414</v>
      </c>
      <c r="I3039">
        <v>157391443</v>
      </c>
      <c r="P3039">
        <v>243</v>
      </c>
      <c r="Q3039" t="s">
        <v>6418</v>
      </c>
    </row>
    <row r="3040" spans="1:17" x14ac:dyDescent="0.3">
      <c r="A3040" t="s">
        <v>4729</v>
      </c>
      <c r="B3040" t="str">
        <f>"002314"</f>
        <v>002314</v>
      </c>
      <c r="C3040" t="s">
        <v>6419</v>
      </c>
      <c r="D3040" t="s">
        <v>104</v>
      </c>
      <c r="F3040">
        <v>40043865</v>
      </c>
      <c r="G3040">
        <v>27310621</v>
      </c>
      <c r="H3040">
        <v>25256745</v>
      </c>
      <c r="I3040">
        <v>21573318</v>
      </c>
      <c r="P3040">
        <v>206</v>
      </c>
      <c r="Q3040" t="s">
        <v>6420</v>
      </c>
    </row>
    <row r="3041" spans="1:17" x14ac:dyDescent="0.3">
      <c r="A3041" t="s">
        <v>4729</v>
      </c>
      <c r="B3041" t="str">
        <f>"002315"</f>
        <v>002315</v>
      </c>
      <c r="C3041" t="s">
        <v>6421</v>
      </c>
      <c r="D3041" t="s">
        <v>2020</v>
      </c>
      <c r="F3041">
        <v>176493305</v>
      </c>
      <c r="G3041">
        <v>135780329</v>
      </c>
      <c r="H3041">
        <v>120388730</v>
      </c>
      <c r="I3041">
        <v>88125578</v>
      </c>
      <c r="P3041">
        <v>221</v>
      </c>
      <c r="Q3041" t="s">
        <v>6422</v>
      </c>
    </row>
    <row r="3042" spans="1:17" x14ac:dyDescent="0.3">
      <c r="A3042" t="s">
        <v>4729</v>
      </c>
      <c r="B3042" t="str">
        <f>"002316"</f>
        <v>002316</v>
      </c>
      <c r="C3042" t="s">
        <v>6423</v>
      </c>
      <c r="D3042" t="s">
        <v>6424</v>
      </c>
      <c r="F3042">
        <v>76216806</v>
      </c>
      <c r="G3042">
        <v>86259456</v>
      </c>
      <c r="H3042">
        <v>117077780</v>
      </c>
      <c r="I3042">
        <v>124975816</v>
      </c>
      <c r="P3042">
        <v>229</v>
      </c>
      <c r="Q3042" t="s">
        <v>6425</v>
      </c>
    </row>
    <row r="3043" spans="1:17" x14ac:dyDescent="0.3">
      <c r="A3043" t="s">
        <v>4729</v>
      </c>
      <c r="B3043" t="str">
        <f>"002317"</f>
        <v>002317</v>
      </c>
      <c r="C3043" t="s">
        <v>6426</v>
      </c>
      <c r="D3043" t="s">
        <v>188</v>
      </c>
      <c r="F3043">
        <v>136726465</v>
      </c>
      <c r="G3043">
        <v>113623204</v>
      </c>
      <c r="H3043">
        <v>132583071</v>
      </c>
      <c r="I3043">
        <v>84291367</v>
      </c>
      <c r="P3043">
        <v>344</v>
      </c>
      <c r="Q3043" t="s">
        <v>6427</v>
      </c>
    </row>
    <row r="3044" spans="1:17" x14ac:dyDescent="0.3">
      <c r="A3044" t="s">
        <v>4729</v>
      </c>
      <c r="B3044" t="str">
        <f>"002318"</f>
        <v>002318</v>
      </c>
      <c r="C3044" t="s">
        <v>6428</v>
      </c>
      <c r="D3044" t="s">
        <v>281</v>
      </c>
      <c r="F3044">
        <v>262691096</v>
      </c>
      <c r="G3044">
        <v>197167194</v>
      </c>
      <c r="H3044">
        <v>178287353</v>
      </c>
      <c r="I3044">
        <v>154635225</v>
      </c>
      <c r="P3044">
        <v>451</v>
      </c>
      <c r="Q3044" t="s">
        <v>6429</v>
      </c>
    </row>
    <row r="3045" spans="1:17" x14ac:dyDescent="0.3">
      <c r="A3045" t="s">
        <v>4729</v>
      </c>
      <c r="B3045" t="str">
        <f>"002319"</f>
        <v>002319</v>
      </c>
      <c r="C3045" t="s">
        <v>6430</v>
      </c>
      <c r="D3045" t="s">
        <v>2585</v>
      </c>
      <c r="F3045">
        <v>9874844</v>
      </c>
      <c r="G3045">
        <v>9979239</v>
      </c>
      <c r="H3045">
        <v>13976537</v>
      </c>
      <c r="I3045">
        <v>17742224</v>
      </c>
      <c r="P3045">
        <v>55</v>
      </c>
      <c r="Q3045" t="s">
        <v>6431</v>
      </c>
    </row>
    <row r="3046" spans="1:17" x14ac:dyDescent="0.3">
      <c r="A3046" t="s">
        <v>4729</v>
      </c>
      <c r="B3046" t="str">
        <f>"002320"</f>
        <v>002320</v>
      </c>
      <c r="C3046" t="s">
        <v>6432</v>
      </c>
      <c r="D3046" t="s">
        <v>69</v>
      </c>
      <c r="F3046">
        <v>0</v>
      </c>
      <c r="G3046">
        <v>0</v>
      </c>
      <c r="P3046">
        <v>174</v>
      </c>
      <c r="Q3046" t="s">
        <v>6433</v>
      </c>
    </row>
    <row r="3047" spans="1:17" x14ac:dyDescent="0.3">
      <c r="A3047" t="s">
        <v>4729</v>
      </c>
      <c r="B3047" t="str">
        <f>"002321"</f>
        <v>002321</v>
      </c>
      <c r="C3047" t="s">
        <v>6434</v>
      </c>
      <c r="D3047" t="s">
        <v>1882</v>
      </c>
      <c r="F3047">
        <v>937995</v>
      </c>
      <c r="G3047">
        <v>4096343</v>
      </c>
      <c r="H3047">
        <v>48073710</v>
      </c>
      <c r="I3047">
        <v>1063492</v>
      </c>
      <c r="P3047">
        <v>111</v>
      </c>
      <c r="Q3047" t="s">
        <v>6435</v>
      </c>
    </row>
    <row r="3048" spans="1:17" x14ac:dyDescent="0.3">
      <c r="A3048" t="s">
        <v>4729</v>
      </c>
      <c r="B3048" t="str">
        <f>"002322"</f>
        <v>002322</v>
      </c>
      <c r="C3048" t="s">
        <v>6436</v>
      </c>
      <c r="D3048" t="s">
        <v>945</v>
      </c>
      <c r="F3048">
        <v>157694450</v>
      </c>
      <c r="G3048">
        <v>138895951</v>
      </c>
      <c r="H3048">
        <v>123273668</v>
      </c>
      <c r="I3048">
        <v>106542912</v>
      </c>
      <c r="P3048">
        <v>180</v>
      </c>
      <c r="Q3048" t="s">
        <v>6437</v>
      </c>
    </row>
    <row r="3049" spans="1:17" x14ac:dyDescent="0.3">
      <c r="A3049" t="s">
        <v>4729</v>
      </c>
      <c r="B3049" t="str">
        <f>"002323"</f>
        <v>002323</v>
      </c>
      <c r="C3049" t="s">
        <v>6438</v>
      </c>
      <c r="D3049" t="s">
        <v>722</v>
      </c>
      <c r="F3049">
        <v>7572332</v>
      </c>
      <c r="G3049">
        <v>3066043</v>
      </c>
      <c r="H3049">
        <v>5311079</v>
      </c>
      <c r="I3049">
        <v>24820576</v>
      </c>
      <c r="P3049">
        <v>78</v>
      </c>
      <c r="Q3049" t="s">
        <v>6439</v>
      </c>
    </row>
    <row r="3050" spans="1:17" x14ac:dyDescent="0.3">
      <c r="A3050" t="s">
        <v>4729</v>
      </c>
      <c r="B3050" t="str">
        <f>"002324"</f>
        <v>002324</v>
      </c>
      <c r="C3050" t="s">
        <v>6440</v>
      </c>
      <c r="D3050" t="s">
        <v>341</v>
      </c>
      <c r="F3050">
        <v>248542687</v>
      </c>
      <c r="G3050">
        <v>212839016</v>
      </c>
      <c r="H3050">
        <v>180494051</v>
      </c>
      <c r="I3050">
        <v>226723529</v>
      </c>
      <c r="P3050">
        <v>212</v>
      </c>
      <c r="Q3050" t="s">
        <v>6441</v>
      </c>
    </row>
    <row r="3051" spans="1:17" x14ac:dyDescent="0.3">
      <c r="A3051" t="s">
        <v>4729</v>
      </c>
      <c r="B3051" t="str">
        <f>"002325"</f>
        <v>002325</v>
      </c>
      <c r="C3051" t="s">
        <v>6442</v>
      </c>
      <c r="D3051" t="s">
        <v>450</v>
      </c>
      <c r="F3051">
        <v>83164607</v>
      </c>
      <c r="G3051">
        <v>99437440</v>
      </c>
      <c r="H3051">
        <v>95629063</v>
      </c>
      <c r="I3051">
        <v>110487527</v>
      </c>
      <c r="P3051">
        <v>171</v>
      </c>
      <c r="Q3051" t="s">
        <v>6443</v>
      </c>
    </row>
    <row r="3052" spans="1:17" x14ac:dyDescent="0.3">
      <c r="A3052" t="s">
        <v>4729</v>
      </c>
      <c r="B3052" t="str">
        <f>"002326"</f>
        <v>002326</v>
      </c>
      <c r="C3052" t="s">
        <v>6444</v>
      </c>
      <c r="D3052" t="s">
        <v>375</v>
      </c>
      <c r="F3052">
        <v>126505012</v>
      </c>
      <c r="G3052">
        <v>116491463</v>
      </c>
      <c r="H3052">
        <v>94626931</v>
      </c>
      <c r="I3052">
        <v>95560838</v>
      </c>
      <c r="P3052">
        <v>298</v>
      </c>
      <c r="Q3052" t="s">
        <v>6445</v>
      </c>
    </row>
    <row r="3053" spans="1:17" x14ac:dyDescent="0.3">
      <c r="A3053" t="s">
        <v>4729</v>
      </c>
      <c r="B3053" t="str">
        <f>"002327"</f>
        <v>002327</v>
      </c>
      <c r="C3053" t="s">
        <v>6446</v>
      </c>
      <c r="D3053" t="s">
        <v>2889</v>
      </c>
      <c r="F3053">
        <v>75998343</v>
      </c>
      <c r="G3053">
        <v>70175974</v>
      </c>
      <c r="H3053">
        <v>76654164</v>
      </c>
      <c r="I3053">
        <v>39568741</v>
      </c>
      <c r="P3053">
        <v>1306</v>
      </c>
      <c r="Q3053" t="s">
        <v>6447</v>
      </c>
    </row>
    <row r="3054" spans="1:17" x14ac:dyDescent="0.3">
      <c r="A3054" t="s">
        <v>4729</v>
      </c>
      <c r="B3054" t="str">
        <f>"002328"</f>
        <v>002328</v>
      </c>
      <c r="C3054" t="s">
        <v>6448</v>
      </c>
      <c r="D3054" t="s">
        <v>985</v>
      </c>
      <c r="F3054">
        <v>66595871</v>
      </c>
      <c r="G3054">
        <v>55935027</v>
      </c>
      <c r="H3054">
        <v>58507456</v>
      </c>
      <c r="I3054">
        <v>61422403</v>
      </c>
      <c r="P3054">
        <v>110</v>
      </c>
      <c r="Q3054" t="s">
        <v>6449</v>
      </c>
    </row>
    <row r="3055" spans="1:17" x14ac:dyDescent="0.3">
      <c r="A3055" t="s">
        <v>4729</v>
      </c>
      <c r="B3055" t="str">
        <f>"002329"</f>
        <v>002329</v>
      </c>
      <c r="C3055" t="s">
        <v>6450</v>
      </c>
      <c r="D3055" t="s">
        <v>900</v>
      </c>
      <c r="F3055">
        <v>69616157</v>
      </c>
      <c r="G3055">
        <v>73882279</v>
      </c>
      <c r="H3055">
        <v>58960784</v>
      </c>
      <c r="I3055">
        <v>36227670</v>
      </c>
      <c r="P3055">
        <v>186</v>
      </c>
      <c r="Q3055" t="s">
        <v>6451</v>
      </c>
    </row>
    <row r="3056" spans="1:17" x14ac:dyDescent="0.3">
      <c r="A3056" t="s">
        <v>4729</v>
      </c>
      <c r="B3056" t="str">
        <f>"002330"</f>
        <v>002330</v>
      </c>
      <c r="C3056" t="s">
        <v>6452</v>
      </c>
      <c r="D3056" t="s">
        <v>170</v>
      </c>
      <c r="F3056">
        <v>8438239</v>
      </c>
      <c r="G3056">
        <v>1801174</v>
      </c>
      <c r="H3056">
        <v>1817074</v>
      </c>
      <c r="P3056">
        <v>539</v>
      </c>
      <c r="Q3056" t="s">
        <v>6453</v>
      </c>
    </row>
    <row r="3057" spans="1:17" x14ac:dyDescent="0.3">
      <c r="A3057" t="s">
        <v>4729</v>
      </c>
      <c r="B3057" t="str">
        <f>"002331"</f>
        <v>002331</v>
      </c>
      <c r="C3057" t="s">
        <v>6454</v>
      </c>
      <c r="D3057" t="s">
        <v>316</v>
      </c>
      <c r="F3057">
        <v>77303856</v>
      </c>
      <c r="G3057">
        <v>75895735</v>
      </c>
      <c r="H3057">
        <v>88708053</v>
      </c>
      <c r="I3057">
        <v>49200075</v>
      </c>
      <c r="P3057">
        <v>121</v>
      </c>
      <c r="Q3057" t="s">
        <v>6455</v>
      </c>
    </row>
    <row r="3058" spans="1:17" x14ac:dyDescent="0.3">
      <c r="A3058" t="s">
        <v>4729</v>
      </c>
      <c r="B3058" t="str">
        <f>"002332"</f>
        <v>002332</v>
      </c>
      <c r="C3058" t="s">
        <v>6456</v>
      </c>
      <c r="D3058" t="s">
        <v>143</v>
      </c>
      <c r="F3058">
        <v>243374021</v>
      </c>
      <c r="G3058">
        <v>208385908</v>
      </c>
      <c r="H3058">
        <v>204521926</v>
      </c>
      <c r="I3058">
        <v>142852405</v>
      </c>
      <c r="P3058">
        <v>385</v>
      </c>
      <c r="Q3058" t="s">
        <v>6457</v>
      </c>
    </row>
    <row r="3059" spans="1:17" x14ac:dyDescent="0.3">
      <c r="A3059" t="s">
        <v>4729</v>
      </c>
      <c r="B3059" t="str">
        <f>"002333"</f>
        <v>002333</v>
      </c>
      <c r="C3059" t="s">
        <v>6458</v>
      </c>
      <c r="D3059" t="s">
        <v>722</v>
      </c>
      <c r="F3059">
        <v>43601225</v>
      </c>
      <c r="G3059">
        <v>17011181</v>
      </c>
      <c r="H3059">
        <v>12955790</v>
      </c>
      <c r="I3059">
        <v>13471976</v>
      </c>
      <c r="P3059">
        <v>59</v>
      </c>
      <c r="Q3059" t="s">
        <v>6459</v>
      </c>
    </row>
    <row r="3060" spans="1:17" x14ac:dyDescent="0.3">
      <c r="A3060" t="s">
        <v>4729</v>
      </c>
      <c r="B3060" t="str">
        <f>"002334"</f>
        <v>002334</v>
      </c>
      <c r="C3060" t="s">
        <v>6460</v>
      </c>
      <c r="D3060" t="s">
        <v>2432</v>
      </c>
      <c r="F3060">
        <v>326699833</v>
      </c>
      <c r="G3060">
        <v>279743316</v>
      </c>
      <c r="H3060">
        <v>289606086</v>
      </c>
      <c r="I3060">
        <v>256232185</v>
      </c>
      <c r="P3060">
        <v>222</v>
      </c>
      <c r="Q3060" t="s">
        <v>6461</v>
      </c>
    </row>
    <row r="3061" spans="1:17" x14ac:dyDescent="0.3">
      <c r="A3061" t="s">
        <v>4729</v>
      </c>
      <c r="B3061" t="str">
        <f>"002335"</f>
        <v>002335</v>
      </c>
      <c r="C3061" t="s">
        <v>6462</v>
      </c>
      <c r="D3061" t="s">
        <v>880</v>
      </c>
      <c r="F3061">
        <v>266934918</v>
      </c>
      <c r="G3061">
        <v>222423907</v>
      </c>
      <c r="H3061">
        <v>221641195</v>
      </c>
      <c r="I3061">
        <v>168030389</v>
      </c>
      <c r="P3061">
        <v>431</v>
      </c>
      <c r="Q3061" t="s">
        <v>6463</v>
      </c>
    </row>
    <row r="3062" spans="1:17" x14ac:dyDescent="0.3">
      <c r="A3062" t="s">
        <v>4729</v>
      </c>
      <c r="B3062" t="str">
        <f>"002336"</f>
        <v>002336</v>
      </c>
      <c r="C3062" t="s">
        <v>6464</v>
      </c>
      <c r="D3062" t="s">
        <v>798</v>
      </c>
      <c r="F3062">
        <v>0</v>
      </c>
      <c r="G3062">
        <v>0</v>
      </c>
      <c r="P3062">
        <v>69</v>
      </c>
      <c r="Q3062" t="s">
        <v>6465</v>
      </c>
    </row>
    <row r="3063" spans="1:17" x14ac:dyDescent="0.3">
      <c r="A3063" t="s">
        <v>4729</v>
      </c>
      <c r="B3063" t="str">
        <f>"002337"</f>
        <v>002337</v>
      </c>
      <c r="C3063" t="s">
        <v>6466</v>
      </c>
      <c r="D3063" t="s">
        <v>741</v>
      </c>
      <c r="F3063">
        <v>58716166</v>
      </c>
      <c r="G3063">
        <v>49743710</v>
      </c>
      <c r="H3063">
        <v>44734154</v>
      </c>
      <c r="I3063">
        <v>33355313</v>
      </c>
      <c r="P3063">
        <v>92</v>
      </c>
      <c r="Q3063" t="s">
        <v>6467</v>
      </c>
    </row>
    <row r="3064" spans="1:17" x14ac:dyDescent="0.3">
      <c r="A3064" t="s">
        <v>4729</v>
      </c>
      <c r="B3064" t="str">
        <f>"002338"</f>
        <v>002338</v>
      </c>
      <c r="C3064" t="s">
        <v>6468</v>
      </c>
      <c r="D3064" t="s">
        <v>1136</v>
      </c>
      <c r="F3064">
        <v>55432428</v>
      </c>
      <c r="G3064">
        <v>47878755</v>
      </c>
      <c r="H3064">
        <v>41601614</v>
      </c>
      <c r="I3064">
        <v>37879075</v>
      </c>
      <c r="P3064">
        <v>147</v>
      </c>
      <c r="Q3064" t="s">
        <v>6469</v>
      </c>
    </row>
    <row r="3065" spans="1:17" x14ac:dyDescent="0.3">
      <c r="A3065" t="s">
        <v>4729</v>
      </c>
      <c r="B3065" t="str">
        <f>"002339"</f>
        <v>002339</v>
      </c>
      <c r="C3065" t="s">
        <v>6470</v>
      </c>
      <c r="D3065" t="s">
        <v>610</v>
      </c>
      <c r="F3065">
        <v>170466530</v>
      </c>
      <c r="G3065">
        <v>156250493</v>
      </c>
      <c r="H3065">
        <v>140050984</v>
      </c>
      <c r="I3065">
        <v>95061252</v>
      </c>
      <c r="P3065">
        <v>120</v>
      </c>
      <c r="Q3065" t="s">
        <v>6471</v>
      </c>
    </row>
    <row r="3066" spans="1:17" x14ac:dyDescent="0.3">
      <c r="A3066" t="s">
        <v>4729</v>
      </c>
      <c r="B3066" t="str">
        <f>"002340"</f>
        <v>002340</v>
      </c>
      <c r="C3066" t="s">
        <v>6472</v>
      </c>
      <c r="D3066" t="s">
        <v>1790</v>
      </c>
      <c r="F3066">
        <v>805023786</v>
      </c>
      <c r="G3066">
        <v>488630275</v>
      </c>
      <c r="H3066">
        <v>463592119</v>
      </c>
      <c r="I3066">
        <v>420957752</v>
      </c>
      <c r="P3066">
        <v>1302</v>
      </c>
      <c r="Q3066" t="s">
        <v>6473</v>
      </c>
    </row>
    <row r="3067" spans="1:17" x14ac:dyDescent="0.3">
      <c r="A3067" t="s">
        <v>4729</v>
      </c>
      <c r="B3067" t="str">
        <f>"002341"</f>
        <v>002341</v>
      </c>
      <c r="C3067" t="s">
        <v>6474</v>
      </c>
      <c r="D3067" t="s">
        <v>324</v>
      </c>
      <c r="F3067">
        <v>68835548</v>
      </c>
      <c r="G3067">
        <v>67687697</v>
      </c>
      <c r="H3067">
        <v>96203911</v>
      </c>
      <c r="I3067">
        <v>80432844</v>
      </c>
      <c r="P3067">
        <v>276</v>
      </c>
      <c r="Q3067" t="s">
        <v>6475</v>
      </c>
    </row>
    <row r="3068" spans="1:17" x14ac:dyDescent="0.3">
      <c r="A3068" t="s">
        <v>4729</v>
      </c>
      <c r="B3068" t="str">
        <f>"002342"</f>
        <v>002342</v>
      </c>
      <c r="C3068" t="s">
        <v>6476</v>
      </c>
      <c r="D3068" t="s">
        <v>274</v>
      </c>
      <c r="F3068">
        <v>9328754</v>
      </c>
      <c r="G3068">
        <v>9895683</v>
      </c>
      <c r="H3068">
        <v>10622868</v>
      </c>
      <c r="I3068">
        <v>12065922</v>
      </c>
      <c r="P3068">
        <v>112</v>
      </c>
      <c r="Q3068" t="s">
        <v>6477</v>
      </c>
    </row>
    <row r="3069" spans="1:17" x14ac:dyDescent="0.3">
      <c r="A3069" t="s">
        <v>4729</v>
      </c>
      <c r="B3069" t="str">
        <f>"002343"</f>
        <v>002343</v>
      </c>
      <c r="C3069" t="s">
        <v>6478</v>
      </c>
      <c r="D3069" t="s">
        <v>113</v>
      </c>
      <c r="F3069">
        <v>695426</v>
      </c>
      <c r="G3069">
        <v>892822</v>
      </c>
      <c r="H3069">
        <v>1992145</v>
      </c>
      <c r="I3069">
        <v>4204739</v>
      </c>
      <c r="P3069">
        <v>183</v>
      </c>
      <c r="Q3069" t="s">
        <v>6479</v>
      </c>
    </row>
    <row r="3070" spans="1:17" x14ac:dyDescent="0.3">
      <c r="A3070" t="s">
        <v>4729</v>
      </c>
      <c r="B3070" t="str">
        <f>"002344"</f>
        <v>002344</v>
      </c>
      <c r="C3070" t="s">
        <v>6480</v>
      </c>
      <c r="D3070" t="s">
        <v>271</v>
      </c>
      <c r="F3070">
        <v>12755746</v>
      </c>
      <c r="G3070">
        <v>8109159</v>
      </c>
      <c r="H3070">
        <v>7414220</v>
      </c>
      <c r="P3070">
        <v>145</v>
      </c>
      <c r="Q3070" t="s">
        <v>6481</v>
      </c>
    </row>
    <row r="3071" spans="1:17" x14ac:dyDescent="0.3">
      <c r="A3071" t="s">
        <v>4729</v>
      </c>
      <c r="B3071" t="str">
        <f>"002345"</f>
        <v>002345</v>
      </c>
      <c r="C3071" t="s">
        <v>6482</v>
      </c>
      <c r="D3071" t="s">
        <v>1238</v>
      </c>
      <c r="F3071">
        <v>64758109</v>
      </c>
      <c r="G3071">
        <v>56900383</v>
      </c>
      <c r="H3071">
        <v>58215667</v>
      </c>
      <c r="I3071">
        <v>61265345</v>
      </c>
      <c r="P3071">
        <v>137</v>
      </c>
      <c r="Q3071" t="s">
        <v>6483</v>
      </c>
    </row>
    <row r="3072" spans="1:17" x14ac:dyDescent="0.3">
      <c r="A3072" t="s">
        <v>4729</v>
      </c>
      <c r="B3072" t="str">
        <f>"002346"</f>
        <v>002346</v>
      </c>
      <c r="C3072" t="s">
        <v>6484</v>
      </c>
      <c r="D3072" t="s">
        <v>210</v>
      </c>
      <c r="F3072">
        <v>28321438</v>
      </c>
      <c r="G3072">
        <v>3370977</v>
      </c>
      <c r="H3072">
        <v>4013476</v>
      </c>
      <c r="I3072">
        <v>4353242</v>
      </c>
      <c r="P3072">
        <v>105</v>
      </c>
      <c r="Q3072" t="s">
        <v>6485</v>
      </c>
    </row>
    <row r="3073" spans="1:17" x14ac:dyDescent="0.3">
      <c r="A3073" t="s">
        <v>4729</v>
      </c>
      <c r="B3073" t="str">
        <f>"002347"</f>
        <v>002347</v>
      </c>
      <c r="C3073" t="s">
        <v>6486</v>
      </c>
      <c r="D3073" t="s">
        <v>274</v>
      </c>
      <c r="F3073">
        <v>56113764</v>
      </c>
      <c r="G3073">
        <v>45286178</v>
      </c>
      <c r="H3073">
        <v>45478135</v>
      </c>
      <c r="I3073">
        <v>31326487</v>
      </c>
      <c r="P3073">
        <v>75</v>
      </c>
      <c r="Q3073" t="s">
        <v>6487</v>
      </c>
    </row>
    <row r="3074" spans="1:17" x14ac:dyDescent="0.3">
      <c r="A3074" t="s">
        <v>4729</v>
      </c>
      <c r="B3074" t="str">
        <f>"002348"</f>
        <v>002348</v>
      </c>
      <c r="C3074" t="s">
        <v>6488</v>
      </c>
      <c r="D3074" t="s">
        <v>2931</v>
      </c>
      <c r="F3074">
        <v>24616338</v>
      </c>
      <c r="G3074">
        <v>29076638</v>
      </c>
      <c r="H3074">
        <v>34275360</v>
      </c>
      <c r="I3074">
        <v>30032960</v>
      </c>
      <c r="P3074">
        <v>112</v>
      </c>
      <c r="Q3074" t="s">
        <v>6489</v>
      </c>
    </row>
    <row r="3075" spans="1:17" x14ac:dyDescent="0.3">
      <c r="A3075" t="s">
        <v>4729</v>
      </c>
      <c r="B3075" t="str">
        <f>"002349"</f>
        <v>002349</v>
      </c>
      <c r="C3075" t="s">
        <v>6490</v>
      </c>
      <c r="D3075" t="s">
        <v>188</v>
      </c>
      <c r="F3075">
        <v>74757534</v>
      </c>
      <c r="G3075">
        <v>52052859</v>
      </c>
      <c r="H3075">
        <v>82755132</v>
      </c>
      <c r="I3075">
        <v>40319131</v>
      </c>
      <c r="P3075">
        <v>194</v>
      </c>
      <c r="Q3075" t="s">
        <v>6491</v>
      </c>
    </row>
    <row r="3076" spans="1:17" x14ac:dyDescent="0.3">
      <c r="A3076" t="s">
        <v>4729</v>
      </c>
      <c r="B3076" t="str">
        <f>"002350"</f>
        <v>002350</v>
      </c>
      <c r="C3076" t="s">
        <v>6492</v>
      </c>
      <c r="D3076" t="s">
        <v>657</v>
      </c>
      <c r="F3076">
        <v>87727191</v>
      </c>
      <c r="G3076">
        <v>94146505</v>
      </c>
      <c r="H3076">
        <v>100378793</v>
      </c>
      <c r="I3076">
        <v>123876451</v>
      </c>
      <c r="P3076">
        <v>104</v>
      </c>
      <c r="Q3076" t="s">
        <v>6493</v>
      </c>
    </row>
    <row r="3077" spans="1:17" x14ac:dyDescent="0.3">
      <c r="A3077" t="s">
        <v>4729</v>
      </c>
      <c r="B3077" t="str">
        <f>"002351"</f>
        <v>002351</v>
      </c>
      <c r="C3077" t="s">
        <v>6494</v>
      </c>
      <c r="D3077" t="s">
        <v>3526</v>
      </c>
      <c r="F3077">
        <v>136270213</v>
      </c>
      <c r="G3077">
        <v>119184335</v>
      </c>
      <c r="H3077">
        <v>83313492</v>
      </c>
      <c r="I3077">
        <v>61610356</v>
      </c>
      <c r="P3077">
        <v>339</v>
      </c>
      <c r="Q3077" t="s">
        <v>6495</v>
      </c>
    </row>
    <row r="3078" spans="1:17" x14ac:dyDescent="0.3">
      <c r="A3078" t="s">
        <v>4729</v>
      </c>
      <c r="B3078" t="str">
        <f>"002352"</f>
        <v>002352</v>
      </c>
      <c r="C3078" t="s">
        <v>6496</v>
      </c>
      <c r="D3078" t="s">
        <v>537</v>
      </c>
      <c r="F3078">
        <v>2154839000</v>
      </c>
      <c r="G3078">
        <v>1741558376</v>
      </c>
      <c r="H3078">
        <v>1193281876</v>
      </c>
      <c r="I3078">
        <v>984314149</v>
      </c>
      <c r="P3078">
        <v>3728</v>
      </c>
      <c r="Q3078" t="s">
        <v>6497</v>
      </c>
    </row>
    <row r="3079" spans="1:17" x14ac:dyDescent="0.3">
      <c r="A3079" t="s">
        <v>4729</v>
      </c>
      <c r="B3079" t="str">
        <f>"002353"</f>
        <v>002353</v>
      </c>
      <c r="C3079" t="s">
        <v>6498</v>
      </c>
      <c r="D3079" t="s">
        <v>395</v>
      </c>
      <c r="F3079">
        <v>316347681</v>
      </c>
      <c r="G3079">
        <v>303925808</v>
      </c>
      <c r="H3079">
        <v>272653766</v>
      </c>
      <c r="I3079">
        <v>144206119</v>
      </c>
      <c r="P3079">
        <v>863</v>
      </c>
      <c r="Q3079" t="s">
        <v>6499</v>
      </c>
    </row>
    <row r="3080" spans="1:17" x14ac:dyDescent="0.3">
      <c r="A3080" t="s">
        <v>4729</v>
      </c>
      <c r="B3080" t="str">
        <f>"002354"</f>
        <v>002354</v>
      </c>
      <c r="C3080" t="s">
        <v>6500</v>
      </c>
      <c r="D3080" t="s">
        <v>517</v>
      </c>
      <c r="F3080">
        <v>88121712</v>
      </c>
      <c r="G3080">
        <v>112769295</v>
      </c>
      <c r="H3080">
        <v>213272271</v>
      </c>
      <c r="I3080">
        <v>366744912</v>
      </c>
      <c r="P3080">
        <v>265</v>
      </c>
      <c r="Q3080" t="s">
        <v>6501</v>
      </c>
    </row>
    <row r="3081" spans="1:17" x14ac:dyDescent="0.3">
      <c r="A3081" t="s">
        <v>4729</v>
      </c>
      <c r="B3081" t="str">
        <f>"002355"</f>
        <v>002355</v>
      </c>
      <c r="C3081" t="s">
        <v>6502</v>
      </c>
      <c r="D3081" t="s">
        <v>422</v>
      </c>
      <c r="F3081">
        <v>42671342</v>
      </c>
      <c r="G3081">
        <v>42696175</v>
      </c>
      <c r="H3081">
        <v>49825899</v>
      </c>
      <c r="I3081">
        <v>48862157</v>
      </c>
      <c r="P3081">
        <v>120</v>
      </c>
      <c r="Q3081" t="s">
        <v>6503</v>
      </c>
    </row>
    <row r="3082" spans="1:17" x14ac:dyDescent="0.3">
      <c r="A3082" t="s">
        <v>4729</v>
      </c>
      <c r="B3082" t="str">
        <f>"002356"</f>
        <v>002356</v>
      </c>
      <c r="C3082" t="s">
        <v>6504</v>
      </c>
      <c r="D3082" t="s">
        <v>1404</v>
      </c>
      <c r="F3082">
        <v>7281491</v>
      </c>
      <c r="G3082">
        <v>12970778</v>
      </c>
      <c r="H3082">
        <v>18143410</v>
      </c>
      <c r="I3082">
        <v>25629101</v>
      </c>
      <c r="P3082">
        <v>75</v>
      </c>
      <c r="Q3082" t="s">
        <v>6505</v>
      </c>
    </row>
    <row r="3083" spans="1:17" x14ac:dyDescent="0.3">
      <c r="A3083" t="s">
        <v>4729</v>
      </c>
      <c r="B3083" t="str">
        <f>"002357"</f>
        <v>002357</v>
      </c>
      <c r="C3083" t="s">
        <v>6506</v>
      </c>
      <c r="D3083" t="s">
        <v>1133</v>
      </c>
      <c r="F3083">
        <v>2437930</v>
      </c>
      <c r="G3083">
        <v>1735512</v>
      </c>
      <c r="H3083">
        <v>2141865</v>
      </c>
      <c r="I3083">
        <v>1352352</v>
      </c>
      <c r="P3083">
        <v>102</v>
      </c>
      <c r="Q3083" t="s">
        <v>6507</v>
      </c>
    </row>
    <row r="3084" spans="1:17" x14ac:dyDescent="0.3">
      <c r="A3084" t="s">
        <v>4729</v>
      </c>
      <c r="B3084" t="str">
        <f>"002358"</f>
        <v>002358</v>
      </c>
      <c r="C3084" t="s">
        <v>6508</v>
      </c>
      <c r="D3084" t="s">
        <v>210</v>
      </c>
      <c r="F3084">
        <v>92470539</v>
      </c>
      <c r="G3084">
        <v>98523901</v>
      </c>
      <c r="H3084">
        <v>75195782</v>
      </c>
      <c r="I3084">
        <v>96738578</v>
      </c>
      <c r="P3084">
        <v>142</v>
      </c>
      <c r="Q3084" t="s">
        <v>6509</v>
      </c>
    </row>
    <row r="3085" spans="1:17" x14ac:dyDescent="0.3">
      <c r="A3085" t="s">
        <v>4729</v>
      </c>
      <c r="B3085" t="str">
        <f>"002359"</f>
        <v>002359</v>
      </c>
      <c r="C3085" t="s">
        <v>6510</v>
      </c>
      <c r="G3085">
        <v>17099684</v>
      </c>
      <c r="H3085">
        <v>19815879</v>
      </c>
      <c r="I3085">
        <v>25180076</v>
      </c>
      <c r="P3085">
        <v>68</v>
      </c>
      <c r="Q3085" t="s">
        <v>6511</v>
      </c>
    </row>
    <row r="3086" spans="1:17" x14ac:dyDescent="0.3">
      <c r="A3086" t="s">
        <v>4729</v>
      </c>
      <c r="B3086" t="str">
        <f>"002360"</f>
        <v>002360</v>
      </c>
      <c r="C3086" t="s">
        <v>6512</v>
      </c>
      <c r="D3086" t="s">
        <v>2736</v>
      </c>
      <c r="F3086">
        <v>29693402</v>
      </c>
      <c r="G3086">
        <v>19653450</v>
      </c>
      <c r="H3086">
        <v>8147492</v>
      </c>
      <c r="I3086">
        <v>8611067</v>
      </c>
      <c r="P3086">
        <v>111</v>
      </c>
      <c r="Q3086" t="s">
        <v>6513</v>
      </c>
    </row>
    <row r="3087" spans="1:17" x14ac:dyDescent="0.3">
      <c r="A3087" t="s">
        <v>4729</v>
      </c>
      <c r="B3087" t="str">
        <f>"002361"</f>
        <v>002361</v>
      </c>
      <c r="C3087" t="s">
        <v>6514</v>
      </c>
      <c r="D3087" t="s">
        <v>3377</v>
      </c>
      <c r="F3087">
        <v>118860804</v>
      </c>
      <c r="G3087">
        <v>99342640</v>
      </c>
      <c r="H3087">
        <v>88670417</v>
      </c>
      <c r="I3087">
        <v>77105278</v>
      </c>
      <c r="P3087">
        <v>89</v>
      </c>
      <c r="Q3087" t="s">
        <v>6515</v>
      </c>
    </row>
    <row r="3088" spans="1:17" x14ac:dyDescent="0.3">
      <c r="A3088" t="s">
        <v>4729</v>
      </c>
      <c r="B3088" t="str">
        <f>"002362"</f>
        <v>002362</v>
      </c>
      <c r="C3088" t="s">
        <v>6516</v>
      </c>
      <c r="D3088" t="s">
        <v>945</v>
      </c>
      <c r="F3088">
        <v>182833342</v>
      </c>
      <c r="G3088">
        <v>143876407</v>
      </c>
      <c r="H3088">
        <v>129513599</v>
      </c>
      <c r="I3088">
        <v>105864346</v>
      </c>
      <c r="P3088">
        <v>197</v>
      </c>
      <c r="Q3088" t="s">
        <v>6517</v>
      </c>
    </row>
    <row r="3089" spans="1:17" x14ac:dyDescent="0.3">
      <c r="A3089" t="s">
        <v>4729</v>
      </c>
      <c r="B3089" t="str">
        <f>"002363"</f>
        <v>002363</v>
      </c>
      <c r="C3089" t="s">
        <v>6518</v>
      </c>
      <c r="D3089" t="s">
        <v>348</v>
      </c>
      <c r="F3089">
        <v>21532872</v>
      </c>
      <c r="G3089">
        <v>11672614</v>
      </c>
      <c r="H3089">
        <v>13318679</v>
      </c>
      <c r="I3089">
        <v>11675945</v>
      </c>
      <c r="P3089">
        <v>126</v>
      </c>
      <c r="Q3089" t="s">
        <v>6519</v>
      </c>
    </row>
    <row r="3090" spans="1:17" x14ac:dyDescent="0.3">
      <c r="A3090" t="s">
        <v>4729</v>
      </c>
      <c r="B3090" t="str">
        <f>"002364"</f>
        <v>002364</v>
      </c>
      <c r="C3090" t="s">
        <v>6520</v>
      </c>
      <c r="D3090" t="s">
        <v>880</v>
      </c>
      <c r="F3090">
        <v>157046747</v>
      </c>
      <c r="G3090">
        <v>118833709</v>
      </c>
      <c r="H3090">
        <v>108247703</v>
      </c>
      <c r="I3090">
        <v>89104668</v>
      </c>
      <c r="P3090">
        <v>219</v>
      </c>
      <c r="Q3090" t="s">
        <v>6521</v>
      </c>
    </row>
    <row r="3091" spans="1:17" x14ac:dyDescent="0.3">
      <c r="A3091" t="s">
        <v>4729</v>
      </c>
      <c r="B3091" t="str">
        <f>"002365"</f>
        <v>002365</v>
      </c>
      <c r="C3091" t="s">
        <v>6522</v>
      </c>
      <c r="D3091" t="s">
        <v>496</v>
      </c>
      <c r="F3091">
        <v>53043578</v>
      </c>
      <c r="G3091">
        <v>46662574</v>
      </c>
      <c r="H3091">
        <v>54417066</v>
      </c>
      <c r="I3091">
        <v>23981921</v>
      </c>
      <c r="P3091">
        <v>195</v>
      </c>
      <c r="Q3091" t="s">
        <v>6523</v>
      </c>
    </row>
    <row r="3092" spans="1:17" x14ac:dyDescent="0.3">
      <c r="A3092" t="s">
        <v>4729</v>
      </c>
      <c r="B3092" t="str">
        <f>"002366"</f>
        <v>002366</v>
      </c>
      <c r="C3092" t="s">
        <v>6524</v>
      </c>
      <c r="D3092" t="s">
        <v>880</v>
      </c>
      <c r="F3092">
        <v>24255690</v>
      </c>
      <c r="G3092">
        <v>69578812</v>
      </c>
      <c r="H3092">
        <v>105640189</v>
      </c>
      <c r="I3092">
        <v>100591297</v>
      </c>
      <c r="P3092">
        <v>175</v>
      </c>
      <c r="Q3092" t="s">
        <v>6525</v>
      </c>
    </row>
    <row r="3093" spans="1:17" x14ac:dyDescent="0.3">
      <c r="A3093" t="s">
        <v>4729</v>
      </c>
      <c r="B3093" t="str">
        <f>"002367"</f>
        <v>002367</v>
      </c>
      <c r="C3093" t="s">
        <v>6526</v>
      </c>
      <c r="D3093" t="s">
        <v>1691</v>
      </c>
      <c r="F3093">
        <v>201879419</v>
      </c>
      <c r="G3093">
        <v>179626395</v>
      </c>
      <c r="H3093">
        <v>150244331</v>
      </c>
      <c r="I3093">
        <v>118752518</v>
      </c>
      <c r="P3093">
        <v>388</v>
      </c>
      <c r="Q3093" t="s">
        <v>6527</v>
      </c>
    </row>
    <row r="3094" spans="1:17" x14ac:dyDescent="0.3">
      <c r="A3094" t="s">
        <v>4729</v>
      </c>
      <c r="B3094" t="str">
        <f>"002368"</f>
        <v>002368</v>
      </c>
      <c r="C3094" t="s">
        <v>6528</v>
      </c>
      <c r="D3094" t="s">
        <v>316</v>
      </c>
      <c r="F3094">
        <v>569129043</v>
      </c>
      <c r="G3094">
        <v>371786567</v>
      </c>
      <c r="H3094">
        <v>202992730</v>
      </c>
      <c r="I3094">
        <v>163139797</v>
      </c>
      <c r="P3094">
        <v>373</v>
      </c>
      <c r="Q3094" t="s">
        <v>6529</v>
      </c>
    </row>
    <row r="3095" spans="1:17" x14ac:dyDescent="0.3">
      <c r="A3095" t="s">
        <v>4729</v>
      </c>
      <c r="B3095" t="str">
        <f>"002369"</f>
        <v>002369</v>
      </c>
      <c r="C3095" t="s">
        <v>6530</v>
      </c>
      <c r="D3095" t="s">
        <v>313</v>
      </c>
      <c r="F3095">
        <v>90127518</v>
      </c>
      <c r="G3095">
        <v>163883822</v>
      </c>
      <c r="H3095">
        <v>142945455</v>
      </c>
      <c r="I3095">
        <v>105363180</v>
      </c>
      <c r="P3095">
        <v>179</v>
      </c>
      <c r="Q3095" t="s">
        <v>6531</v>
      </c>
    </row>
    <row r="3096" spans="1:17" x14ac:dyDescent="0.3">
      <c r="A3096" t="s">
        <v>4729</v>
      </c>
      <c r="B3096" t="str">
        <f>"002370"</f>
        <v>002370</v>
      </c>
      <c r="C3096" t="s">
        <v>6532</v>
      </c>
      <c r="D3096" t="s">
        <v>143</v>
      </c>
      <c r="F3096">
        <v>28617733</v>
      </c>
      <c r="G3096">
        <v>37349165</v>
      </c>
      <c r="H3096">
        <v>70099008</v>
      </c>
      <c r="I3096">
        <v>57205434</v>
      </c>
      <c r="J3096">
        <v>43551105</v>
      </c>
      <c r="K3096">
        <v>26996714</v>
      </c>
      <c r="P3096">
        <v>201</v>
      </c>
      <c r="Q3096" t="s">
        <v>6533</v>
      </c>
    </row>
    <row r="3097" spans="1:17" x14ac:dyDescent="0.3">
      <c r="A3097" t="s">
        <v>4729</v>
      </c>
      <c r="B3097" t="str">
        <f>"002371"</f>
        <v>002371</v>
      </c>
      <c r="C3097" t="s">
        <v>6534</v>
      </c>
      <c r="D3097" t="s">
        <v>3187</v>
      </c>
      <c r="F3097">
        <v>1297237568</v>
      </c>
      <c r="G3097">
        <v>670323093</v>
      </c>
      <c r="H3097">
        <v>524612770</v>
      </c>
      <c r="I3097">
        <v>351241390</v>
      </c>
      <c r="P3097">
        <v>1587</v>
      </c>
      <c r="Q3097" t="s">
        <v>6535</v>
      </c>
    </row>
    <row r="3098" spans="1:17" x14ac:dyDescent="0.3">
      <c r="A3098" t="s">
        <v>4729</v>
      </c>
      <c r="B3098" t="str">
        <f>"002372"</f>
        <v>002372</v>
      </c>
      <c r="C3098" t="s">
        <v>6536</v>
      </c>
      <c r="D3098" t="s">
        <v>3347</v>
      </c>
      <c r="F3098">
        <v>184543680</v>
      </c>
      <c r="G3098">
        <v>156165745</v>
      </c>
      <c r="H3098">
        <v>161200024</v>
      </c>
      <c r="I3098">
        <v>145185123</v>
      </c>
      <c r="P3098">
        <v>10691</v>
      </c>
      <c r="Q3098" t="s">
        <v>6537</v>
      </c>
    </row>
    <row r="3099" spans="1:17" x14ac:dyDescent="0.3">
      <c r="A3099" t="s">
        <v>4729</v>
      </c>
      <c r="B3099" t="str">
        <f>"002373"</f>
        <v>002373</v>
      </c>
      <c r="C3099" t="s">
        <v>6538</v>
      </c>
      <c r="D3099" t="s">
        <v>316</v>
      </c>
      <c r="F3099">
        <v>912620478</v>
      </c>
      <c r="G3099">
        <v>743163207</v>
      </c>
      <c r="H3099">
        <v>708893702</v>
      </c>
      <c r="I3099">
        <v>558443613</v>
      </c>
      <c r="P3099">
        <v>713</v>
      </c>
      <c r="Q3099" t="s">
        <v>6539</v>
      </c>
    </row>
    <row r="3100" spans="1:17" x14ac:dyDescent="0.3">
      <c r="A3100" t="s">
        <v>4729</v>
      </c>
      <c r="B3100" t="str">
        <f>"002374"</f>
        <v>002374</v>
      </c>
      <c r="C3100" t="s">
        <v>6540</v>
      </c>
      <c r="D3100" t="s">
        <v>2373</v>
      </c>
      <c r="F3100">
        <v>5375060</v>
      </c>
      <c r="G3100">
        <v>9934777</v>
      </c>
      <c r="H3100">
        <v>4232959</v>
      </c>
      <c r="I3100">
        <v>4414748</v>
      </c>
      <c r="P3100">
        <v>92</v>
      </c>
      <c r="Q3100" t="s">
        <v>6541</v>
      </c>
    </row>
    <row r="3101" spans="1:17" x14ac:dyDescent="0.3">
      <c r="A3101" t="s">
        <v>4729</v>
      </c>
      <c r="B3101" t="str">
        <f>"002375"</f>
        <v>002375</v>
      </c>
      <c r="C3101" t="s">
        <v>6542</v>
      </c>
      <c r="D3101" t="s">
        <v>450</v>
      </c>
      <c r="F3101">
        <v>382923797</v>
      </c>
      <c r="G3101">
        <v>323259929</v>
      </c>
      <c r="H3101">
        <v>281570161</v>
      </c>
      <c r="I3101">
        <v>240816841</v>
      </c>
      <c r="P3101">
        <v>176</v>
      </c>
      <c r="Q3101" t="s">
        <v>6543</v>
      </c>
    </row>
    <row r="3102" spans="1:17" x14ac:dyDescent="0.3">
      <c r="A3102" t="s">
        <v>4729</v>
      </c>
      <c r="B3102" t="str">
        <f>"002376"</f>
        <v>002376</v>
      </c>
      <c r="C3102" t="s">
        <v>6544</v>
      </c>
      <c r="D3102" t="s">
        <v>236</v>
      </c>
      <c r="F3102">
        <v>318071336</v>
      </c>
      <c r="G3102">
        <v>357714559</v>
      </c>
      <c r="H3102">
        <v>388799479</v>
      </c>
      <c r="I3102">
        <v>320518370</v>
      </c>
      <c r="P3102">
        <v>298</v>
      </c>
      <c r="Q3102" t="s">
        <v>6545</v>
      </c>
    </row>
    <row r="3103" spans="1:17" x14ac:dyDescent="0.3">
      <c r="A3103" t="s">
        <v>4729</v>
      </c>
      <c r="B3103" t="str">
        <f>"002377"</f>
        <v>002377</v>
      </c>
      <c r="C3103" t="s">
        <v>6546</v>
      </c>
      <c r="D3103" t="s">
        <v>5051</v>
      </c>
      <c r="F3103">
        <v>108126435</v>
      </c>
      <c r="G3103">
        <v>115862270</v>
      </c>
      <c r="H3103">
        <v>98644244</v>
      </c>
      <c r="I3103">
        <v>75859264</v>
      </c>
      <c r="P3103">
        <v>95</v>
      </c>
      <c r="Q3103" t="s">
        <v>6547</v>
      </c>
    </row>
    <row r="3104" spans="1:17" x14ac:dyDescent="0.3">
      <c r="A3104" t="s">
        <v>4729</v>
      </c>
      <c r="B3104" t="str">
        <f>"002378"</f>
        <v>002378</v>
      </c>
      <c r="C3104" t="s">
        <v>6548</v>
      </c>
      <c r="D3104" t="s">
        <v>1110</v>
      </c>
      <c r="F3104">
        <v>37472243</v>
      </c>
      <c r="G3104">
        <v>38968068</v>
      </c>
      <c r="H3104">
        <v>50706588</v>
      </c>
      <c r="I3104">
        <v>43292939</v>
      </c>
      <c r="P3104">
        <v>128</v>
      </c>
      <c r="Q3104" t="s">
        <v>6549</v>
      </c>
    </row>
    <row r="3105" spans="1:17" x14ac:dyDescent="0.3">
      <c r="A3105" t="s">
        <v>4729</v>
      </c>
      <c r="B3105" t="str">
        <f>"002379"</f>
        <v>002379</v>
      </c>
      <c r="C3105" t="s">
        <v>6550</v>
      </c>
      <c r="D3105" t="s">
        <v>504</v>
      </c>
      <c r="F3105">
        <v>51063705</v>
      </c>
      <c r="G3105">
        <v>47385340</v>
      </c>
      <c r="H3105">
        <v>34300781</v>
      </c>
      <c r="I3105">
        <v>5336350</v>
      </c>
      <c r="P3105">
        <v>88</v>
      </c>
      <c r="Q3105" t="s">
        <v>6551</v>
      </c>
    </row>
    <row r="3106" spans="1:17" x14ac:dyDescent="0.3">
      <c r="A3106" t="s">
        <v>4729</v>
      </c>
      <c r="B3106" t="str">
        <f>"002380"</f>
        <v>002380</v>
      </c>
      <c r="C3106" t="s">
        <v>6552</v>
      </c>
      <c r="D3106" t="s">
        <v>316</v>
      </c>
      <c r="F3106">
        <v>112686455</v>
      </c>
      <c r="G3106">
        <v>89847683</v>
      </c>
      <c r="H3106">
        <v>80403521</v>
      </c>
      <c r="I3106">
        <v>68331028</v>
      </c>
      <c r="P3106">
        <v>131</v>
      </c>
      <c r="Q3106" t="s">
        <v>6553</v>
      </c>
    </row>
    <row r="3107" spans="1:17" x14ac:dyDescent="0.3">
      <c r="A3107" t="s">
        <v>4729</v>
      </c>
      <c r="B3107" t="str">
        <f>"002381"</f>
        <v>002381</v>
      </c>
      <c r="C3107" t="s">
        <v>6554</v>
      </c>
      <c r="D3107" t="s">
        <v>2469</v>
      </c>
      <c r="F3107">
        <v>58867403</v>
      </c>
      <c r="G3107">
        <v>53973746</v>
      </c>
      <c r="H3107">
        <v>47029744</v>
      </c>
      <c r="I3107">
        <v>40474274</v>
      </c>
      <c r="P3107">
        <v>276</v>
      </c>
      <c r="Q3107" t="s">
        <v>6555</v>
      </c>
    </row>
    <row r="3108" spans="1:17" x14ac:dyDescent="0.3">
      <c r="A3108" t="s">
        <v>4729</v>
      </c>
      <c r="B3108" t="str">
        <f>"002382"</f>
        <v>002382</v>
      </c>
      <c r="C3108" t="s">
        <v>6556</v>
      </c>
      <c r="D3108" t="s">
        <v>1077</v>
      </c>
      <c r="F3108">
        <v>438523396</v>
      </c>
      <c r="G3108">
        <v>291443163</v>
      </c>
      <c r="H3108">
        <v>197501747</v>
      </c>
      <c r="I3108">
        <v>133471034</v>
      </c>
      <c r="P3108">
        <v>849</v>
      </c>
      <c r="Q3108" t="s">
        <v>6557</v>
      </c>
    </row>
    <row r="3109" spans="1:17" x14ac:dyDescent="0.3">
      <c r="A3109" t="s">
        <v>4729</v>
      </c>
      <c r="B3109" t="str">
        <f>"002383"</f>
        <v>002383</v>
      </c>
      <c r="C3109" t="s">
        <v>6558</v>
      </c>
      <c r="D3109" t="s">
        <v>1136</v>
      </c>
      <c r="F3109">
        <v>210727997</v>
      </c>
      <c r="G3109">
        <v>292311646</v>
      </c>
      <c r="H3109">
        <v>211317052</v>
      </c>
      <c r="I3109">
        <v>183127327</v>
      </c>
      <c r="P3109">
        <v>211</v>
      </c>
      <c r="Q3109" t="s">
        <v>6559</v>
      </c>
    </row>
    <row r="3110" spans="1:17" x14ac:dyDescent="0.3">
      <c r="A3110" t="s">
        <v>4729</v>
      </c>
      <c r="B3110" t="str">
        <f>"002384"</f>
        <v>002384</v>
      </c>
      <c r="C3110" t="s">
        <v>6560</v>
      </c>
      <c r="D3110" t="s">
        <v>425</v>
      </c>
      <c r="F3110">
        <v>1028567207</v>
      </c>
      <c r="G3110">
        <v>910253381</v>
      </c>
      <c r="H3110">
        <v>774833951</v>
      </c>
      <c r="I3110">
        <v>475150319</v>
      </c>
      <c r="P3110">
        <v>1070</v>
      </c>
      <c r="Q3110" t="s">
        <v>6561</v>
      </c>
    </row>
    <row r="3111" spans="1:17" x14ac:dyDescent="0.3">
      <c r="A3111" t="s">
        <v>4729</v>
      </c>
      <c r="B3111" t="str">
        <f>"002385"</f>
        <v>002385</v>
      </c>
      <c r="C3111" t="s">
        <v>6562</v>
      </c>
      <c r="D3111" t="s">
        <v>2886</v>
      </c>
      <c r="F3111">
        <v>612799196</v>
      </c>
      <c r="G3111">
        <v>543069609</v>
      </c>
      <c r="H3111">
        <v>383032109</v>
      </c>
      <c r="I3111">
        <v>414605574</v>
      </c>
      <c r="P3111">
        <v>890</v>
      </c>
      <c r="Q3111" t="s">
        <v>6563</v>
      </c>
    </row>
    <row r="3112" spans="1:17" x14ac:dyDescent="0.3">
      <c r="A3112" t="s">
        <v>4729</v>
      </c>
      <c r="B3112" t="str">
        <f>"002386"</f>
        <v>002386</v>
      </c>
      <c r="C3112" t="s">
        <v>6564</v>
      </c>
      <c r="D3112" t="s">
        <v>175</v>
      </c>
      <c r="F3112">
        <v>228611772</v>
      </c>
      <c r="G3112">
        <v>155919532</v>
      </c>
      <c r="H3112">
        <v>171602429</v>
      </c>
      <c r="I3112">
        <v>153703672</v>
      </c>
      <c r="P3112">
        <v>143</v>
      </c>
      <c r="Q3112" t="s">
        <v>6565</v>
      </c>
    </row>
    <row r="3113" spans="1:17" x14ac:dyDescent="0.3">
      <c r="A3113" t="s">
        <v>4729</v>
      </c>
      <c r="B3113" t="str">
        <f>"002387"</f>
        <v>002387</v>
      </c>
      <c r="C3113" t="s">
        <v>6566</v>
      </c>
      <c r="D3113" t="s">
        <v>1117</v>
      </c>
      <c r="F3113">
        <v>1055338036</v>
      </c>
      <c r="G3113">
        <v>658586586</v>
      </c>
      <c r="H3113">
        <v>581840594</v>
      </c>
      <c r="I3113">
        <v>521213927</v>
      </c>
      <c r="P3113">
        <v>274</v>
      </c>
      <c r="Q3113" t="s">
        <v>6567</v>
      </c>
    </row>
    <row r="3114" spans="1:17" x14ac:dyDescent="0.3">
      <c r="A3114" t="s">
        <v>4729</v>
      </c>
      <c r="B3114" t="str">
        <f>"002388"</f>
        <v>002388</v>
      </c>
      <c r="C3114" t="s">
        <v>6568</v>
      </c>
      <c r="D3114" t="s">
        <v>651</v>
      </c>
      <c r="F3114">
        <v>14751061</v>
      </c>
      <c r="G3114">
        <v>18227592</v>
      </c>
      <c r="H3114">
        <v>12267449</v>
      </c>
      <c r="I3114">
        <v>12078900</v>
      </c>
      <c r="P3114">
        <v>148</v>
      </c>
      <c r="Q3114" t="s">
        <v>6569</v>
      </c>
    </row>
    <row r="3115" spans="1:17" x14ac:dyDescent="0.3">
      <c r="A3115" t="s">
        <v>4729</v>
      </c>
      <c r="B3115" t="str">
        <f>"002389"</f>
        <v>002389</v>
      </c>
      <c r="C3115" t="s">
        <v>6570</v>
      </c>
      <c r="D3115" t="s">
        <v>98</v>
      </c>
      <c r="F3115">
        <v>186494236</v>
      </c>
      <c r="G3115">
        <v>150508977</v>
      </c>
      <c r="H3115">
        <v>142434345</v>
      </c>
      <c r="I3115">
        <v>139695155</v>
      </c>
      <c r="P3115">
        <v>434</v>
      </c>
      <c r="Q3115" t="s">
        <v>6571</v>
      </c>
    </row>
    <row r="3116" spans="1:17" x14ac:dyDescent="0.3">
      <c r="A3116" t="s">
        <v>4729</v>
      </c>
      <c r="B3116" t="str">
        <f>"002390"</f>
        <v>002390</v>
      </c>
      <c r="C3116" t="s">
        <v>6572</v>
      </c>
      <c r="D3116" t="s">
        <v>188</v>
      </c>
      <c r="F3116">
        <v>1937594</v>
      </c>
      <c r="G3116">
        <v>10562946</v>
      </c>
      <c r="H3116">
        <v>36577563</v>
      </c>
      <c r="I3116">
        <v>36692276</v>
      </c>
      <c r="P3116">
        <v>272</v>
      </c>
      <c r="Q3116" t="s">
        <v>6573</v>
      </c>
    </row>
    <row r="3117" spans="1:17" x14ac:dyDescent="0.3">
      <c r="A3117" t="s">
        <v>4729</v>
      </c>
      <c r="B3117" t="str">
        <f>"002391"</f>
        <v>002391</v>
      </c>
      <c r="C3117" t="s">
        <v>6574</v>
      </c>
      <c r="D3117" t="s">
        <v>853</v>
      </c>
      <c r="F3117">
        <v>150321311</v>
      </c>
      <c r="G3117">
        <v>128386852</v>
      </c>
      <c r="H3117">
        <v>148770301</v>
      </c>
      <c r="I3117">
        <v>138043606</v>
      </c>
      <c r="P3117">
        <v>192</v>
      </c>
      <c r="Q3117" t="s">
        <v>6575</v>
      </c>
    </row>
    <row r="3118" spans="1:17" x14ac:dyDescent="0.3">
      <c r="A3118" t="s">
        <v>4729</v>
      </c>
      <c r="B3118" t="str">
        <f>"002392"</f>
        <v>002392</v>
      </c>
      <c r="C3118" t="s">
        <v>6576</v>
      </c>
      <c r="D3118" t="s">
        <v>5922</v>
      </c>
      <c r="F3118">
        <v>187757158</v>
      </c>
      <c r="G3118">
        <v>191782017</v>
      </c>
      <c r="H3118">
        <v>165350038</v>
      </c>
      <c r="I3118">
        <v>101473278</v>
      </c>
      <c r="P3118">
        <v>142</v>
      </c>
      <c r="Q3118" t="s">
        <v>6577</v>
      </c>
    </row>
    <row r="3119" spans="1:17" x14ac:dyDescent="0.3">
      <c r="A3119" t="s">
        <v>4729</v>
      </c>
      <c r="B3119" t="str">
        <f>"002393"</f>
        <v>002393</v>
      </c>
      <c r="C3119" t="s">
        <v>6578</v>
      </c>
      <c r="D3119" t="s">
        <v>143</v>
      </c>
      <c r="F3119">
        <v>104086740</v>
      </c>
      <c r="G3119">
        <v>76699864</v>
      </c>
      <c r="H3119">
        <v>123429084</v>
      </c>
      <c r="I3119">
        <v>94297637</v>
      </c>
      <c r="P3119">
        <v>153</v>
      </c>
      <c r="Q3119" t="s">
        <v>6579</v>
      </c>
    </row>
    <row r="3120" spans="1:17" x14ac:dyDescent="0.3">
      <c r="A3120" t="s">
        <v>4729</v>
      </c>
      <c r="B3120" t="str">
        <f>"002394"</f>
        <v>002394</v>
      </c>
      <c r="C3120" t="s">
        <v>6580</v>
      </c>
      <c r="D3120" t="s">
        <v>1009</v>
      </c>
      <c r="F3120">
        <v>88255612</v>
      </c>
      <c r="G3120">
        <v>77179149</v>
      </c>
      <c r="H3120">
        <v>49154756</v>
      </c>
      <c r="I3120">
        <v>25673198</v>
      </c>
      <c r="P3120">
        <v>673</v>
      </c>
      <c r="Q3120" t="s">
        <v>6581</v>
      </c>
    </row>
    <row r="3121" spans="1:17" x14ac:dyDescent="0.3">
      <c r="A3121" t="s">
        <v>4729</v>
      </c>
      <c r="B3121" t="str">
        <f>"002395"</f>
        <v>002395</v>
      </c>
      <c r="C3121" t="s">
        <v>6582</v>
      </c>
      <c r="D3121" t="s">
        <v>3377</v>
      </c>
      <c r="F3121">
        <v>54426409</v>
      </c>
      <c r="G3121">
        <v>51466820</v>
      </c>
      <c r="H3121">
        <v>48873933</v>
      </c>
      <c r="I3121">
        <v>48291944</v>
      </c>
      <c r="P3121">
        <v>59</v>
      </c>
      <c r="Q3121" t="s">
        <v>6583</v>
      </c>
    </row>
    <row r="3122" spans="1:17" x14ac:dyDescent="0.3">
      <c r="A3122" t="s">
        <v>4729</v>
      </c>
      <c r="B3122" t="str">
        <f>"002396"</f>
        <v>002396</v>
      </c>
      <c r="C3122" t="s">
        <v>6584</v>
      </c>
      <c r="D3122" t="s">
        <v>1019</v>
      </c>
      <c r="F3122">
        <v>1749500331</v>
      </c>
      <c r="G3122">
        <v>1341363465</v>
      </c>
      <c r="H3122">
        <v>1217735507</v>
      </c>
      <c r="I3122">
        <v>1048731557</v>
      </c>
      <c r="P3122">
        <v>3694</v>
      </c>
      <c r="Q3122" t="s">
        <v>6585</v>
      </c>
    </row>
    <row r="3123" spans="1:17" x14ac:dyDescent="0.3">
      <c r="A3123" t="s">
        <v>4729</v>
      </c>
      <c r="B3123" t="str">
        <f>"002397"</f>
        <v>002397</v>
      </c>
      <c r="C3123" t="s">
        <v>6586</v>
      </c>
      <c r="D3123" t="s">
        <v>2889</v>
      </c>
      <c r="F3123">
        <v>86632029</v>
      </c>
      <c r="G3123">
        <v>76723108</v>
      </c>
      <c r="H3123">
        <v>86718807</v>
      </c>
      <c r="I3123">
        <v>30903060</v>
      </c>
      <c r="P3123">
        <v>109</v>
      </c>
      <c r="Q3123" t="s">
        <v>6587</v>
      </c>
    </row>
    <row r="3124" spans="1:17" x14ac:dyDescent="0.3">
      <c r="A3124" t="s">
        <v>4729</v>
      </c>
      <c r="B3124" t="str">
        <f>"002398"</f>
        <v>002398</v>
      </c>
      <c r="C3124" t="s">
        <v>6588</v>
      </c>
      <c r="D3124" t="s">
        <v>722</v>
      </c>
      <c r="F3124">
        <v>188001946</v>
      </c>
      <c r="G3124">
        <v>152109620</v>
      </c>
      <c r="H3124">
        <v>123875531</v>
      </c>
      <c r="I3124">
        <v>82615741</v>
      </c>
      <c r="P3124">
        <v>217</v>
      </c>
      <c r="Q3124" t="s">
        <v>6589</v>
      </c>
    </row>
    <row r="3125" spans="1:17" x14ac:dyDescent="0.3">
      <c r="A3125" t="s">
        <v>4729</v>
      </c>
      <c r="B3125" t="str">
        <f>"002399"</f>
        <v>002399</v>
      </c>
      <c r="C3125" t="s">
        <v>6590</v>
      </c>
      <c r="D3125" t="s">
        <v>496</v>
      </c>
      <c r="F3125">
        <v>221099297</v>
      </c>
      <c r="G3125">
        <v>160007774</v>
      </c>
      <c r="H3125">
        <v>148714486</v>
      </c>
      <c r="I3125">
        <v>186534352</v>
      </c>
      <c r="P3125">
        <v>285</v>
      </c>
      <c r="Q3125" t="s">
        <v>6591</v>
      </c>
    </row>
    <row r="3126" spans="1:17" x14ac:dyDescent="0.3">
      <c r="A3126" t="s">
        <v>4729</v>
      </c>
      <c r="B3126" t="str">
        <f>"002400"</f>
        <v>002400</v>
      </c>
      <c r="C3126" t="s">
        <v>6592</v>
      </c>
      <c r="D3126" t="s">
        <v>207</v>
      </c>
      <c r="F3126">
        <v>304725866</v>
      </c>
      <c r="G3126">
        <v>264270091</v>
      </c>
      <c r="H3126">
        <v>262775612</v>
      </c>
      <c r="I3126">
        <v>311905389</v>
      </c>
      <c r="P3126">
        <v>328</v>
      </c>
      <c r="Q3126" t="s">
        <v>6593</v>
      </c>
    </row>
    <row r="3127" spans="1:17" x14ac:dyDescent="0.3">
      <c r="A3127" t="s">
        <v>4729</v>
      </c>
      <c r="B3127" t="str">
        <f>"002401"</f>
        <v>002401</v>
      </c>
      <c r="C3127" t="s">
        <v>6594</v>
      </c>
      <c r="D3127" t="s">
        <v>316</v>
      </c>
      <c r="F3127">
        <v>69851055</v>
      </c>
      <c r="G3127">
        <v>44167324</v>
      </c>
      <c r="H3127">
        <v>52873975</v>
      </c>
      <c r="I3127">
        <v>33177926</v>
      </c>
      <c r="P3127">
        <v>152</v>
      </c>
      <c r="Q3127" t="s">
        <v>6595</v>
      </c>
    </row>
    <row r="3128" spans="1:17" x14ac:dyDescent="0.3">
      <c r="A3128" t="s">
        <v>4729</v>
      </c>
      <c r="B3128" t="str">
        <f>"002402"</f>
        <v>002402</v>
      </c>
      <c r="C3128" t="s">
        <v>6596</v>
      </c>
      <c r="D3128" t="s">
        <v>313</v>
      </c>
      <c r="F3128">
        <v>286121626</v>
      </c>
      <c r="G3128">
        <v>236637059</v>
      </c>
      <c r="H3128">
        <v>169588505</v>
      </c>
      <c r="I3128">
        <v>98714549</v>
      </c>
      <c r="P3128">
        <v>1283</v>
      </c>
      <c r="Q3128" t="s">
        <v>6597</v>
      </c>
    </row>
    <row r="3129" spans="1:17" x14ac:dyDescent="0.3">
      <c r="A3129" t="s">
        <v>4729</v>
      </c>
      <c r="B3129" t="str">
        <f>"002403"</f>
        <v>002403</v>
      </c>
      <c r="C3129" t="s">
        <v>6598</v>
      </c>
      <c r="D3129" t="s">
        <v>5799</v>
      </c>
      <c r="F3129">
        <v>179953328</v>
      </c>
      <c r="G3129">
        <v>169796840</v>
      </c>
      <c r="H3129">
        <v>173305042</v>
      </c>
      <c r="I3129">
        <v>148539102</v>
      </c>
      <c r="P3129">
        <v>151</v>
      </c>
      <c r="Q3129" t="s">
        <v>6599</v>
      </c>
    </row>
    <row r="3130" spans="1:17" x14ac:dyDescent="0.3">
      <c r="A3130" t="s">
        <v>4729</v>
      </c>
      <c r="B3130" t="str">
        <f>"002404"</f>
        <v>002404</v>
      </c>
      <c r="C3130" t="s">
        <v>6600</v>
      </c>
      <c r="D3130" t="s">
        <v>366</v>
      </c>
      <c r="F3130">
        <v>54143360</v>
      </c>
      <c r="G3130">
        <v>49465770</v>
      </c>
      <c r="H3130">
        <v>42871489</v>
      </c>
      <c r="I3130">
        <v>35580417</v>
      </c>
      <c r="P3130">
        <v>108</v>
      </c>
      <c r="Q3130" t="s">
        <v>6601</v>
      </c>
    </row>
    <row r="3131" spans="1:17" x14ac:dyDescent="0.3">
      <c r="A3131" t="s">
        <v>4729</v>
      </c>
      <c r="B3131" t="str">
        <f>"002405"</f>
        <v>002405</v>
      </c>
      <c r="C3131" t="s">
        <v>6602</v>
      </c>
      <c r="D3131" t="s">
        <v>945</v>
      </c>
      <c r="F3131">
        <v>1334059349</v>
      </c>
      <c r="G3131">
        <v>1181725734</v>
      </c>
      <c r="H3131">
        <v>1189589632</v>
      </c>
      <c r="I3131">
        <v>1276435895</v>
      </c>
      <c r="P3131">
        <v>3861</v>
      </c>
      <c r="Q3131" t="s">
        <v>6603</v>
      </c>
    </row>
    <row r="3132" spans="1:17" x14ac:dyDescent="0.3">
      <c r="A3132" t="s">
        <v>4729</v>
      </c>
      <c r="B3132" t="str">
        <f>"002406"</f>
        <v>002406</v>
      </c>
      <c r="C3132" t="s">
        <v>6604</v>
      </c>
      <c r="D3132" t="s">
        <v>348</v>
      </c>
      <c r="F3132">
        <v>103060909</v>
      </c>
      <c r="G3132">
        <v>108970006</v>
      </c>
      <c r="H3132">
        <v>87677439</v>
      </c>
      <c r="I3132">
        <v>73332487</v>
      </c>
      <c r="P3132">
        <v>272</v>
      </c>
      <c r="Q3132" t="s">
        <v>6605</v>
      </c>
    </row>
    <row r="3133" spans="1:17" x14ac:dyDescent="0.3">
      <c r="A3133" t="s">
        <v>4729</v>
      </c>
      <c r="B3133" t="str">
        <f>"002407"</f>
        <v>002407</v>
      </c>
      <c r="C3133" t="s">
        <v>6606</v>
      </c>
      <c r="D3133" t="s">
        <v>375</v>
      </c>
      <c r="F3133">
        <v>263676366</v>
      </c>
      <c r="G3133">
        <v>129300955</v>
      </c>
      <c r="H3133">
        <v>196606067</v>
      </c>
      <c r="I3133">
        <v>131771967</v>
      </c>
      <c r="P3133">
        <v>566</v>
      </c>
      <c r="Q3133" t="s">
        <v>6607</v>
      </c>
    </row>
    <row r="3134" spans="1:17" x14ac:dyDescent="0.3">
      <c r="A3134" t="s">
        <v>4729</v>
      </c>
      <c r="B3134" t="str">
        <f>"002408"</f>
        <v>002408</v>
      </c>
      <c r="C3134" t="s">
        <v>6608</v>
      </c>
      <c r="D3134" t="s">
        <v>1617</v>
      </c>
      <c r="F3134">
        <v>578562521</v>
      </c>
      <c r="G3134">
        <v>271205777</v>
      </c>
      <c r="H3134">
        <v>316137547</v>
      </c>
      <c r="I3134">
        <v>307288599</v>
      </c>
      <c r="P3134">
        <v>317</v>
      </c>
      <c r="Q3134" t="s">
        <v>6609</v>
      </c>
    </row>
    <row r="3135" spans="1:17" x14ac:dyDescent="0.3">
      <c r="A3135" t="s">
        <v>4729</v>
      </c>
      <c r="B3135" t="str">
        <f>"002409"</f>
        <v>002409</v>
      </c>
      <c r="C3135" t="s">
        <v>6610</v>
      </c>
      <c r="D3135" t="s">
        <v>475</v>
      </c>
      <c r="F3135">
        <v>95956477</v>
      </c>
      <c r="G3135">
        <v>73375474</v>
      </c>
      <c r="H3135">
        <v>63691756</v>
      </c>
      <c r="I3135">
        <v>47895576</v>
      </c>
      <c r="P3135">
        <v>498</v>
      </c>
      <c r="Q3135" t="s">
        <v>6611</v>
      </c>
    </row>
    <row r="3136" spans="1:17" x14ac:dyDescent="0.3">
      <c r="A3136" t="s">
        <v>4729</v>
      </c>
      <c r="B3136" t="str">
        <f>"002410"</f>
        <v>002410</v>
      </c>
      <c r="C3136" t="s">
        <v>6612</v>
      </c>
      <c r="D3136" t="s">
        <v>945</v>
      </c>
      <c r="F3136">
        <v>1333492470</v>
      </c>
      <c r="G3136">
        <v>1082694076</v>
      </c>
      <c r="H3136">
        <v>969108759</v>
      </c>
      <c r="I3136">
        <v>727173003</v>
      </c>
      <c r="P3136">
        <v>2190</v>
      </c>
      <c r="Q3136" t="s">
        <v>6613</v>
      </c>
    </row>
    <row r="3137" spans="1:17" x14ac:dyDescent="0.3">
      <c r="A3137" t="s">
        <v>4729</v>
      </c>
      <c r="B3137" t="str">
        <f>"002411"</f>
        <v>002411</v>
      </c>
      <c r="C3137" t="s">
        <v>6614</v>
      </c>
      <c r="D3137" t="s">
        <v>125</v>
      </c>
      <c r="G3137">
        <v>112308729</v>
      </c>
      <c r="H3137">
        <v>83634863</v>
      </c>
      <c r="I3137">
        <v>114800418</v>
      </c>
      <c r="P3137">
        <v>244</v>
      </c>
      <c r="Q3137" t="s">
        <v>6615</v>
      </c>
    </row>
    <row r="3138" spans="1:17" x14ac:dyDescent="0.3">
      <c r="A3138" t="s">
        <v>4729</v>
      </c>
      <c r="B3138" t="str">
        <f>"002412"</f>
        <v>002412</v>
      </c>
      <c r="C3138" t="s">
        <v>6616</v>
      </c>
      <c r="D3138" t="s">
        <v>188</v>
      </c>
      <c r="F3138">
        <v>39449535</v>
      </c>
      <c r="G3138">
        <v>31226653</v>
      </c>
      <c r="H3138">
        <v>33451369</v>
      </c>
      <c r="I3138">
        <v>36442977</v>
      </c>
      <c r="P3138">
        <v>155</v>
      </c>
      <c r="Q3138" t="s">
        <v>6617</v>
      </c>
    </row>
    <row r="3139" spans="1:17" x14ac:dyDescent="0.3">
      <c r="A3139" t="s">
        <v>4729</v>
      </c>
      <c r="B3139" t="str">
        <f>"002413"</f>
        <v>002413</v>
      </c>
      <c r="C3139" t="s">
        <v>6618</v>
      </c>
      <c r="D3139" t="s">
        <v>1136</v>
      </c>
      <c r="F3139">
        <v>169596923</v>
      </c>
      <c r="G3139">
        <v>154069207</v>
      </c>
      <c r="H3139">
        <v>121941412</v>
      </c>
      <c r="I3139">
        <v>91908838</v>
      </c>
      <c r="P3139">
        <v>218</v>
      </c>
      <c r="Q3139" t="s">
        <v>6619</v>
      </c>
    </row>
    <row r="3140" spans="1:17" x14ac:dyDescent="0.3">
      <c r="A3140" t="s">
        <v>4729</v>
      </c>
      <c r="B3140" t="str">
        <f>"002414"</f>
        <v>002414</v>
      </c>
      <c r="C3140" t="s">
        <v>6620</v>
      </c>
      <c r="D3140" t="s">
        <v>1136</v>
      </c>
      <c r="F3140">
        <v>370898397</v>
      </c>
      <c r="G3140">
        <v>455495281</v>
      </c>
      <c r="H3140">
        <v>257641774</v>
      </c>
      <c r="I3140">
        <v>200143555</v>
      </c>
      <c r="P3140">
        <v>789</v>
      </c>
      <c r="Q3140" t="s">
        <v>6621</v>
      </c>
    </row>
    <row r="3141" spans="1:17" x14ac:dyDescent="0.3">
      <c r="A3141" t="s">
        <v>4729</v>
      </c>
      <c r="B3141" t="str">
        <f>"002415"</f>
        <v>002415</v>
      </c>
      <c r="C3141" t="s">
        <v>6622</v>
      </c>
      <c r="D3141" t="s">
        <v>2980</v>
      </c>
      <c r="F3141">
        <v>8251645101</v>
      </c>
      <c r="G3141">
        <v>6378651762</v>
      </c>
      <c r="H3141">
        <v>5483811698</v>
      </c>
      <c r="I3141">
        <v>4482780693</v>
      </c>
      <c r="P3141">
        <v>63223</v>
      </c>
      <c r="Q3141" t="s">
        <v>6623</v>
      </c>
    </row>
    <row r="3142" spans="1:17" x14ac:dyDescent="0.3">
      <c r="A3142" t="s">
        <v>4729</v>
      </c>
      <c r="B3142" t="str">
        <f>"002416"</f>
        <v>002416</v>
      </c>
      <c r="C3142" t="s">
        <v>6624</v>
      </c>
      <c r="D3142" t="s">
        <v>295</v>
      </c>
      <c r="F3142">
        <v>14334986</v>
      </c>
      <c r="G3142">
        <v>12106008</v>
      </c>
      <c r="H3142">
        <v>13659788</v>
      </c>
      <c r="I3142">
        <v>12317420</v>
      </c>
      <c r="P3142">
        <v>251</v>
      </c>
      <c r="Q3142" t="s">
        <v>6625</v>
      </c>
    </row>
    <row r="3143" spans="1:17" x14ac:dyDescent="0.3">
      <c r="A3143" t="s">
        <v>4729</v>
      </c>
      <c r="B3143" t="str">
        <f>"002417"</f>
        <v>002417</v>
      </c>
      <c r="C3143" t="s">
        <v>6626</v>
      </c>
      <c r="D3143" t="s">
        <v>316</v>
      </c>
      <c r="F3143">
        <v>4967185</v>
      </c>
      <c r="G3143">
        <v>7182282</v>
      </c>
      <c r="H3143">
        <v>7305222</v>
      </c>
      <c r="I3143">
        <v>7141576</v>
      </c>
      <c r="P3143">
        <v>140</v>
      </c>
      <c r="Q3143" t="s">
        <v>6627</v>
      </c>
    </row>
    <row r="3144" spans="1:17" x14ac:dyDescent="0.3">
      <c r="A3144" t="s">
        <v>4729</v>
      </c>
      <c r="B3144" t="str">
        <f>"002418"</f>
        <v>002418</v>
      </c>
      <c r="C3144" t="s">
        <v>6628</v>
      </c>
      <c r="D3144" t="s">
        <v>1253</v>
      </c>
      <c r="F3144">
        <v>22199364</v>
      </c>
      <c r="G3144">
        <v>33529326</v>
      </c>
      <c r="H3144">
        <v>39143290</v>
      </c>
      <c r="I3144">
        <v>58486573</v>
      </c>
      <c r="P3144">
        <v>94</v>
      </c>
      <c r="Q3144" t="s">
        <v>6629</v>
      </c>
    </row>
    <row r="3145" spans="1:17" x14ac:dyDescent="0.3">
      <c r="A3145" t="s">
        <v>4729</v>
      </c>
      <c r="B3145" t="str">
        <f>"002419"</f>
        <v>002419</v>
      </c>
      <c r="C3145" t="s">
        <v>6630</v>
      </c>
      <c r="D3145" t="s">
        <v>633</v>
      </c>
      <c r="F3145">
        <v>68833667</v>
      </c>
      <c r="G3145">
        <v>54907017</v>
      </c>
      <c r="H3145">
        <v>25203140</v>
      </c>
      <c r="P3145">
        <v>421</v>
      </c>
      <c r="Q3145" t="s">
        <v>6631</v>
      </c>
    </row>
    <row r="3146" spans="1:17" x14ac:dyDescent="0.3">
      <c r="A3146" t="s">
        <v>4729</v>
      </c>
      <c r="B3146" t="str">
        <f>"002420"</f>
        <v>002420</v>
      </c>
      <c r="C3146" t="s">
        <v>6632</v>
      </c>
      <c r="D3146" t="s">
        <v>1253</v>
      </c>
      <c r="F3146">
        <v>119723375</v>
      </c>
      <c r="G3146">
        <v>111998444</v>
      </c>
      <c r="H3146">
        <v>129782293</v>
      </c>
      <c r="I3146">
        <v>171878928</v>
      </c>
      <c r="P3146">
        <v>82</v>
      </c>
      <c r="Q3146" t="s">
        <v>6633</v>
      </c>
    </row>
    <row r="3147" spans="1:17" x14ac:dyDescent="0.3">
      <c r="A3147" t="s">
        <v>4729</v>
      </c>
      <c r="B3147" t="str">
        <f>"002421"</f>
        <v>002421</v>
      </c>
      <c r="C3147" t="s">
        <v>6634</v>
      </c>
      <c r="D3147" t="s">
        <v>316</v>
      </c>
      <c r="F3147">
        <v>107928548</v>
      </c>
      <c r="G3147">
        <v>80305285</v>
      </c>
      <c r="H3147">
        <v>52051104</v>
      </c>
      <c r="I3147">
        <v>47573406</v>
      </c>
      <c r="P3147">
        <v>199</v>
      </c>
      <c r="Q3147" t="s">
        <v>6635</v>
      </c>
    </row>
    <row r="3148" spans="1:17" x14ac:dyDescent="0.3">
      <c r="A3148" t="s">
        <v>4729</v>
      </c>
      <c r="B3148" t="str">
        <f>"002422"</f>
        <v>002422</v>
      </c>
      <c r="C3148" t="s">
        <v>6636</v>
      </c>
      <c r="D3148" t="s">
        <v>143</v>
      </c>
      <c r="F3148">
        <v>1736587038</v>
      </c>
      <c r="G3148">
        <v>1527331209</v>
      </c>
      <c r="H3148">
        <v>1285866923</v>
      </c>
      <c r="I3148">
        <v>885231413</v>
      </c>
      <c r="P3148">
        <v>927</v>
      </c>
      <c r="Q3148" t="s">
        <v>6637</v>
      </c>
    </row>
    <row r="3149" spans="1:17" x14ac:dyDescent="0.3">
      <c r="A3149" t="s">
        <v>4729</v>
      </c>
      <c r="B3149" t="str">
        <f>"002423"</f>
        <v>002423</v>
      </c>
      <c r="C3149" t="s">
        <v>6638</v>
      </c>
      <c r="D3149" t="s">
        <v>140</v>
      </c>
      <c r="F3149">
        <v>23479585</v>
      </c>
      <c r="G3149">
        <v>22592269</v>
      </c>
      <c r="H3149">
        <v>21663630</v>
      </c>
      <c r="I3149">
        <v>37497976</v>
      </c>
      <c r="P3149">
        <v>145</v>
      </c>
      <c r="Q3149" t="s">
        <v>6639</v>
      </c>
    </row>
    <row r="3150" spans="1:17" x14ac:dyDescent="0.3">
      <c r="A3150" t="s">
        <v>4729</v>
      </c>
      <c r="B3150" t="str">
        <f>"002424"</f>
        <v>002424</v>
      </c>
      <c r="C3150" t="s">
        <v>6640</v>
      </c>
      <c r="D3150" t="s">
        <v>188</v>
      </c>
      <c r="F3150">
        <v>30425445</v>
      </c>
      <c r="G3150">
        <v>36997245</v>
      </c>
      <c r="H3150">
        <v>24790783</v>
      </c>
      <c r="I3150">
        <v>30847248</v>
      </c>
      <c r="P3150">
        <v>472</v>
      </c>
      <c r="Q3150" t="s">
        <v>6641</v>
      </c>
    </row>
    <row r="3151" spans="1:17" x14ac:dyDescent="0.3">
      <c r="A3151" t="s">
        <v>4729</v>
      </c>
      <c r="B3151" t="str">
        <f>"002425"</f>
        <v>002425</v>
      </c>
      <c r="C3151" t="s">
        <v>6642</v>
      </c>
      <c r="D3151" t="s">
        <v>517</v>
      </c>
      <c r="F3151">
        <v>82853568</v>
      </c>
      <c r="G3151">
        <v>74237919</v>
      </c>
      <c r="H3151">
        <v>85717478</v>
      </c>
      <c r="I3151">
        <v>58312740</v>
      </c>
      <c r="P3151">
        <v>257</v>
      </c>
      <c r="Q3151" t="s">
        <v>6643</v>
      </c>
    </row>
    <row r="3152" spans="1:17" x14ac:dyDescent="0.3">
      <c r="A3152" t="s">
        <v>4729</v>
      </c>
      <c r="B3152" t="str">
        <f>"002426"</f>
        <v>002426</v>
      </c>
      <c r="C3152" t="s">
        <v>6644</v>
      </c>
      <c r="D3152" t="s">
        <v>274</v>
      </c>
      <c r="F3152">
        <v>294108668</v>
      </c>
      <c r="G3152">
        <v>268796761</v>
      </c>
      <c r="H3152">
        <v>494291019</v>
      </c>
      <c r="I3152">
        <v>370085572</v>
      </c>
      <c r="P3152">
        <v>207</v>
      </c>
      <c r="Q3152" t="s">
        <v>6645</v>
      </c>
    </row>
    <row r="3153" spans="1:17" x14ac:dyDescent="0.3">
      <c r="A3153" t="s">
        <v>4729</v>
      </c>
      <c r="B3153" t="str">
        <f>"002427"</f>
        <v>002427</v>
      </c>
      <c r="C3153" t="s">
        <v>6646</v>
      </c>
      <c r="D3153" t="s">
        <v>2731</v>
      </c>
      <c r="F3153">
        <v>109931529</v>
      </c>
      <c r="G3153">
        <v>120686436</v>
      </c>
      <c r="H3153">
        <v>152793182</v>
      </c>
      <c r="I3153">
        <v>170979902</v>
      </c>
      <c r="P3153">
        <v>82</v>
      </c>
      <c r="Q3153" t="s">
        <v>6647</v>
      </c>
    </row>
    <row r="3154" spans="1:17" x14ac:dyDescent="0.3">
      <c r="A3154" t="s">
        <v>4729</v>
      </c>
      <c r="B3154" t="str">
        <f>"002428"</f>
        <v>002428</v>
      </c>
      <c r="C3154" t="s">
        <v>6648</v>
      </c>
      <c r="D3154" t="s">
        <v>636</v>
      </c>
      <c r="F3154">
        <v>28368511</v>
      </c>
      <c r="G3154">
        <v>25901051</v>
      </c>
      <c r="H3154">
        <v>21972543</v>
      </c>
      <c r="I3154">
        <v>11754721</v>
      </c>
      <c r="P3154">
        <v>186</v>
      </c>
      <c r="Q3154" t="s">
        <v>6649</v>
      </c>
    </row>
    <row r="3155" spans="1:17" x14ac:dyDescent="0.3">
      <c r="A3155" t="s">
        <v>4729</v>
      </c>
      <c r="B3155" t="str">
        <f>"002429"</f>
        <v>002429</v>
      </c>
      <c r="C3155" t="s">
        <v>6650</v>
      </c>
      <c r="D3155" t="s">
        <v>137</v>
      </c>
      <c r="F3155">
        <v>555180483</v>
      </c>
      <c r="G3155">
        <v>471972998</v>
      </c>
      <c r="H3155">
        <v>295725487</v>
      </c>
      <c r="I3155">
        <v>236477955</v>
      </c>
      <c r="P3155">
        <v>454</v>
      </c>
      <c r="Q3155" t="s">
        <v>6651</v>
      </c>
    </row>
    <row r="3156" spans="1:17" x14ac:dyDescent="0.3">
      <c r="A3156" t="s">
        <v>4729</v>
      </c>
      <c r="B3156" t="str">
        <f>"002430"</f>
        <v>002430</v>
      </c>
      <c r="C3156" t="s">
        <v>6652</v>
      </c>
      <c r="D3156" t="s">
        <v>741</v>
      </c>
      <c r="F3156">
        <v>351741677</v>
      </c>
      <c r="G3156">
        <v>292027918</v>
      </c>
      <c r="H3156">
        <v>271857943</v>
      </c>
      <c r="I3156">
        <v>211027329</v>
      </c>
      <c r="P3156">
        <v>395</v>
      </c>
      <c r="Q3156" t="s">
        <v>6653</v>
      </c>
    </row>
    <row r="3157" spans="1:17" x14ac:dyDescent="0.3">
      <c r="A3157" t="s">
        <v>4729</v>
      </c>
      <c r="B3157" t="str">
        <f>"002431"</f>
        <v>002431</v>
      </c>
      <c r="C3157" t="s">
        <v>6654</v>
      </c>
      <c r="D3157" t="s">
        <v>2417</v>
      </c>
      <c r="F3157">
        <v>191559437</v>
      </c>
      <c r="G3157">
        <v>167676512</v>
      </c>
      <c r="H3157">
        <v>113515681</v>
      </c>
      <c r="I3157">
        <v>186856133</v>
      </c>
      <c r="P3157">
        <v>124</v>
      </c>
      <c r="Q3157" t="s">
        <v>6655</v>
      </c>
    </row>
    <row r="3158" spans="1:17" x14ac:dyDescent="0.3">
      <c r="A3158" t="s">
        <v>4729</v>
      </c>
      <c r="B3158" t="str">
        <f>"002432"</f>
        <v>002432</v>
      </c>
      <c r="C3158" t="s">
        <v>6656</v>
      </c>
      <c r="D3158" t="s">
        <v>122</v>
      </c>
      <c r="F3158">
        <v>66731026</v>
      </c>
      <c r="G3158">
        <v>76544601</v>
      </c>
      <c r="H3158">
        <v>80034498</v>
      </c>
      <c r="I3158">
        <v>68863805</v>
      </c>
      <c r="P3158">
        <v>281</v>
      </c>
      <c r="Q3158" t="s">
        <v>6657</v>
      </c>
    </row>
    <row r="3159" spans="1:17" x14ac:dyDescent="0.3">
      <c r="A3159" t="s">
        <v>4729</v>
      </c>
      <c r="B3159" t="str">
        <f>"002433"</f>
        <v>002433</v>
      </c>
      <c r="C3159" t="s">
        <v>6658</v>
      </c>
      <c r="D3159" t="s">
        <v>188</v>
      </c>
      <c r="G3159">
        <v>20380533</v>
      </c>
      <c r="H3159">
        <v>24261452</v>
      </c>
      <c r="I3159">
        <v>22909665</v>
      </c>
      <c r="P3159">
        <v>235</v>
      </c>
      <c r="Q3159" t="s">
        <v>6659</v>
      </c>
    </row>
    <row r="3160" spans="1:17" x14ac:dyDescent="0.3">
      <c r="A3160" t="s">
        <v>4729</v>
      </c>
      <c r="B3160" t="str">
        <f>"002434"</f>
        <v>002434</v>
      </c>
      <c r="C3160" t="s">
        <v>6660</v>
      </c>
      <c r="D3160" t="s">
        <v>348</v>
      </c>
      <c r="F3160">
        <v>349803877</v>
      </c>
      <c r="G3160">
        <v>328917947</v>
      </c>
      <c r="H3160">
        <v>270741709</v>
      </c>
      <c r="I3160">
        <v>257591787</v>
      </c>
      <c r="P3160">
        <v>238</v>
      </c>
      <c r="Q3160" t="s">
        <v>6661</v>
      </c>
    </row>
    <row r="3161" spans="1:17" x14ac:dyDescent="0.3">
      <c r="A3161" t="s">
        <v>4729</v>
      </c>
      <c r="B3161" t="str">
        <f>"002435"</f>
        <v>002435</v>
      </c>
      <c r="C3161" t="s">
        <v>6662</v>
      </c>
      <c r="D3161" t="s">
        <v>143</v>
      </c>
      <c r="F3161">
        <v>71009763</v>
      </c>
      <c r="G3161">
        <v>68730809</v>
      </c>
      <c r="H3161">
        <v>122045298</v>
      </c>
      <c r="I3161">
        <v>96749319</v>
      </c>
      <c r="P3161">
        <v>139</v>
      </c>
      <c r="Q3161" t="s">
        <v>6663</v>
      </c>
    </row>
    <row r="3162" spans="1:17" x14ac:dyDescent="0.3">
      <c r="A3162" t="s">
        <v>4729</v>
      </c>
      <c r="B3162" t="str">
        <f>"002436"</f>
        <v>002436</v>
      </c>
      <c r="C3162" t="s">
        <v>6664</v>
      </c>
      <c r="D3162" t="s">
        <v>425</v>
      </c>
      <c r="F3162">
        <v>289407402</v>
      </c>
      <c r="G3162">
        <v>238826056</v>
      </c>
      <c r="H3162">
        <v>197840531</v>
      </c>
      <c r="I3162">
        <v>179543024</v>
      </c>
      <c r="P3162">
        <v>563</v>
      </c>
      <c r="Q3162" t="s">
        <v>6665</v>
      </c>
    </row>
    <row r="3163" spans="1:17" x14ac:dyDescent="0.3">
      <c r="A3163" t="s">
        <v>4729</v>
      </c>
      <c r="B3163" t="str">
        <f>"002437"</f>
        <v>002437</v>
      </c>
      <c r="C3163" t="s">
        <v>6666</v>
      </c>
      <c r="D3163" t="s">
        <v>143</v>
      </c>
      <c r="F3163">
        <v>97734076</v>
      </c>
      <c r="G3163">
        <v>125488809</v>
      </c>
      <c r="H3163">
        <v>185788799</v>
      </c>
      <c r="I3163">
        <v>122930196</v>
      </c>
      <c r="P3163">
        <v>189</v>
      </c>
      <c r="Q3163" t="s">
        <v>6667</v>
      </c>
    </row>
    <row r="3164" spans="1:17" x14ac:dyDescent="0.3">
      <c r="A3164" t="s">
        <v>4729</v>
      </c>
      <c r="B3164" t="str">
        <f>"002438"</f>
        <v>002438</v>
      </c>
      <c r="C3164" t="s">
        <v>6668</v>
      </c>
      <c r="D3164" t="s">
        <v>274</v>
      </c>
      <c r="F3164">
        <v>79718404</v>
      </c>
      <c r="G3164">
        <v>64845565</v>
      </c>
      <c r="H3164">
        <v>63405738</v>
      </c>
      <c r="I3164">
        <v>49677717</v>
      </c>
      <c r="P3164">
        <v>185</v>
      </c>
      <c r="Q3164" t="s">
        <v>6669</v>
      </c>
    </row>
    <row r="3165" spans="1:17" x14ac:dyDescent="0.3">
      <c r="A3165" t="s">
        <v>4729</v>
      </c>
      <c r="B3165" t="str">
        <f>"002439"</f>
        <v>002439</v>
      </c>
      <c r="C3165" t="s">
        <v>6670</v>
      </c>
      <c r="D3165" t="s">
        <v>1189</v>
      </c>
      <c r="F3165">
        <v>845676107</v>
      </c>
      <c r="G3165">
        <v>643214173</v>
      </c>
      <c r="H3165">
        <v>590408943</v>
      </c>
      <c r="I3165">
        <v>534308150</v>
      </c>
      <c r="P3165">
        <v>1190</v>
      </c>
      <c r="Q3165" t="s">
        <v>6671</v>
      </c>
    </row>
    <row r="3166" spans="1:17" x14ac:dyDescent="0.3">
      <c r="A3166" t="s">
        <v>4729</v>
      </c>
      <c r="B3166" t="str">
        <f>"002440"</f>
        <v>002440</v>
      </c>
      <c r="C3166" t="s">
        <v>6672</v>
      </c>
      <c r="D3166" t="s">
        <v>779</v>
      </c>
      <c r="F3166">
        <v>249805634</v>
      </c>
      <c r="G3166">
        <v>196627205</v>
      </c>
      <c r="H3166">
        <v>230508318</v>
      </c>
      <c r="I3166">
        <v>233642537</v>
      </c>
      <c r="P3166">
        <v>537</v>
      </c>
      <c r="Q3166" t="s">
        <v>6673</v>
      </c>
    </row>
    <row r="3167" spans="1:17" x14ac:dyDescent="0.3">
      <c r="A3167" t="s">
        <v>4729</v>
      </c>
      <c r="B3167" t="str">
        <f>"002441"</f>
        <v>002441</v>
      </c>
      <c r="C3167" t="s">
        <v>6674</v>
      </c>
      <c r="D3167" t="s">
        <v>657</v>
      </c>
      <c r="F3167">
        <v>41594637</v>
      </c>
      <c r="G3167">
        <v>35584930</v>
      </c>
      <c r="H3167">
        <v>35058128</v>
      </c>
      <c r="I3167">
        <v>29693406</v>
      </c>
      <c r="P3167">
        <v>134</v>
      </c>
      <c r="Q3167" t="s">
        <v>6675</v>
      </c>
    </row>
    <row r="3168" spans="1:17" x14ac:dyDescent="0.3">
      <c r="A3168" t="s">
        <v>4729</v>
      </c>
      <c r="B3168" t="str">
        <f>"002442"</f>
        <v>002442</v>
      </c>
      <c r="C3168" t="s">
        <v>6676</v>
      </c>
      <c r="D3168" t="s">
        <v>3646</v>
      </c>
      <c r="F3168">
        <v>25206942</v>
      </c>
      <c r="G3168">
        <v>13960567</v>
      </c>
      <c r="H3168">
        <v>15938002</v>
      </c>
      <c r="I3168">
        <v>18406594</v>
      </c>
      <c r="P3168">
        <v>105</v>
      </c>
      <c r="Q3168" t="s">
        <v>6677</v>
      </c>
    </row>
    <row r="3169" spans="1:17" x14ac:dyDescent="0.3">
      <c r="A3169" t="s">
        <v>4729</v>
      </c>
      <c r="B3169" t="str">
        <f>"002443"</f>
        <v>002443</v>
      </c>
      <c r="C3169" t="s">
        <v>6678</v>
      </c>
      <c r="D3169" t="s">
        <v>281</v>
      </c>
      <c r="F3169">
        <v>226028374</v>
      </c>
      <c r="G3169">
        <v>161216315</v>
      </c>
      <c r="H3169">
        <v>143328824</v>
      </c>
      <c r="I3169">
        <v>137559462</v>
      </c>
      <c r="P3169">
        <v>257</v>
      </c>
      <c r="Q3169" t="s">
        <v>6679</v>
      </c>
    </row>
    <row r="3170" spans="1:17" x14ac:dyDescent="0.3">
      <c r="A3170" t="s">
        <v>4729</v>
      </c>
      <c r="B3170" t="str">
        <f>"002444"</f>
        <v>002444</v>
      </c>
      <c r="C3170" t="s">
        <v>6680</v>
      </c>
      <c r="D3170" t="s">
        <v>560</v>
      </c>
      <c r="F3170">
        <v>309763366</v>
      </c>
      <c r="G3170">
        <v>245372069</v>
      </c>
      <c r="H3170">
        <v>203772737</v>
      </c>
      <c r="I3170">
        <v>206974963</v>
      </c>
      <c r="P3170">
        <v>658</v>
      </c>
      <c r="Q3170" t="s">
        <v>6681</v>
      </c>
    </row>
    <row r="3171" spans="1:17" x14ac:dyDescent="0.3">
      <c r="A3171" t="s">
        <v>4729</v>
      </c>
      <c r="B3171" t="str">
        <f>"002445"</f>
        <v>002445</v>
      </c>
      <c r="C3171" t="s">
        <v>6682</v>
      </c>
      <c r="D3171" t="s">
        <v>517</v>
      </c>
      <c r="F3171">
        <v>16776090</v>
      </c>
      <c r="G3171">
        <v>16142823</v>
      </c>
      <c r="H3171">
        <v>29690784</v>
      </c>
      <c r="I3171">
        <v>40967619</v>
      </c>
      <c r="P3171">
        <v>110</v>
      </c>
      <c r="Q3171" t="s">
        <v>6683</v>
      </c>
    </row>
    <row r="3172" spans="1:17" x14ac:dyDescent="0.3">
      <c r="A3172" t="s">
        <v>4729</v>
      </c>
      <c r="B3172" t="str">
        <f>"002446"</f>
        <v>002446</v>
      </c>
      <c r="C3172" t="s">
        <v>6684</v>
      </c>
      <c r="D3172" t="s">
        <v>1136</v>
      </c>
      <c r="F3172">
        <v>109442219</v>
      </c>
      <c r="G3172">
        <v>132569471</v>
      </c>
      <c r="H3172">
        <v>134146446</v>
      </c>
      <c r="I3172">
        <v>77740746</v>
      </c>
      <c r="P3172">
        <v>371</v>
      </c>
      <c r="Q3172" t="s">
        <v>6685</v>
      </c>
    </row>
    <row r="3173" spans="1:17" x14ac:dyDescent="0.3">
      <c r="A3173" t="s">
        <v>4729</v>
      </c>
      <c r="B3173" t="str">
        <f>"002447"</f>
        <v>002447</v>
      </c>
      <c r="C3173" t="s">
        <v>6686</v>
      </c>
      <c r="D3173" t="s">
        <v>517</v>
      </c>
      <c r="F3173">
        <v>7053833</v>
      </c>
      <c r="G3173">
        <v>10699476</v>
      </c>
      <c r="H3173">
        <v>4277543</v>
      </c>
      <c r="I3173">
        <v>6881008</v>
      </c>
      <c r="P3173">
        <v>92</v>
      </c>
      <c r="Q3173" t="s">
        <v>6687</v>
      </c>
    </row>
    <row r="3174" spans="1:17" x14ac:dyDescent="0.3">
      <c r="A3174" t="s">
        <v>4729</v>
      </c>
      <c r="B3174" t="str">
        <f>"002448"</f>
        <v>002448</v>
      </c>
      <c r="C3174" t="s">
        <v>6688</v>
      </c>
      <c r="D3174" t="s">
        <v>348</v>
      </c>
      <c r="F3174">
        <v>136864536</v>
      </c>
      <c r="G3174">
        <v>110294212</v>
      </c>
      <c r="H3174">
        <v>94809267</v>
      </c>
      <c r="I3174">
        <v>88200872</v>
      </c>
      <c r="P3174">
        <v>194</v>
      </c>
      <c r="Q3174" t="s">
        <v>6689</v>
      </c>
    </row>
    <row r="3175" spans="1:17" x14ac:dyDescent="0.3">
      <c r="A3175" t="s">
        <v>4729</v>
      </c>
      <c r="B3175" t="str">
        <f>"002449"</f>
        <v>002449</v>
      </c>
      <c r="C3175" t="s">
        <v>6690</v>
      </c>
      <c r="D3175" t="s">
        <v>803</v>
      </c>
      <c r="F3175">
        <v>153084827</v>
      </c>
      <c r="G3175">
        <v>133396607</v>
      </c>
      <c r="H3175">
        <v>146448348</v>
      </c>
      <c r="I3175">
        <v>164909516</v>
      </c>
      <c r="P3175">
        <v>392</v>
      </c>
      <c r="Q3175" t="s">
        <v>6691</v>
      </c>
    </row>
    <row r="3176" spans="1:17" x14ac:dyDescent="0.3">
      <c r="A3176" t="s">
        <v>4729</v>
      </c>
      <c r="B3176" t="str">
        <f>"002450"</f>
        <v>002450</v>
      </c>
      <c r="C3176" t="s">
        <v>6692</v>
      </c>
      <c r="G3176">
        <v>72730341</v>
      </c>
      <c r="H3176">
        <v>198950203</v>
      </c>
      <c r="I3176">
        <v>365784603</v>
      </c>
      <c r="K3176">
        <v>287217583</v>
      </c>
      <c r="L3176">
        <v>341962258</v>
      </c>
      <c r="P3176">
        <v>1520</v>
      </c>
      <c r="Q3176" t="s">
        <v>6693</v>
      </c>
    </row>
    <row r="3177" spans="1:17" x14ac:dyDescent="0.3">
      <c r="A3177" t="s">
        <v>4729</v>
      </c>
      <c r="B3177" t="str">
        <f>"002451"</f>
        <v>002451</v>
      </c>
      <c r="C3177" t="s">
        <v>6694</v>
      </c>
      <c r="D3177" t="s">
        <v>1164</v>
      </c>
      <c r="F3177">
        <v>34414003</v>
      </c>
      <c r="G3177">
        <v>11755519</v>
      </c>
      <c r="H3177">
        <v>9732228</v>
      </c>
      <c r="I3177">
        <v>16463317</v>
      </c>
      <c r="P3177">
        <v>105</v>
      </c>
      <c r="Q3177" t="s">
        <v>6695</v>
      </c>
    </row>
    <row r="3178" spans="1:17" x14ac:dyDescent="0.3">
      <c r="A3178" t="s">
        <v>4729</v>
      </c>
      <c r="B3178" t="str">
        <f>"002452"</f>
        <v>002452</v>
      </c>
      <c r="C3178" t="s">
        <v>6696</v>
      </c>
      <c r="D3178" t="s">
        <v>210</v>
      </c>
      <c r="F3178">
        <v>78288896</v>
      </c>
      <c r="G3178">
        <v>67972820</v>
      </c>
      <c r="H3178">
        <v>57108253</v>
      </c>
      <c r="I3178">
        <v>56721798</v>
      </c>
      <c r="P3178">
        <v>173</v>
      </c>
      <c r="Q3178" t="s">
        <v>6697</v>
      </c>
    </row>
    <row r="3179" spans="1:17" x14ac:dyDescent="0.3">
      <c r="A3179" t="s">
        <v>4729</v>
      </c>
      <c r="B3179" t="str">
        <f>"002453"</f>
        <v>002453</v>
      </c>
      <c r="C3179" t="s">
        <v>6698</v>
      </c>
      <c r="D3179" t="s">
        <v>386</v>
      </c>
      <c r="F3179">
        <v>25120297</v>
      </c>
      <c r="G3179">
        <v>10220946</v>
      </c>
      <c r="H3179">
        <v>16561114</v>
      </c>
      <c r="I3179">
        <v>30081418</v>
      </c>
      <c r="P3179">
        <v>125</v>
      </c>
      <c r="Q3179" t="s">
        <v>6699</v>
      </c>
    </row>
    <row r="3180" spans="1:17" x14ac:dyDescent="0.3">
      <c r="A3180" t="s">
        <v>4729</v>
      </c>
      <c r="B3180" t="str">
        <f>"002454"</f>
        <v>002454</v>
      </c>
      <c r="C3180" t="s">
        <v>6700</v>
      </c>
      <c r="D3180" t="s">
        <v>1415</v>
      </c>
      <c r="F3180">
        <v>253167350</v>
      </c>
      <c r="G3180">
        <v>205123878</v>
      </c>
      <c r="H3180">
        <v>211820766</v>
      </c>
      <c r="I3180">
        <v>236962328</v>
      </c>
      <c r="P3180">
        <v>191</v>
      </c>
      <c r="Q3180" t="s">
        <v>6701</v>
      </c>
    </row>
    <row r="3181" spans="1:17" x14ac:dyDescent="0.3">
      <c r="A3181" t="s">
        <v>4729</v>
      </c>
      <c r="B3181" t="str">
        <f>"002455"</f>
        <v>002455</v>
      </c>
      <c r="C3181" t="s">
        <v>6702</v>
      </c>
      <c r="D3181" t="s">
        <v>386</v>
      </c>
      <c r="F3181">
        <v>103165378</v>
      </c>
      <c r="G3181">
        <v>47962340</v>
      </c>
      <c r="H3181">
        <v>60601042</v>
      </c>
      <c r="I3181">
        <v>69750953</v>
      </c>
      <c r="P3181">
        <v>209</v>
      </c>
      <c r="Q3181" t="s">
        <v>6703</v>
      </c>
    </row>
    <row r="3182" spans="1:17" x14ac:dyDescent="0.3">
      <c r="A3182" t="s">
        <v>4729</v>
      </c>
      <c r="B3182" t="str">
        <f>"002456"</f>
        <v>002456</v>
      </c>
      <c r="C3182" t="s">
        <v>6704</v>
      </c>
      <c r="D3182" t="s">
        <v>164</v>
      </c>
      <c r="F3182">
        <v>1361984727</v>
      </c>
      <c r="G3182">
        <v>1830399534</v>
      </c>
      <c r="H3182">
        <v>1734588572</v>
      </c>
      <c r="I3182">
        <v>2042537438</v>
      </c>
      <c r="P3182">
        <v>1607</v>
      </c>
      <c r="Q3182" t="s">
        <v>6705</v>
      </c>
    </row>
    <row r="3183" spans="1:17" x14ac:dyDescent="0.3">
      <c r="A3183" t="s">
        <v>4729</v>
      </c>
      <c r="B3183" t="str">
        <f>"002457"</f>
        <v>002457</v>
      </c>
      <c r="C3183" t="s">
        <v>6706</v>
      </c>
      <c r="D3183" t="s">
        <v>3347</v>
      </c>
      <c r="F3183">
        <v>78737804</v>
      </c>
      <c r="G3183">
        <v>58901265</v>
      </c>
      <c r="H3183">
        <v>34773723</v>
      </c>
      <c r="I3183">
        <v>25162443</v>
      </c>
      <c r="P3183">
        <v>132</v>
      </c>
      <c r="Q3183" t="s">
        <v>6707</v>
      </c>
    </row>
    <row r="3184" spans="1:17" x14ac:dyDescent="0.3">
      <c r="A3184" t="s">
        <v>4729</v>
      </c>
      <c r="B3184" t="str">
        <f>"002458"</f>
        <v>002458</v>
      </c>
      <c r="C3184" t="s">
        <v>6708</v>
      </c>
      <c r="D3184" t="s">
        <v>6260</v>
      </c>
      <c r="F3184">
        <v>52587347</v>
      </c>
      <c r="G3184">
        <v>52496299</v>
      </c>
      <c r="H3184">
        <v>29503969</v>
      </c>
      <c r="I3184">
        <v>19540919</v>
      </c>
      <c r="P3184">
        <v>815</v>
      </c>
      <c r="Q3184" t="s">
        <v>6709</v>
      </c>
    </row>
    <row r="3185" spans="1:17" x14ac:dyDescent="0.3">
      <c r="A3185" t="s">
        <v>4729</v>
      </c>
      <c r="B3185" t="str">
        <f>"002459"</f>
        <v>002459</v>
      </c>
      <c r="C3185" t="s">
        <v>6710</v>
      </c>
      <c r="D3185" t="s">
        <v>356</v>
      </c>
      <c r="F3185">
        <v>574370491</v>
      </c>
      <c r="G3185">
        <v>339032592</v>
      </c>
      <c r="H3185">
        <v>257001164</v>
      </c>
      <c r="I3185">
        <v>6953463</v>
      </c>
      <c r="P3185">
        <v>1227</v>
      </c>
      <c r="Q3185" t="s">
        <v>6711</v>
      </c>
    </row>
    <row r="3186" spans="1:17" x14ac:dyDescent="0.3">
      <c r="A3186" t="s">
        <v>4729</v>
      </c>
      <c r="B3186" t="str">
        <f>"002460"</f>
        <v>002460</v>
      </c>
      <c r="C3186" t="s">
        <v>6712</v>
      </c>
      <c r="D3186" t="s">
        <v>5371</v>
      </c>
      <c r="F3186">
        <v>338523524</v>
      </c>
      <c r="G3186">
        <v>139763160</v>
      </c>
      <c r="H3186">
        <v>79599863</v>
      </c>
      <c r="I3186">
        <v>62527265</v>
      </c>
      <c r="P3186">
        <v>2486</v>
      </c>
      <c r="Q3186" t="s">
        <v>6713</v>
      </c>
    </row>
    <row r="3187" spans="1:17" x14ac:dyDescent="0.3">
      <c r="A3187" t="s">
        <v>4729</v>
      </c>
      <c r="B3187" t="str">
        <f>"002461"</f>
        <v>002461</v>
      </c>
      <c r="C3187" t="s">
        <v>6714</v>
      </c>
      <c r="D3187" t="s">
        <v>319</v>
      </c>
      <c r="F3187">
        <v>148202366</v>
      </c>
      <c r="G3187">
        <v>137207368</v>
      </c>
      <c r="H3187">
        <v>120454378</v>
      </c>
      <c r="I3187">
        <v>73954088</v>
      </c>
      <c r="P3187">
        <v>463</v>
      </c>
      <c r="Q3187" t="s">
        <v>6715</v>
      </c>
    </row>
    <row r="3188" spans="1:17" x14ac:dyDescent="0.3">
      <c r="A3188" t="s">
        <v>4729</v>
      </c>
      <c r="B3188" t="str">
        <f>"002462"</f>
        <v>002462</v>
      </c>
      <c r="C3188" t="s">
        <v>6716</v>
      </c>
      <c r="D3188" t="s">
        <v>125</v>
      </c>
      <c r="F3188">
        <v>0</v>
      </c>
      <c r="G3188">
        <v>0</v>
      </c>
      <c r="P3188">
        <v>258</v>
      </c>
      <c r="Q3188" t="s">
        <v>6717</v>
      </c>
    </row>
    <row r="3189" spans="1:17" x14ac:dyDescent="0.3">
      <c r="A3189" t="s">
        <v>4729</v>
      </c>
      <c r="B3189" t="str">
        <f>"002463"</f>
        <v>002463</v>
      </c>
      <c r="C3189" t="s">
        <v>6718</v>
      </c>
      <c r="D3189" t="s">
        <v>425</v>
      </c>
      <c r="F3189">
        <v>410855747</v>
      </c>
      <c r="G3189">
        <v>357176341</v>
      </c>
      <c r="H3189">
        <v>315772541</v>
      </c>
      <c r="I3189">
        <v>242717434</v>
      </c>
      <c r="P3189">
        <v>3004</v>
      </c>
      <c r="Q3189" t="s">
        <v>6719</v>
      </c>
    </row>
    <row r="3190" spans="1:17" x14ac:dyDescent="0.3">
      <c r="A3190" t="s">
        <v>4729</v>
      </c>
      <c r="B3190" t="str">
        <f>"002464"</f>
        <v>002464</v>
      </c>
      <c r="C3190" t="s">
        <v>6720</v>
      </c>
      <c r="D3190" t="s">
        <v>517</v>
      </c>
      <c r="F3190">
        <v>0</v>
      </c>
      <c r="G3190">
        <v>0</v>
      </c>
      <c r="H3190">
        <v>11439719</v>
      </c>
      <c r="I3190">
        <v>23596829</v>
      </c>
      <c r="P3190">
        <v>110</v>
      </c>
      <c r="Q3190" t="s">
        <v>6721</v>
      </c>
    </row>
    <row r="3191" spans="1:17" x14ac:dyDescent="0.3">
      <c r="A3191" t="s">
        <v>4729</v>
      </c>
      <c r="B3191" t="str">
        <f>"002465"</f>
        <v>002465</v>
      </c>
      <c r="C3191" t="s">
        <v>6722</v>
      </c>
      <c r="D3191" t="s">
        <v>1136</v>
      </c>
      <c r="F3191">
        <v>798420118</v>
      </c>
      <c r="G3191">
        <v>691875849</v>
      </c>
      <c r="H3191">
        <v>677783722</v>
      </c>
      <c r="I3191">
        <v>644003493</v>
      </c>
      <c r="P3191">
        <v>544</v>
      </c>
      <c r="Q3191" t="s">
        <v>6723</v>
      </c>
    </row>
    <row r="3192" spans="1:17" x14ac:dyDescent="0.3">
      <c r="A3192" t="s">
        <v>4729</v>
      </c>
      <c r="B3192" t="str">
        <f>"002466"</f>
        <v>002466</v>
      </c>
      <c r="C3192" t="s">
        <v>6724</v>
      </c>
      <c r="D3192" t="s">
        <v>5371</v>
      </c>
      <c r="F3192">
        <v>18826376</v>
      </c>
      <c r="G3192">
        <v>24268887</v>
      </c>
      <c r="H3192">
        <v>48362504</v>
      </c>
      <c r="I3192">
        <v>49045766</v>
      </c>
      <c r="P3192">
        <v>2365</v>
      </c>
      <c r="Q3192" t="s">
        <v>6725</v>
      </c>
    </row>
    <row r="3193" spans="1:17" x14ac:dyDescent="0.3">
      <c r="A3193" t="s">
        <v>4729</v>
      </c>
      <c r="B3193" t="str">
        <f>"002467"</f>
        <v>002467</v>
      </c>
      <c r="C3193" t="s">
        <v>6726</v>
      </c>
      <c r="D3193" t="s">
        <v>5670</v>
      </c>
      <c r="F3193">
        <v>110472257</v>
      </c>
      <c r="G3193">
        <v>106147758</v>
      </c>
      <c r="H3193">
        <v>117903665</v>
      </c>
      <c r="I3193">
        <v>135265672</v>
      </c>
      <c r="P3193">
        <v>200</v>
      </c>
      <c r="Q3193" t="s">
        <v>6727</v>
      </c>
    </row>
    <row r="3194" spans="1:17" x14ac:dyDescent="0.3">
      <c r="A3194" t="s">
        <v>4729</v>
      </c>
      <c r="B3194" t="str">
        <f>"002468"</f>
        <v>002468</v>
      </c>
      <c r="C3194" t="s">
        <v>6728</v>
      </c>
      <c r="D3194" t="s">
        <v>537</v>
      </c>
      <c r="F3194">
        <v>108323421</v>
      </c>
      <c r="G3194">
        <v>131141386</v>
      </c>
      <c r="H3194">
        <v>103669827</v>
      </c>
      <c r="I3194">
        <v>43621410</v>
      </c>
      <c r="P3194">
        <v>638</v>
      </c>
      <c r="Q3194" t="s">
        <v>6729</v>
      </c>
    </row>
    <row r="3195" spans="1:17" x14ac:dyDescent="0.3">
      <c r="A3195" t="s">
        <v>4729</v>
      </c>
      <c r="B3195" t="str">
        <f>"002469"</f>
        <v>002469</v>
      </c>
      <c r="C3195" t="s">
        <v>6730</v>
      </c>
      <c r="D3195" t="s">
        <v>2025</v>
      </c>
      <c r="F3195">
        <v>103009870</v>
      </c>
      <c r="G3195">
        <v>32707961</v>
      </c>
      <c r="H3195">
        <v>31767349</v>
      </c>
      <c r="I3195">
        <v>31216367</v>
      </c>
      <c r="P3195">
        <v>128</v>
      </c>
      <c r="Q3195" t="s">
        <v>6731</v>
      </c>
    </row>
    <row r="3196" spans="1:17" x14ac:dyDescent="0.3">
      <c r="A3196" t="s">
        <v>4729</v>
      </c>
      <c r="B3196" t="str">
        <f>"002470"</f>
        <v>002470</v>
      </c>
      <c r="C3196" t="s">
        <v>6732</v>
      </c>
      <c r="D3196" t="s">
        <v>5562</v>
      </c>
      <c r="F3196">
        <v>99192050</v>
      </c>
      <c r="G3196">
        <v>125802624</v>
      </c>
      <c r="H3196">
        <v>306393447</v>
      </c>
      <c r="I3196">
        <v>573932960</v>
      </c>
      <c r="P3196">
        <v>4918</v>
      </c>
      <c r="Q3196" t="s">
        <v>6733</v>
      </c>
    </row>
    <row r="3197" spans="1:17" x14ac:dyDescent="0.3">
      <c r="A3197" t="s">
        <v>4729</v>
      </c>
      <c r="B3197" t="str">
        <f>"002471"</f>
        <v>002471</v>
      </c>
      <c r="C3197" t="s">
        <v>6734</v>
      </c>
      <c r="D3197" t="s">
        <v>1164</v>
      </c>
      <c r="F3197">
        <v>205481833</v>
      </c>
      <c r="G3197">
        <v>198251162</v>
      </c>
      <c r="H3197">
        <v>212003394</v>
      </c>
      <c r="I3197">
        <v>159410056</v>
      </c>
      <c r="P3197">
        <v>92</v>
      </c>
      <c r="Q3197" t="s">
        <v>6735</v>
      </c>
    </row>
    <row r="3198" spans="1:17" x14ac:dyDescent="0.3">
      <c r="A3198" t="s">
        <v>4729</v>
      </c>
      <c r="B3198" t="str">
        <f>"002472"</f>
        <v>002472</v>
      </c>
      <c r="C3198" t="s">
        <v>6736</v>
      </c>
      <c r="D3198" t="s">
        <v>348</v>
      </c>
      <c r="F3198">
        <v>213852366</v>
      </c>
      <c r="G3198">
        <v>139652718</v>
      </c>
      <c r="H3198">
        <v>107574944</v>
      </c>
      <c r="I3198">
        <v>112408033</v>
      </c>
      <c r="P3198">
        <v>258</v>
      </c>
      <c r="Q3198" t="s">
        <v>6737</v>
      </c>
    </row>
    <row r="3199" spans="1:17" x14ac:dyDescent="0.3">
      <c r="A3199" t="s">
        <v>4729</v>
      </c>
      <c r="B3199" t="str">
        <f>"002473"</f>
        <v>002473</v>
      </c>
      <c r="C3199" t="s">
        <v>6738</v>
      </c>
      <c r="D3199" t="s">
        <v>5799</v>
      </c>
      <c r="F3199">
        <v>0</v>
      </c>
      <c r="G3199">
        <v>0</v>
      </c>
      <c r="I3199">
        <v>1104270</v>
      </c>
      <c r="P3199">
        <v>61</v>
      </c>
      <c r="Q3199" t="s">
        <v>6739</v>
      </c>
    </row>
    <row r="3200" spans="1:17" x14ac:dyDescent="0.3">
      <c r="A3200" t="s">
        <v>4729</v>
      </c>
      <c r="B3200" t="str">
        <f>"002474"</f>
        <v>002474</v>
      </c>
      <c r="C3200" t="s">
        <v>6740</v>
      </c>
      <c r="D3200" t="s">
        <v>316</v>
      </c>
      <c r="F3200">
        <v>92693791</v>
      </c>
      <c r="G3200">
        <v>104947275</v>
      </c>
      <c r="H3200">
        <v>102917280</v>
      </c>
      <c r="I3200">
        <v>77633614</v>
      </c>
      <c r="P3200">
        <v>180</v>
      </c>
      <c r="Q3200" t="s">
        <v>6741</v>
      </c>
    </row>
    <row r="3201" spans="1:17" x14ac:dyDescent="0.3">
      <c r="A3201" t="s">
        <v>4729</v>
      </c>
      <c r="B3201" t="str">
        <f>"002475"</f>
        <v>002475</v>
      </c>
      <c r="C3201" t="s">
        <v>6742</v>
      </c>
      <c r="D3201" t="s">
        <v>313</v>
      </c>
      <c r="F3201">
        <v>6642300403</v>
      </c>
      <c r="G3201">
        <v>5744805136</v>
      </c>
      <c r="H3201">
        <v>4375970646</v>
      </c>
      <c r="I3201">
        <v>2514756247</v>
      </c>
      <c r="P3201">
        <v>5894</v>
      </c>
      <c r="Q3201" t="s">
        <v>6743</v>
      </c>
    </row>
    <row r="3202" spans="1:17" x14ac:dyDescent="0.3">
      <c r="A3202" t="s">
        <v>4729</v>
      </c>
      <c r="B3202" t="str">
        <f>"002476"</f>
        <v>002476</v>
      </c>
      <c r="C3202" t="s">
        <v>6744</v>
      </c>
      <c r="D3202" t="s">
        <v>1617</v>
      </c>
      <c r="F3202">
        <v>22397557</v>
      </c>
      <c r="G3202">
        <v>17918195</v>
      </c>
      <c r="H3202">
        <v>19645517</v>
      </c>
      <c r="I3202">
        <v>18556844</v>
      </c>
      <c r="P3202">
        <v>85</v>
      </c>
      <c r="Q3202" t="s">
        <v>6745</v>
      </c>
    </row>
    <row r="3203" spans="1:17" x14ac:dyDescent="0.3">
      <c r="A3203" t="s">
        <v>4729</v>
      </c>
      <c r="B3203" t="str">
        <f>"002477"</f>
        <v>002477</v>
      </c>
      <c r="C3203" t="s">
        <v>6746</v>
      </c>
      <c r="I3203">
        <v>7472693</v>
      </c>
      <c r="P3203">
        <v>126</v>
      </c>
      <c r="Q3203" t="s">
        <v>6747</v>
      </c>
    </row>
    <row r="3204" spans="1:17" x14ac:dyDescent="0.3">
      <c r="A3204" t="s">
        <v>4729</v>
      </c>
      <c r="B3204" t="str">
        <f>"002478"</f>
        <v>002478</v>
      </c>
      <c r="C3204" t="s">
        <v>6748</v>
      </c>
      <c r="D3204" t="s">
        <v>281</v>
      </c>
      <c r="F3204">
        <v>158624526</v>
      </c>
      <c r="G3204">
        <v>132333499</v>
      </c>
      <c r="H3204">
        <v>176278294</v>
      </c>
      <c r="I3204">
        <v>178764035</v>
      </c>
      <c r="P3204">
        <v>208</v>
      </c>
      <c r="Q3204" t="s">
        <v>6749</v>
      </c>
    </row>
    <row r="3205" spans="1:17" x14ac:dyDescent="0.3">
      <c r="A3205" t="s">
        <v>4729</v>
      </c>
      <c r="B3205" t="str">
        <f>"002479"</f>
        <v>002479</v>
      </c>
      <c r="C3205" t="s">
        <v>6750</v>
      </c>
      <c r="D3205" t="s">
        <v>351</v>
      </c>
      <c r="F3205">
        <v>137436813</v>
      </c>
      <c r="G3205">
        <v>110282422</v>
      </c>
      <c r="H3205">
        <v>79609768</v>
      </c>
      <c r="I3205">
        <v>64074127</v>
      </c>
      <c r="P3205">
        <v>158</v>
      </c>
      <c r="Q3205" t="s">
        <v>6751</v>
      </c>
    </row>
    <row r="3206" spans="1:17" x14ac:dyDescent="0.3">
      <c r="A3206" t="s">
        <v>4729</v>
      </c>
      <c r="B3206" t="str">
        <f>"002480"</f>
        <v>002480</v>
      </c>
      <c r="C3206" t="s">
        <v>6752</v>
      </c>
      <c r="D3206" t="s">
        <v>274</v>
      </c>
      <c r="F3206">
        <v>59126154</v>
      </c>
      <c r="G3206">
        <v>69587672</v>
      </c>
      <c r="H3206">
        <v>52054044</v>
      </c>
      <c r="I3206">
        <v>44376123</v>
      </c>
      <c r="P3206">
        <v>107</v>
      </c>
      <c r="Q3206" t="s">
        <v>6753</v>
      </c>
    </row>
    <row r="3207" spans="1:17" x14ac:dyDescent="0.3">
      <c r="A3207" t="s">
        <v>4729</v>
      </c>
      <c r="B3207" t="str">
        <f>"002481"</f>
        <v>002481</v>
      </c>
      <c r="C3207" t="s">
        <v>6754</v>
      </c>
      <c r="D3207" t="s">
        <v>445</v>
      </c>
      <c r="F3207">
        <v>72451397</v>
      </c>
      <c r="G3207">
        <v>58105333</v>
      </c>
      <c r="H3207">
        <v>48724999</v>
      </c>
      <c r="P3207">
        <v>331</v>
      </c>
      <c r="Q3207" t="s">
        <v>6755</v>
      </c>
    </row>
    <row r="3208" spans="1:17" x14ac:dyDescent="0.3">
      <c r="A3208" t="s">
        <v>4729</v>
      </c>
      <c r="B3208" t="str">
        <f>"002482"</f>
        <v>002482</v>
      </c>
      <c r="C3208" t="s">
        <v>6756</v>
      </c>
      <c r="D3208" t="s">
        <v>450</v>
      </c>
      <c r="F3208">
        <v>239042505</v>
      </c>
      <c r="G3208">
        <v>399677021</v>
      </c>
      <c r="H3208">
        <v>337074473</v>
      </c>
      <c r="I3208">
        <v>386428299</v>
      </c>
      <c r="P3208">
        <v>112</v>
      </c>
      <c r="Q3208" t="s">
        <v>6757</v>
      </c>
    </row>
    <row r="3209" spans="1:17" x14ac:dyDescent="0.3">
      <c r="A3209" t="s">
        <v>4729</v>
      </c>
      <c r="B3209" t="str">
        <f>"002483"</f>
        <v>002483</v>
      </c>
      <c r="C3209" t="s">
        <v>6758</v>
      </c>
      <c r="D3209" t="s">
        <v>395</v>
      </c>
      <c r="F3209">
        <v>160081772</v>
      </c>
      <c r="G3209">
        <v>155182554</v>
      </c>
      <c r="H3209">
        <v>188293483</v>
      </c>
      <c r="I3209">
        <v>154921558</v>
      </c>
      <c r="P3209">
        <v>93</v>
      </c>
      <c r="Q3209" t="s">
        <v>6759</v>
      </c>
    </row>
    <row r="3210" spans="1:17" x14ac:dyDescent="0.3">
      <c r="A3210" t="s">
        <v>4729</v>
      </c>
      <c r="B3210" t="str">
        <f>"002484"</f>
        <v>002484</v>
      </c>
      <c r="C3210" t="s">
        <v>6760</v>
      </c>
      <c r="D3210" t="s">
        <v>546</v>
      </c>
      <c r="F3210">
        <v>196989943</v>
      </c>
      <c r="G3210">
        <v>154435984</v>
      </c>
      <c r="H3210">
        <v>124901364</v>
      </c>
      <c r="I3210">
        <v>101325171</v>
      </c>
      <c r="P3210">
        <v>311</v>
      </c>
      <c r="Q3210" t="s">
        <v>6761</v>
      </c>
    </row>
    <row r="3211" spans="1:17" x14ac:dyDescent="0.3">
      <c r="A3211" t="s">
        <v>4729</v>
      </c>
      <c r="B3211" t="str">
        <f>"002485"</f>
        <v>002485</v>
      </c>
      <c r="C3211" t="s">
        <v>6762</v>
      </c>
      <c r="D3211" t="s">
        <v>255</v>
      </c>
      <c r="F3211">
        <v>3216471</v>
      </c>
      <c r="G3211">
        <v>2266635</v>
      </c>
      <c r="P3211">
        <v>80</v>
      </c>
      <c r="Q3211" t="s">
        <v>6763</v>
      </c>
    </row>
    <row r="3212" spans="1:17" x14ac:dyDescent="0.3">
      <c r="A3212" t="s">
        <v>4729</v>
      </c>
      <c r="B3212" t="str">
        <f>"002486"</f>
        <v>002486</v>
      </c>
      <c r="C3212" t="s">
        <v>6764</v>
      </c>
      <c r="D3212" t="s">
        <v>366</v>
      </c>
      <c r="F3212">
        <v>43194490</v>
      </c>
      <c r="G3212">
        <v>39015075</v>
      </c>
      <c r="H3212">
        <v>21144486</v>
      </c>
      <c r="I3212">
        <v>11521472</v>
      </c>
      <c r="P3212">
        <v>88</v>
      </c>
      <c r="Q3212" t="s">
        <v>6765</v>
      </c>
    </row>
    <row r="3213" spans="1:17" x14ac:dyDescent="0.3">
      <c r="A3213" t="s">
        <v>4729</v>
      </c>
      <c r="B3213" t="str">
        <f>"002487"</f>
        <v>002487</v>
      </c>
      <c r="C3213" t="s">
        <v>6766</v>
      </c>
      <c r="D3213" t="s">
        <v>950</v>
      </c>
      <c r="F3213">
        <v>183373133</v>
      </c>
      <c r="G3213">
        <v>132872293</v>
      </c>
      <c r="H3213">
        <v>68831937</v>
      </c>
      <c r="I3213">
        <v>32032309</v>
      </c>
      <c r="P3213">
        <v>248</v>
      </c>
      <c r="Q3213" t="s">
        <v>6767</v>
      </c>
    </row>
    <row r="3214" spans="1:17" x14ac:dyDescent="0.3">
      <c r="A3214" t="s">
        <v>4729</v>
      </c>
      <c r="B3214" t="str">
        <f>"002488"</f>
        <v>002488</v>
      </c>
      <c r="C3214" t="s">
        <v>6768</v>
      </c>
      <c r="D3214" t="s">
        <v>422</v>
      </c>
      <c r="F3214">
        <v>55048705</v>
      </c>
      <c r="G3214">
        <v>42716717</v>
      </c>
      <c r="H3214">
        <v>46762164</v>
      </c>
      <c r="I3214">
        <v>60041671</v>
      </c>
      <c r="P3214">
        <v>152</v>
      </c>
      <c r="Q3214" t="s">
        <v>6769</v>
      </c>
    </row>
    <row r="3215" spans="1:17" x14ac:dyDescent="0.3">
      <c r="A3215" t="s">
        <v>4729</v>
      </c>
      <c r="B3215" t="str">
        <f>"002489"</f>
        <v>002489</v>
      </c>
      <c r="C3215" t="s">
        <v>6770</v>
      </c>
      <c r="D3215" t="s">
        <v>757</v>
      </c>
      <c r="F3215">
        <v>222586885</v>
      </c>
      <c r="G3215">
        <v>191721852</v>
      </c>
      <c r="H3215">
        <v>180946376</v>
      </c>
      <c r="I3215">
        <v>103571801</v>
      </c>
      <c r="P3215">
        <v>206</v>
      </c>
      <c r="Q3215" t="s">
        <v>6771</v>
      </c>
    </row>
    <row r="3216" spans="1:17" x14ac:dyDescent="0.3">
      <c r="A3216" t="s">
        <v>4729</v>
      </c>
      <c r="B3216" t="str">
        <f>"002490"</f>
        <v>002490</v>
      </c>
      <c r="C3216" t="s">
        <v>6772</v>
      </c>
      <c r="D3216" t="s">
        <v>395</v>
      </c>
      <c r="F3216">
        <v>57076465</v>
      </c>
      <c r="G3216">
        <v>52542811</v>
      </c>
      <c r="H3216">
        <v>63830330</v>
      </c>
      <c r="I3216">
        <v>71979056</v>
      </c>
      <c r="P3216">
        <v>82</v>
      </c>
      <c r="Q3216" t="s">
        <v>6773</v>
      </c>
    </row>
    <row r="3217" spans="1:17" x14ac:dyDescent="0.3">
      <c r="A3217" t="s">
        <v>4729</v>
      </c>
      <c r="B3217" t="str">
        <f>"002491"</f>
        <v>002491</v>
      </c>
      <c r="C3217" t="s">
        <v>6774</v>
      </c>
      <c r="D3217" t="s">
        <v>250</v>
      </c>
      <c r="F3217">
        <v>187046977</v>
      </c>
      <c r="G3217">
        <v>219777836</v>
      </c>
      <c r="H3217">
        <v>249814978</v>
      </c>
      <c r="I3217">
        <v>200322472</v>
      </c>
      <c r="P3217">
        <v>214</v>
      </c>
      <c r="Q3217" t="s">
        <v>6775</v>
      </c>
    </row>
    <row r="3218" spans="1:17" x14ac:dyDescent="0.3">
      <c r="A3218" t="s">
        <v>4729</v>
      </c>
      <c r="B3218" t="str">
        <f>"002492"</f>
        <v>002492</v>
      </c>
      <c r="C3218" t="s">
        <v>6776</v>
      </c>
      <c r="D3218" t="s">
        <v>1592</v>
      </c>
      <c r="F3218">
        <v>19057161</v>
      </c>
      <c r="G3218">
        <v>15286168</v>
      </c>
      <c r="H3218">
        <v>15404459</v>
      </c>
      <c r="I3218">
        <v>12724682</v>
      </c>
      <c r="P3218">
        <v>94</v>
      </c>
      <c r="Q3218" t="s">
        <v>6777</v>
      </c>
    </row>
    <row r="3219" spans="1:17" x14ac:dyDescent="0.3">
      <c r="A3219" t="s">
        <v>4729</v>
      </c>
      <c r="B3219" t="str">
        <f>"002493"</f>
        <v>002493</v>
      </c>
      <c r="C3219" t="s">
        <v>6778</v>
      </c>
      <c r="D3219" t="s">
        <v>74</v>
      </c>
      <c r="F3219">
        <v>3915264380</v>
      </c>
      <c r="G3219">
        <v>1963680579</v>
      </c>
      <c r="H3219">
        <v>980837365</v>
      </c>
      <c r="I3219">
        <v>956177952</v>
      </c>
      <c r="P3219">
        <v>852</v>
      </c>
      <c r="Q3219" t="s">
        <v>6779</v>
      </c>
    </row>
    <row r="3220" spans="1:17" x14ac:dyDescent="0.3">
      <c r="A3220" t="s">
        <v>4729</v>
      </c>
      <c r="B3220" t="str">
        <f>"002494"</f>
        <v>002494</v>
      </c>
      <c r="C3220" t="s">
        <v>6780</v>
      </c>
      <c r="D3220" t="s">
        <v>255</v>
      </c>
      <c r="F3220">
        <v>11859497</v>
      </c>
      <c r="G3220">
        <v>11923021</v>
      </c>
      <c r="H3220">
        <v>13919734</v>
      </c>
      <c r="I3220">
        <v>13703940</v>
      </c>
      <c r="P3220">
        <v>81</v>
      </c>
      <c r="Q3220" t="s">
        <v>6781</v>
      </c>
    </row>
    <row r="3221" spans="1:17" x14ac:dyDescent="0.3">
      <c r="A3221" t="s">
        <v>4729</v>
      </c>
      <c r="B3221" t="str">
        <f>"002495"</f>
        <v>002495</v>
      </c>
      <c r="C3221" t="s">
        <v>6782</v>
      </c>
      <c r="D3221" t="s">
        <v>433</v>
      </c>
      <c r="F3221">
        <v>9787804</v>
      </c>
      <c r="G3221">
        <v>9255748</v>
      </c>
      <c r="H3221">
        <v>12205896</v>
      </c>
      <c r="I3221">
        <v>12293508</v>
      </c>
      <c r="P3221">
        <v>113</v>
      </c>
      <c r="Q3221" t="s">
        <v>6783</v>
      </c>
    </row>
    <row r="3222" spans="1:17" x14ac:dyDescent="0.3">
      <c r="A3222" t="s">
        <v>4729</v>
      </c>
      <c r="B3222" t="str">
        <f>"002496"</f>
        <v>002496</v>
      </c>
      <c r="C3222" t="s">
        <v>6784</v>
      </c>
      <c r="D3222" t="s">
        <v>853</v>
      </c>
      <c r="F3222">
        <v>28867115</v>
      </c>
      <c r="G3222">
        <v>35221938</v>
      </c>
      <c r="H3222">
        <v>42108283</v>
      </c>
      <c r="I3222">
        <v>74607854</v>
      </c>
      <c r="P3222">
        <v>158</v>
      </c>
      <c r="Q3222" t="s">
        <v>6785</v>
      </c>
    </row>
    <row r="3223" spans="1:17" x14ac:dyDescent="0.3">
      <c r="A3223" t="s">
        <v>4729</v>
      </c>
      <c r="B3223" t="str">
        <f>"002497"</f>
        <v>002497</v>
      </c>
      <c r="C3223" t="s">
        <v>6786</v>
      </c>
      <c r="D3223" t="s">
        <v>2736</v>
      </c>
      <c r="F3223">
        <v>108215375</v>
      </c>
      <c r="G3223">
        <v>66030663</v>
      </c>
      <c r="H3223">
        <v>73579230</v>
      </c>
      <c r="I3223">
        <v>63360293</v>
      </c>
      <c r="P3223">
        <v>481</v>
      </c>
      <c r="Q3223" t="s">
        <v>6787</v>
      </c>
    </row>
    <row r="3224" spans="1:17" x14ac:dyDescent="0.3">
      <c r="A3224" t="s">
        <v>4729</v>
      </c>
      <c r="B3224" t="str">
        <f>"002498"</f>
        <v>002498</v>
      </c>
      <c r="C3224" t="s">
        <v>6788</v>
      </c>
      <c r="D3224" t="s">
        <v>1164</v>
      </c>
      <c r="F3224">
        <v>486184879</v>
      </c>
      <c r="G3224">
        <v>402837830</v>
      </c>
      <c r="H3224">
        <v>319127067</v>
      </c>
      <c r="I3224">
        <v>229801102</v>
      </c>
      <c r="P3224">
        <v>282</v>
      </c>
      <c r="Q3224" t="s">
        <v>6789</v>
      </c>
    </row>
    <row r="3225" spans="1:17" x14ac:dyDescent="0.3">
      <c r="A3225" t="s">
        <v>4729</v>
      </c>
      <c r="B3225" t="str">
        <f>"002499"</f>
        <v>002499</v>
      </c>
      <c r="C3225" t="s">
        <v>6790</v>
      </c>
      <c r="D3225" t="s">
        <v>86</v>
      </c>
      <c r="F3225">
        <v>1233543</v>
      </c>
      <c r="G3225">
        <v>0</v>
      </c>
      <c r="P3225">
        <v>51</v>
      </c>
      <c r="Q3225" t="s">
        <v>6791</v>
      </c>
    </row>
    <row r="3226" spans="1:17" x14ac:dyDescent="0.3">
      <c r="A3226" t="s">
        <v>4729</v>
      </c>
      <c r="B3226" t="str">
        <f>"002500"</f>
        <v>002500</v>
      </c>
      <c r="C3226" t="s">
        <v>6792</v>
      </c>
      <c r="D3226" t="s">
        <v>80</v>
      </c>
      <c r="P3226">
        <v>1129</v>
      </c>
      <c r="Q3226" t="s">
        <v>6793</v>
      </c>
    </row>
    <row r="3227" spans="1:17" x14ac:dyDescent="0.3">
      <c r="A3227" t="s">
        <v>4729</v>
      </c>
      <c r="B3227" t="str">
        <f>"002501"</f>
        <v>002501</v>
      </c>
      <c r="C3227" t="s">
        <v>6794</v>
      </c>
      <c r="D3227" t="s">
        <v>504</v>
      </c>
      <c r="F3227">
        <v>1439800</v>
      </c>
      <c r="G3227">
        <v>1305190</v>
      </c>
      <c r="H3227">
        <v>1859111</v>
      </c>
      <c r="I3227">
        <v>111510915</v>
      </c>
      <c r="P3227">
        <v>107</v>
      </c>
      <c r="Q3227" t="s">
        <v>6795</v>
      </c>
    </row>
    <row r="3228" spans="1:17" x14ac:dyDescent="0.3">
      <c r="A3228" t="s">
        <v>4729</v>
      </c>
      <c r="B3228" t="str">
        <f>"002502"</f>
        <v>002502</v>
      </c>
      <c r="C3228" t="s">
        <v>6796</v>
      </c>
      <c r="D3228" t="s">
        <v>113</v>
      </c>
      <c r="F3228">
        <v>15081249</v>
      </c>
      <c r="G3228">
        <v>18996836</v>
      </c>
      <c r="H3228">
        <v>20479298</v>
      </c>
      <c r="I3228">
        <v>27184340</v>
      </c>
      <c r="P3228">
        <v>117</v>
      </c>
      <c r="Q3228" t="s">
        <v>6797</v>
      </c>
    </row>
    <row r="3229" spans="1:17" x14ac:dyDescent="0.3">
      <c r="A3229" t="s">
        <v>4729</v>
      </c>
      <c r="B3229" t="str">
        <f>"002503"</f>
        <v>002503</v>
      </c>
      <c r="C3229" t="s">
        <v>6798</v>
      </c>
      <c r="D3229" t="s">
        <v>255</v>
      </c>
      <c r="F3229">
        <v>15250885</v>
      </c>
      <c r="G3229">
        <v>28009579</v>
      </c>
      <c r="H3229">
        <v>39451392</v>
      </c>
      <c r="I3229">
        <v>33818777</v>
      </c>
      <c r="P3229">
        <v>244</v>
      </c>
      <c r="Q3229" t="s">
        <v>6799</v>
      </c>
    </row>
    <row r="3230" spans="1:17" x14ac:dyDescent="0.3">
      <c r="A3230" t="s">
        <v>4729</v>
      </c>
      <c r="B3230" t="str">
        <f>"002504"</f>
        <v>002504</v>
      </c>
      <c r="C3230" t="s">
        <v>6800</v>
      </c>
      <c r="D3230" t="s">
        <v>450</v>
      </c>
      <c r="F3230">
        <v>0</v>
      </c>
      <c r="G3230">
        <v>0</v>
      </c>
      <c r="P3230">
        <v>66</v>
      </c>
      <c r="Q3230" t="s">
        <v>6801</v>
      </c>
    </row>
    <row r="3231" spans="1:17" x14ac:dyDescent="0.3">
      <c r="A3231" t="s">
        <v>4729</v>
      </c>
      <c r="B3231" t="str">
        <f>"002505"</f>
        <v>002505</v>
      </c>
      <c r="C3231" t="s">
        <v>6802</v>
      </c>
      <c r="D3231" t="s">
        <v>1882</v>
      </c>
      <c r="F3231">
        <v>4767552</v>
      </c>
      <c r="G3231">
        <v>1278750</v>
      </c>
      <c r="P3231">
        <v>209</v>
      </c>
      <c r="Q3231" t="s">
        <v>6803</v>
      </c>
    </row>
    <row r="3232" spans="1:17" x14ac:dyDescent="0.3">
      <c r="A3232" t="s">
        <v>4729</v>
      </c>
      <c r="B3232" t="str">
        <f>"002506"</f>
        <v>002506</v>
      </c>
      <c r="C3232" t="s">
        <v>6804</v>
      </c>
      <c r="D3232" t="s">
        <v>356</v>
      </c>
      <c r="F3232">
        <v>65077044</v>
      </c>
      <c r="G3232">
        <v>63243813</v>
      </c>
      <c r="H3232">
        <v>82695362</v>
      </c>
      <c r="I3232">
        <v>94603104</v>
      </c>
      <c r="P3232">
        <v>315</v>
      </c>
      <c r="Q3232" t="s">
        <v>6805</v>
      </c>
    </row>
    <row r="3233" spans="1:17" x14ac:dyDescent="0.3">
      <c r="A3233" t="s">
        <v>4729</v>
      </c>
      <c r="B3233" t="str">
        <f>"002507"</f>
        <v>002507</v>
      </c>
      <c r="C3233" t="s">
        <v>6806</v>
      </c>
      <c r="D3233" t="s">
        <v>433</v>
      </c>
      <c r="F3233">
        <v>5432824</v>
      </c>
      <c r="G3233">
        <v>6813973</v>
      </c>
      <c r="H3233">
        <v>10077712</v>
      </c>
      <c r="I3233">
        <v>964592</v>
      </c>
      <c r="P3233">
        <v>4502</v>
      </c>
      <c r="Q3233" t="s">
        <v>6807</v>
      </c>
    </row>
    <row r="3234" spans="1:17" x14ac:dyDescent="0.3">
      <c r="A3234" t="s">
        <v>4729</v>
      </c>
      <c r="B3234" t="str">
        <f>"002508"</f>
        <v>002508</v>
      </c>
      <c r="C3234" t="s">
        <v>6808</v>
      </c>
      <c r="D3234" t="s">
        <v>3707</v>
      </c>
      <c r="F3234">
        <v>366026666</v>
      </c>
      <c r="G3234">
        <v>303347556</v>
      </c>
      <c r="H3234">
        <v>299469127</v>
      </c>
      <c r="I3234">
        <v>293427245</v>
      </c>
      <c r="P3234">
        <v>40625</v>
      </c>
      <c r="Q3234" t="s">
        <v>6809</v>
      </c>
    </row>
    <row r="3235" spans="1:17" x14ac:dyDescent="0.3">
      <c r="A3235" t="s">
        <v>4729</v>
      </c>
      <c r="B3235" t="str">
        <f>"002509"</f>
        <v>002509</v>
      </c>
      <c r="C3235" t="s">
        <v>6810</v>
      </c>
      <c r="H3235">
        <v>21926131</v>
      </c>
      <c r="I3235">
        <v>32603106</v>
      </c>
      <c r="P3235">
        <v>60</v>
      </c>
      <c r="Q3235" t="s">
        <v>6811</v>
      </c>
    </row>
    <row r="3236" spans="1:17" x14ac:dyDescent="0.3">
      <c r="A3236" t="s">
        <v>4729</v>
      </c>
      <c r="B3236" t="str">
        <f>"002510"</f>
        <v>002510</v>
      </c>
      <c r="C3236" t="s">
        <v>6812</v>
      </c>
      <c r="D3236" t="s">
        <v>985</v>
      </c>
      <c r="F3236">
        <v>67975427</v>
      </c>
      <c r="G3236">
        <v>68415907</v>
      </c>
      <c r="H3236">
        <v>72554515</v>
      </c>
      <c r="I3236">
        <v>77506668</v>
      </c>
      <c r="P3236">
        <v>208</v>
      </c>
      <c r="Q3236" t="s">
        <v>6813</v>
      </c>
    </row>
    <row r="3237" spans="1:17" x14ac:dyDescent="0.3">
      <c r="A3237" t="s">
        <v>4729</v>
      </c>
      <c r="B3237" t="str">
        <f>"002511"</f>
        <v>002511</v>
      </c>
      <c r="C3237" t="s">
        <v>6814</v>
      </c>
      <c r="D3237" t="s">
        <v>2751</v>
      </c>
      <c r="F3237">
        <v>211964212</v>
      </c>
      <c r="G3237">
        <v>190298634</v>
      </c>
      <c r="H3237">
        <v>176374287</v>
      </c>
      <c r="I3237">
        <v>107533845</v>
      </c>
      <c r="P3237">
        <v>2513</v>
      </c>
      <c r="Q3237" t="s">
        <v>6815</v>
      </c>
    </row>
    <row r="3238" spans="1:17" x14ac:dyDescent="0.3">
      <c r="A3238" t="s">
        <v>4729</v>
      </c>
      <c r="B3238" t="str">
        <f>"002512"</f>
        <v>002512</v>
      </c>
      <c r="C3238" t="s">
        <v>6816</v>
      </c>
      <c r="D3238" t="s">
        <v>236</v>
      </c>
      <c r="F3238">
        <v>104360993</v>
      </c>
      <c r="G3238">
        <v>120825483</v>
      </c>
      <c r="H3238">
        <v>134246667</v>
      </c>
      <c r="I3238">
        <v>112244367</v>
      </c>
      <c r="P3238">
        <v>162</v>
      </c>
      <c r="Q3238" t="s">
        <v>6817</v>
      </c>
    </row>
    <row r="3239" spans="1:17" x14ac:dyDescent="0.3">
      <c r="A3239" t="s">
        <v>4729</v>
      </c>
      <c r="B3239" t="str">
        <f>"002513"</f>
        <v>002513</v>
      </c>
      <c r="C3239" t="s">
        <v>6818</v>
      </c>
      <c r="D3239" t="s">
        <v>853</v>
      </c>
      <c r="F3239">
        <v>12916551</v>
      </c>
      <c r="G3239">
        <v>15888886</v>
      </c>
      <c r="H3239">
        <v>34836973</v>
      </c>
      <c r="I3239">
        <v>45264059</v>
      </c>
      <c r="P3239">
        <v>46</v>
      </c>
      <c r="Q3239" t="s">
        <v>6819</v>
      </c>
    </row>
    <row r="3240" spans="1:17" x14ac:dyDescent="0.3">
      <c r="A3240" t="s">
        <v>4729</v>
      </c>
      <c r="B3240" t="str">
        <f>"002514"</f>
        <v>002514</v>
      </c>
      <c r="C3240" t="s">
        <v>6820</v>
      </c>
      <c r="D3240" t="s">
        <v>274</v>
      </c>
      <c r="F3240">
        <v>24062883</v>
      </c>
      <c r="G3240">
        <v>54475853</v>
      </c>
      <c r="H3240">
        <v>53636450</v>
      </c>
      <c r="I3240">
        <v>39381300</v>
      </c>
      <c r="P3240">
        <v>61</v>
      </c>
      <c r="Q3240" t="s">
        <v>6821</v>
      </c>
    </row>
    <row r="3241" spans="1:17" x14ac:dyDescent="0.3">
      <c r="A3241" t="s">
        <v>4729</v>
      </c>
      <c r="B3241" t="str">
        <f>"002515"</f>
        <v>002515</v>
      </c>
      <c r="C3241" t="s">
        <v>6822</v>
      </c>
      <c r="D3241" t="s">
        <v>170</v>
      </c>
      <c r="F3241">
        <v>4469369</v>
      </c>
      <c r="G3241">
        <v>3551158</v>
      </c>
      <c r="H3241">
        <v>3407629</v>
      </c>
      <c r="I3241">
        <v>21984446</v>
      </c>
      <c r="P3241">
        <v>296</v>
      </c>
      <c r="Q3241" t="s">
        <v>6823</v>
      </c>
    </row>
    <row r="3242" spans="1:17" x14ac:dyDescent="0.3">
      <c r="A3242" t="s">
        <v>4729</v>
      </c>
      <c r="B3242" t="str">
        <f>"002516"</f>
        <v>002516</v>
      </c>
      <c r="C3242" t="s">
        <v>6824</v>
      </c>
      <c r="D3242" t="s">
        <v>191</v>
      </c>
      <c r="F3242">
        <v>39141213</v>
      </c>
      <c r="G3242">
        <v>29188865</v>
      </c>
      <c r="H3242">
        <v>34083690</v>
      </c>
      <c r="I3242">
        <v>25482844</v>
      </c>
      <c r="P3242">
        <v>160</v>
      </c>
      <c r="Q3242" t="s">
        <v>6825</v>
      </c>
    </row>
    <row r="3243" spans="1:17" x14ac:dyDescent="0.3">
      <c r="A3243" t="s">
        <v>4729</v>
      </c>
      <c r="B3243" t="str">
        <f>"002517"</f>
        <v>002517</v>
      </c>
      <c r="C3243" t="s">
        <v>6826</v>
      </c>
      <c r="D3243" t="s">
        <v>517</v>
      </c>
      <c r="F3243">
        <v>339302756</v>
      </c>
      <c r="G3243">
        <v>313376069</v>
      </c>
      <c r="H3243">
        <v>372820600</v>
      </c>
      <c r="I3243">
        <v>481474187</v>
      </c>
      <c r="P3243">
        <v>289</v>
      </c>
      <c r="Q3243" t="s">
        <v>6827</v>
      </c>
    </row>
    <row r="3244" spans="1:17" x14ac:dyDescent="0.3">
      <c r="A3244" t="s">
        <v>4729</v>
      </c>
      <c r="B3244" t="str">
        <f>"002518"</f>
        <v>002518</v>
      </c>
      <c r="C3244" t="s">
        <v>6828</v>
      </c>
      <c r="D3244" t="s">
        <v>880</v>
      </c>
      <c r="F3244">
        <v>153595673</v>
      </c>
      <c r="G3244">
        <v>155441718</v>
      </c>
      <c r="H3244">
        <v>150422102</v>
      </c>
      <c r="I3244">
        <v>122644856</v>
      </c>
      <c r="P3244">
        <v>401</v>
      </c>
      <c r="Q3244" t="s">
        <v>6829</v>
      </c>
    </row>
    <row r="3245" spans="1:17" x14ac:dyDescent="0.3">
      <c r="A3245" t="s">
        <v>4729</v>
      </c>
      <c r="B3245" t="str">
        <f>"002519"</f>
        <v>002519</v>
      </c>
      <c r="C3245" t="s">
        <v>6830</v>
      </c>
      <c r="D3245" t="s">
        <v>4467</v>
      </c>
      <c r="F3245">
        <v>144699951</v>
      </c>
      <c r="G3245">
        <v>146510436</v>
      </c>
      <c r="H3245">
        <v>150211771</v>
      </c>
      <c r="I3245">
        <v>150234769</v>
      </c>
      <c r="P3245">
        <v>160</v>
      </c>
      <c r="Q3245" t="s">
        <v>6831</v>
      </c>
    </row>
    <row r="3246" spans="1:17" x14ac:dyDescent="0.3">
      <c r="A3246" t="s">
        <v>4729</v>
      </c>
      <c r="B3246" t="str">
        <f>"002520"</f>
        <v>002520</v>
      </c>
      <c r="C3246" t="s">
        <v>6832</v>
      </c>
      <c r="D3246" t="s">
        <v>2321</v>
      </c>
      <c r="F3246">
        <v>90471126</v>
      </c>
      <c r="G3246">
        <v>76879962</v>
      </c>
      <c r="H3246">
        <v>88694908</v>
      </c>
      <c r="I3246">
        <v>85820564</v>
      </c>
      <c r="P3246">
        <v>99</v>
      </c>
      <c r="Q3246" t="s">
        <v>6833</v>
      </c>
    </row>
    <row r="3247" spans="1:17" x14ac:dyDescent="0.3">
      <c r="A3247" t="s">
        <v>4729</v>
      </c>
      <c r="B3247" t="str">
        <f>"002521"</f>
        <v>002521</v>
      </c>
      <c r="C3247" t="s">
        <v>6834</v>
      </c>
      <c r="D3247" t="s">
        <v>244</v>
      </c>
      <c r="F3247">
        <v>126974700</v>
      </c>
      <c r="G3247">
        <v>90503986</v>
      </c>
      <c r="H3247">
        <v>106185887</v>
      </c>
      <c r="I3247">
        <v>150539129</v>
      </c>
      <c r="P3247">
        <v>132</v>
      </c>
      <c r="Q3247" t="s">
        <v>6835</v>
      </c>
    </row>
    <row r="3248" spans="1:17" x14ac:dyDescent="0.3">
      <c r="A3248" t="s">
        <v>4729</v>
      </c>
      <c r="B3248" t="str">
        <f>"002522"</f>
        <v>002522</v>
      </c>
      <c r="C3248" t="s">
        <v>6836</v>
      </c>
      <c r="D3248" t="s">
        <v>324</v>
      </c>
      <c r="F3248">
        <v>63840252</v>
      </c>
      <c r="G3248">
        <v>54132699</v>
      </c>
      <c r="H3248">
        <v>48384412</v>
      </c>
      <c r="I3248">
        <v>33782219</v>
      </c>
      <c r="P3248">
        <v>367</v>
      </c>
      <c r="Q3248" t="s">
        <v>6837</v>
      </c>
    </row>
    <row r="3249" spans="1:17" x14ac:dyDescent="0.3">
      <c r="A3249" t="s">
        <v>4729</v>
      </c>
      <c r="B3249" t="str">
        <f>"002523"</f>
        <v>002523</v>
      </c>
      <c r="C3249" t="s">
        <v>6838</v>
      </c>
      <c r="D3249" t="s">
        <v>395</v>
      </c>
      <c r="F3249">
        <v>127504467</v>
      </c>
      <c r="G3249">
        <v>127144429</v>
      </c>
      <c r="H3249">
        <v>81443909</v>
      </c>
      <c r="I3249">
        <v>60385772</v>
      </c>
      <c r="P3249">
        <v>53</v>
      </c>
      <c r="Q3249" t="s">
        <v>6839</v>
      </c>
    </row>
    <row r="3250" spans="1:17" x14ac:dyDescent="0.3">
      <c r="A3250" t="s">
        <v>4729</v>
      </c>
      <c r="B3250" t="str">
        <f>"002524"</f>
        <v>002524</v>
      </c>
      <c r="C3250" t="s">
        <v>6840</v>
      </c>
      <c r="D3250" t="s">
        <v>1147</v>
      </c>
      <c r="F3250">
        <v>3959381</v>
      </c>
      <c r="G3250">
        <v>542436</v>
      </c>
      <c r="I3250">
        <v>718422</v>
      </c>
      <c r="P3250">
        <v>180</v>
      </c>
      <c r="Q3250" t="s">
        <v>6841</v>
      </c>
    </row>
    <row r="3251" spans="1:17" x14ac:dyDescent="0.3">
      <c r="A3251" t="s">
        <v>4729</v>
      </c>
      <c r="B3251" t="str">
        <f>"002526"</f>
        <v>002526</v>
      </c>
      <c r="C3251" t="s">
        <v>6842</v>
      </c>
      <c r="D3251" t="s">
        <v>395</v>
      </c>
      <c r="F3251">
        <v>59233489</v>
      </c>
      <c r="G3251">
        <v>60206573</v>
      </c>
      <c r="H3251">
        <v>49377009</v>
      </c>
      <c r="I3251">
        <v>40329392</v>
      </c>
      <c r="P3251">
        <v>103</v>
      </c>
      <c r="Q3251" t="s">
        <v>6843</v>
      </c>
    </row>
    <row r="3252" spans="1:17" x14ac:dyDescent="0.3">
      <c r="A3252" t="s">
        <v>4729</v>
      </c>
      <c r="B3252" t="str">
        <f>"002527"</f>
        <v>002527</v>
      </c>
      <c r="C3252" t="s">
        <v>6844</v>
      </c>
      <c r="D3252" t="s">
        <v>2938</v>
      </c>
      <c r="F3252">
        <v>224900975</v>
      </c>
      <c r="G3252">
        <v>200911586</v>
      </c>
      <c r="H3252">
        <v>202895963</v>
      </c>
      <c r="I3252">
        <v>178289259</v>
      </c>
      <c r="P3252">
        <v>161</v>
      </c>
      <c r="Q3252" t="s">
        <v>6845</v>
      </c>
    </row>
    <row r="3253" spans="1:17" x14ac:dyDescent="0.3">
      <c r="A3253" t="s">
        <v>4729</v>
      </c>
      <c r="B3253" t="str">
        <f>"002528"</f>
        <v>002528</v>
      </c>
      <c r="C3253" t="s">
        <v>6846</v>
      </c>
      <c r="D3253" t="s">
        <v>2980</v>
      </c>
      <c r="F3253">
        <v>212252589</v>
      </c>
      <c r="G3253">
        <v>219628848</v>
      </c>
      <c r="H3253">
        <v>192620245</v>
      </c>
      <c r="I3253">
        <v>150502451</v>
      </c>
      <c r="P3253">
        <v>169</v>
      </c>
      <c r="Q3253" t="s">
        <v>6847</v>
      </c>
    </row>
    <row r="3254" spans="1:17" x14ac:dyDescent="0.3">
      <c r="A3254" t="s">
        <v>4729</v>
      </c>
      <c r="B3254" t="str">
        <f>"002529"</f>
        <v>002529</v>
      </c>
      <c r="C3254" t="s">
        <v>6848</v>
      </c>
      <c r="D3254" t="s">
        <v>741</v>
      </c>
      <c r="F3254">
        <v>19052678</v>
      </c>
      <c r="G3254">
        <v>20722617</v>
      </c>
      <c r="H3254">
        <v>26820211</v>
      </c>
      <c r="I3254">
        <v>54640575</v>
      </c>
      <c r="P3254">
        <v>68</v>
      </c>
      <c r="Q3254" t="s">
        <v>6849</v>
      </c>
    </row>
    <row r="3255" spans="1:17" x14ac:dyDescent="0.3">
      <c r="A3255" t="s">
        <v>4729</v>
      </c>
      <c r="B3255" t="str">
        <f>"002530"</f>
        <v>002530</v>
      </c>
      <c r="C3255" t="s">
        <v>6850</v>
      </c>
      <c r="D3255" t="s">
        <v>316</v>
      </c>
      <c r="F3255">
        <v>118155660</v>
      </c>
      <c r="G3255">
        <v>112174319</v>
      </c>
      <c r="H3255">
        <v>60762511</v>
      </c>
      <c r="I3255">
        <v>64060230</v>
      </c>
      <c r="P3255">
        <v>135</v>
      </c>
      <c r="Q3255" t="s">
        <v>6851</v>
      </c>
    </row>
    <row r="3256" spans="1:17" x14ac:dyDescent="0.3">
      <c r="A3256" t="s">
        <v>4729</v>
      </c>
      <c r="B3256" t="str">
        <f>"002531"</f>
        <v>002531</v>
      </c>
      <c r="C3256" t="s">
        <v>6852</v>
      </c>
      <c r="D3256" t="s">
        <v>950</v>
      </c>
      <c r="F3256">
        <v>31427347</v>
      </c>
      <c r="G3256">
        <v>42942804</v>
      </c>
      <c r="H3256">
        <v>31880677</v>
      </c>
      <c r="I3256">
        <v>17346181</v>
      </c>
      <c r="P3256">
        <v>599</v>
      </c>
      <c r="Q3256" t="s">
        <v>6853</v>
      </c>
    </row>
    <row r="3257" spans="1:17" x14ac:dyDescent="0.3">
      <c r="A3257" t="s">
        <v>4729</v>
      </c>
      <c r="B3257" t="str">
        <f>"002532"</f>
        <v>002532</v>
      </c>
      <c r="C3257" t="s">
        <v>6854</v>
      </c>
      <c r="D3257" t="s">
        <v>504</v>
      </c>
      <c r="F3257">
        <v>159929405</v>
      </c>
      <c r="G3257">
        <v>41504480</v>
      </c>
      <c r="H3257">
        <v>77155235</v>
      </c>
      <c r="I3257">
        <v>54800244</v>
      </c>
      <c r="P3257">
        <v>424</v>
      </c>
      <c r="Q3257" t="s">
        <v>6855</v>
      </c>
    </row>
    <row r="3258" spans="1:17" x14ac:dyDescent="0.3">
      <c r="A3258" t="s">
        <v>4729</v>
      </c>
      <c r="B3258" t="str">
        <f>"002533"</f>
        <v>002533</v>
      </c>
      <c r="C3258" t="s">
        <v>6856</v>
      </c>
      <c r="D3258" t="s">
        <v>1164</v>
      </c>
      <c r="F3258">
        <v>434823947</v>
      </c>
      <c r="G3258">
        <v>254535206</v>
      </c>
      <c r="H3258">
        <v>181305435</v>
      </c>
      <c r="I3258">
        <v>170209333</v>
      </c>
      <c r="P3258">
        <v>192</v>
      </c>
      <c r="Q3258" t="s">
        <v>6857</v>
      </c>
    </row>
    <row r="3259" spans="1:17" x14ac:dyDescent="0.3">
      <c r="A3259" t="s">
        <v>4729</v>
      </c>
      <c r="B3259" t="str">
        <f>"002534"</f>
        <v>002534</v>
      </c>
      <c r="C3259" t="s">
        <v>6858</v>
      </c>
      <c r="D3259" t="s">
        <v>470</v>
      </c>
      <c r="F3259">
        <v>402081214</v>
      </c>
      <c r="G3259">
        <v>304882705</v>
      </c>
      <c r="H3259">
        <v>196820476</v>
      </c>
      <c r="I3259">
        <v>187155763</v>
      </c>
      <c r="P3259">
        <v>191</v>
      </c>
      <c r="Q3259" t="s">
        <v>6859</v>
      </c>
    </row>
    <row r="3260" spans="1:17" x14ac:dyDescent="0.3">
      <c r="A3260" t="s">
        <v>4729</v>
      </c>
      <c r="B3260" t="str">
        <f>"002535"</f>
        <v>002535</v>
      </c>
      <c r="C3260" t="s">
        <v>6860</v>
      </c>
      <c r="D3260" t="s">
        <v>395</v>
      </c>
      <c r="F3260">
        <v>27880405</v>
      </c>
      <c r="G3260">
        <v>14360920</v>
      </c>
      <c r="H3260">
        <v>25952337</v>
      </c>
      <c r="I3260">
        <v>39718049</v>
      </c>
      <c r="P3260">
        <v>89</v>
      </c>
      <c r="Q3260" t="s">
        <v>6861</v>
      </c>
    </row>
    <row r="3261" spans="1:17" x14ac:dyDescent="0.3">
      <c r="A3261" t="s">
        <v>4729</v>
      </c>
      <c r="B3261" t="str">
        <f>"002536"</f>
        <v>002536</v>
      </c>
      <c r="C3261" t="s">
        <v>6862</v>
      </c>
      <c r="D3261" t="s">
        <v>348</v>
      </c>
      <c r="F3261">
        <v>197190877</v>
      </c>
      <c r="G3261">
        <v>175949395</v>
      </c>
      <c r="H3261">
        <v>183549121</v>
      </c>
      <c r="I3261">
        <v>185861982</v>
      </c>
      <c r="P3261">
        <v>254</v>
      </c>
      <c r="Q3261" t="s">
        <v>6863</v>
      </c>
    </row>
    <row r="3262" spans="1:17" x14ac:dyDescent="0.3">
      <c r="A3262" t="s">
        <v>4729</v>
      </c>
      <c r="B3262" t="str">
        <f>"002537"</f>
        <v>002537</v>
      </c>
      <c r="C3262" t="s">
        <v>6864</v>
      </c>
      <c r="D3262" t="s">
        <v>191</v>
      </c>
      <c r="F3262">
        <v>185537882</v>
      </c>
      <c r="G3262">
        <v>180118605</v>
      </c>
      <c r="H3262">
        <v>231172293</v>
      </c>
      <c r="I3262">
        <v>175568892</v>
      </c>
      <c r="P3262">
        <v>182</v>
      </c>
      <c r="Q3262" t="s">
        <v>6865</v>
      </c>
    </row>
    <row r="3263" spans="1:17" x14ac:dyDescent="0.3">
      <c r="A3263" t="s">
        <v>4729</v>
      </c>
      <c r="B3263" t="str">
        <f>"002538"</f>
        <v>002538</v>
      </c>
      <c r="C3263" t="s">
        <v>6866</v>
      </c>
      <c r="D3263" t="s">
        <v>5562</v>
      </c>
      <c r="F3263">
        <v>104661006</v>
      </c>
      <c r="G3263">
        <v>99252875</v>
      </c>
      <c r="H3263">
        <v>79900748</v>
      </c>
      <c r="I3263">
        <v>80905508</v>
      </c>
      <c r="P3263">
        <v>174</v>
      </c>
      <c r="Q3263" t="s">
        <v>6867</v>
      </c>
    </row>
    <row r="3264" spans="1:17" x14ac:dyDescent="0.3">
      <c r="A3264" t="s">
        <v>4729</v>
      </c>
      <c r="B3264" t="str">
        <f>"002539"</f>
        <v>002539</v>
      </c>
      <c r="C3264" t="s">
        <v>6868</v>
      </c>
      <c r="D3264" t="s">
        <v>5562</v>
      </c>
      <c r="F3264">
        <v>205714941</v>
      </c>
      <c r="G3264">
        <v>151205498</v>
      </c>
      <c r="H3264">
        <v>113934405</v>
      </c>
      <c r="I3264">
        <v>27386250</v>
      </c>
      <c r="P3264">
        <v>242</v>
      </c>
      <c r="Q3264" t="s">
        <v>6869</v>
      </c>
    </row>
    <row r="3265" spans="1:17" x14ac:dyDescent="0.3">
      <c r="A3265" t="s">
        <v>4729</v>
      </c>
      <c r="B3265" t="str">
        <f>"002540"</f>
        <v>002540</v>
      </c>
      <c r="C3265" t="s">
        <v>6870</v>
      </c>
      <c r="D3265" t="s">
        <v>504</v>
      </c>
      <c r="F3265">
        <v>204052805</v>
      </c>
      <c r="G3265">
        <v>150160647</v>
      </c>
      <c r="H3265">
        <v>139515586</v>
      </c>
      <c r="I3265">
        <v>154183342</v>
      </c>
      <c r="P3265">
        <v>161</v>
      </c>
      <c r="Q3265" t="s">
        <v>6871</v>
      </c>
    </row>
    <row r="3266" spans="1:17" x14ac:dyDescent="0.3">
      <c r="A3266" t="s">
        <v>4729</v>
      </c>
      <c r="B3266" t="str">
        <f>"002541"</f>
        <v>002541</v>
      </c>
      <c r="C3266" t="s">
        <v>6872</v>
      </c>
      <c r="D3266" t="s">
        <v>978</v>
      </c>
      <c r="F3266">
        <v>582951067</v>
      </c>
      <c r="G3266">
        <v>384369387</v>
      </c>
      <c r="H3266">
        <v>303585750</v>
      </c>
      <c r="I3266">
        <v>245269278</v>
      </c>
      <c r="P3266">
        <v>443</v>
      </c>
      <c r="Q3266" t="s">
        <v>6873</v>
      </c>
    </row>
    <row r="3267" spans="1:17" x14ac:dyDescent="0.3">
      <c r="A3267" t="s">
        <v>4729</v>
      </c>
      <c r="B3267" t="str">
        <f>"002542"</f>
        <v>002542</v>
      </c>
      <c r="C3267" t="s">
        <v>6874</v>
      </c>
      <c r="D3267" t="s">
        <v>1992</v>
      </c>
      <c r="F3267">
        <v>158363183</v>
      </c>
      <c r="G3267">
        <v>169729121</v>
      </c>
      <c r="H3267">
        <v>121830227</v>
      </c>
      <c r="I3267">
        <v>112852831</v>
      </c>
      <c r="P3267">
        <v>161</v>
      </c>
      <c r="Q3267" t="s">
        <v>6875</v>
      </c>
    </row>
    <row r="3268" spans="1:17" x14ac:dyDescent="0.3">
      <c r="A3268" t="s">
        <v>4729</v>
      </c>
      <c r="B3268" t="str">
        <f>"002543"</f>
        <v>002543</v>
      </c>
      <c r="C3268" t="s">
        <v>6876</v>
      </c>
      <c r="D3268" t="s">
        <v>2892</v>
      </c>
      <c r="F3268">
        <v>285864924</v>
      </c>
      <c r="G3268">
        <v>236685534</v>
      </c>
      <c r="H3268">
        <v>257943653</v>
      </c>
      <c r="I3268">
        <v>239084115</v>
      </c>
      <c r="P3268">
        <v>434</v>
      </c>
      <c r="Q3268" t="s">
        <v>6877</v>
      </c>
    </row>
    <row r="3269" spans="1:17" x14ac:dyDescent="0.3">
      <c r="A3269" t="s">
        <v>4729</v>
      </c>
      <c r="B3269" t="str">
        <f>"002544"</f>
        <v>002544</v>
      </c>
      <c r="C3269" t="s">
        <v>6878</v>
      </c>
      <c r="D3269" t="s">
        <v>654</v>
      </c>
      <c r="F3269">
        <v>382504227</v>
      </c>
      <c r="G3269">
        <v>350409648</v>
      </c>
      <c r="H3269">
        <v>347696010</v>
      </c>
      <c r="I3269">
        <v>241783826</v>
      </c>
      <c r="P3269">
        <v>324</v>
      </c>
      <c r="Q3269" t="s">
        <v>6879</v>
      </c>
    </row>
    <row r="3270" spans="1:17" x14ac:dyDescent="0.3">
      <c r="A3270" t="s">
        <v>4729</v>
      </c>
      <c r="B3270" t="str">
        <f>"002545"</f>
        <v>002545</v>
      </c>
      <c r="C3270" t="s">
        <v>6880</v>
      </c>
      <c r="D3270" t="s">
        <v>978</v>
      </c>
      <c r="F3270">
        <v>66102392</v>
      </c>
      <c r="G3270">
        <v>56843900</v>
      </c>
      <c r="H3270">
        <v>56009574</v>
      </c>
      <c r="I3270">
        <v>43937115</v>
      </c>
      <c r="P3270">
        <v>138</v>
      </c>
      <c r="Q3270" t="s">
        <v>6881</v>
      </c>
    </row>
    <row r="3271" spans="1:17" x14ac:dyDescent="0.3">
      <c r="A3271" t="s">
        <v>4729</v>
      </c>
      <c r="B3271" t="str">
        <f>"002546"</f>
        <v>002546</v>
      </c>
      <c r="C3271" t="s">
        <v>6882</v>
      </c>
      <c r="D3271" t="s">
        <v>2180</v>
      </c>
      <c r="F3271">
        <v>42827121</v>
      </c>
      <c r="G3271">
        <v>44053531</v>
      </c>
      <c r="H3271">
        <v>50941450</v>
      </c>
      <c r="I3271">
        <v>55341477</v>
      </c>
      <c r="P3271">
        <v>76</v>
      </c>
      <c r="Q3271" t="s">
        <v>6883</v>
      </c>
    </row>
    <row r="3272" spans="1:17" x14ac:dyDescent="0.3">
      <c r="A3272" t="s">
        <v>4729</v>
      </c>
      <c r="B3272" t="str">
        <f>"002547"</f>
        <v>002547</v>
      </c>
      <c r="C3272" t="s">
        <v>6884</v>
      </c>
      <c r="D3272" t="s">
        <v>313</v>
      </c>
      <c r="F3272">
        <v>173464329</v>
      </c>
      <c r="G3272">
        <v>163870435</v>
      </c>
      <c r="H3272">
        <v>155525025</v>
      </c>
      <c r="I3272">
        <v>140927184</v>
      </c>
      <c r="P3272">
        <v>306</v>
      </c>
      <c r="Q3272" t="s">
        <v>6885</v>
      </c>
    </row>
    <row r="3273" spans="1:17" x14ac:dyDescent="0.3">
      <c r="A3273" t="s">
        <v>4729</v>
      </c>
      <c r="B3273" t="str">
        <f>"002548"</f>
        <v>002548</v>
      </c>
      <c r="C3273" t="s">
        <v>6886</v>
      </c>
      <c r="D3273" t="s">
        <v>2886</v>
      </c>
      <c r="F3273">
        <v>65117142</v>
      </c>
      <c r="G3273">
        <v>78422387</v>
      </c>
      <c r="H3273">
        <v>47293386</v>
      </c>
      <c r="I3273">
        <v>51902552</v>
      </c>
      <c r="P3273">
        <v>260</v>
      </c>
      <c r="Q3273" t="s">
        <v>6887</v>
      </c>
    </row>
    <row r="3274" spans="1:17" x14ac:dyDescent="0.3">
      <c r="A3274" t="s">
        <v>4729</v>
      </c>
      <c r="B3274" t="str">
        <f>"002549"</f>
        <v>002549</v>
      </c>
      <c r="C3274" t="s">
        <v>6888</v>
      </c>
      <c r="D3274" t="s">
        <v>386</v>
      </c>
      <c r="F3274">
        <v>42898550</v>
      </c>
      <c r="G3274">
        <v>32589710</v>
      </c>
      <c r="H3274">
        <v>30211748</v>
      </c>
      <c r="I3274">
        <v>23718586</v>
      </c>
      <c r="P3274">
        <v>172</v>
      </c>
      <c r="Q3274" t="s">
        <v>6889</v>
      </c>
    </row>
    <row r="3275" spans="1:17" x14ac:dyDescent="0.3">
      <c r="A3275" t="s">
        <v>4729</v>
      </c>
      <c r="B3275" t="str">
        <f>"002550"</f>
        <v>002550</v>
      </c>
      <c r="C3275" t="s">
        <v>6890</v>
      </c>
      <c r="D3275" t="s">
        <v>143</v>
      </c>
      <c r="F3275">
        <v>71181892</v>
      </c>
      <c r="G3275">
        <v>69139448</v>
      </c>
      <c r="H3275">
        <v>65377810</v>
      </c>
      <c r="I3275">
        <v>67289115</v>
      </c>
      <c r="P3275">
        <v>172</v>
      </c>
      <c r="Q3275" t="s">
        <v>6891</v>
      </c>
    </row>
    <row r="3276" spans="1:17" x14ac:dyDescent="0.3">
      <c r="A3276" t="s">
        <v>4729</v>
      </c>
      <c r="B3276" t="str">
        <f>"002551"</f>
        <v>002551</v>
      </c>
      <c r="C3276" t="s">
        <v>6892</v>
      </c>
      <c r="D3276" t="s">
        <v>1077</v>
      </c>
      <c r="F3276">
        <v>52367944</v>
      </c>
      <c r="G3276">
        <v>61168443</v>
      </c>
      <c r="H3276">
        <v>47889132</v>
      </c>
      <c r="I3276">
        <v>46235736</v>
      </c>
      <c r="P3276">
        <v>242</v>
      </c>
      <c r="Q3276" t="s">
        <v>6893</v>
      </c>
    </row>
    <row r="3277" spans="1:17" x14ac:dyDescent="0.3">
      <c r="A3277" t="s">
        <v>4729</v>
      </c>
      <c r="B3277" t="str">
        <f>"002552"</f>
        <v>002552</v>
      </c>
      <c r="C3277" t="s">
        <v>6894</v>
      </c>
      <c r="D3277" t="s">
        <v>274</v>
      </c>
      <c r="F3277">
        <v>15311275</v>
      </c>
      <c r="G3277">
        <v>13447210</v>
      </c>
      <c r="H3277">
        <v>13178224</v>
      </c>
      <c r="I3277">
        <v>13226611</v>
      </c>
      <c r="P3277">
        <v>83</v>
      </c>
      <c r="Q3277" t="s">
        <v>6895</v>
      </c>
    </row>
    <row r="3278" spans="1:17" x14ac:dyDescent="0.3">
      <c r="A3278" t="s">
        <v>4729</v>
      </c>
      <c r="B3278" t="str">
        <f>"002553"</f>
        <v>002553</v>
      </c>
      <c r="C3278" t="s">
        <v>6896</v>
      </c>
      <c r="D3278" t="s">
        <v>348</v>
      </c>
      <c r="F3278">
        <v>45050786</v>
      </c>
      <c r="G3278">
        <v>26076689</v>
      </c>
      <c r="H3278">
        <v>26521493</v>
      </c>
      <c r="I3278">
        <v>25240683</v>
      </c>
      <c r="P3278">
        <v>140</v>
      </c>
      <c r="Q3278" t="s">
        <v>6897</v>
      </c>
    </row>
    <row r="3279" spans="1:17" x14ac:dyDescent="0.3">
      <c r="A3279" t="s">
        <v>4729</v>
      </c>
      <c r="B3279" t="str">
        <f>"002554"</f>
        <v>002554</v>
      </c>
      <c r="C3279" t="s">
        <v>6898</v>
      </c>
      <c r="D3279" t="s">
        <v>762</v>
      </c>
      <c r="F3279">
        <v>60594008</v>
      </c>
      <c r="G3279">
        <v>54519571</v>
      </c>
      <c r="H3279">
        <v>70281203</v>
      </c>
      <c r="I3279">
        <v>79766114</v>
      </c>
      <c r="P3279">
        <v>112</v>
      </c>
      <c r="Q3279" t="s">
        <v>6899</v>
      </c>
    </row>
    <row r="3280" spans="1:17" x14ac:dyDescent="0.3">
      <c r="A3280" t="s">
        <v>4729</v>
      </c>
      <c r="B3280" t="str">
        <f>"002555"</f>
        <v>002555</v>
      </c>
      <c r="C3280" t="s">
        <v>6900</v>
      </c>
      <c r="D3280" t="s">
        <v>517</v>
      </c>
      <c r="F3280">
        <v>1250238810</v>
      </c>
      <c r="G3280">
        <v>1112654352</v>
      </c>
      <c r="H3280">
        <v>820387890</v>
      </c>
      <c r="I3280">
        <v>537705605</v>
      </c>
      <c r="P3280">
        <v>2914</v>
      </c>
      <c r="Q3280" t="s">
        <v>6901</v>
      </c>
    </row>
    <row r="3281" spans="1:17" x14ac:dyDescent="0.3">
      <c r="A3281" t="s">
        <v>4729</v>
      </c>
      <c r="B3281" t="str">
        <f>"002556"</f>
        <v>002556</v>
      </c>
      <c r="C3281" t="s">
        <v>6902</v>
      </c>
      <c r="D3281" t="s">
        <v>6903</v>
      </c>
      <c r="F3281">
        <v>153182468</v>
      </c>
      <c r="G3281">
        <v>86081474</v>
      </c>
      <c r="H3281">
        <v>66397210</v>
      </c>
      <c r="I3281">
        <v>31383468</v>
      </c>
      <c r="P3281">
        <v>110</v>
      </c>
      <c r="Q3281" t="s">
        <v>6904</v>
      </c>
    </row>
    <row r="3282" spans="1:17" x14ac:dyDescent="0.3">
      <c r="A3282" t="s">
        <v>4729</v>
      </c>
      <c r="B3282" t="str">
        <f>"002557"</f>
        <v>002557</v>
      </c>
      <c r="C3282" t="s">
        <v>6905</v>
      </c>
      <c r="D3282" t="s">
        <v>3194</v>
      </c>
      <c r="F3282">
        <v>45085492</v>
      </c>
      <c r="G3282">
        <v>36242796</v>
      </c>
      <c r="H3282">
        <v>30636524</v>
      </c>
      <c r="I3282">
        <v>25189552</v>
      </c>
      <c r="P3282">
        <v>1823</v>
      </c>
      <c r="Q3282" t="s">
        <v>6906</v>
      </c>
    </row>
    <row r="3283" spans="1:17" x14ac:dyDescent="0.3">
      <c r="A3283" t="s">
        <v>4729</v>
      </c>
      <c r="B3283" t="str">
        <f>"002558"</f>
        <v>002558</v>
      </c>
      <c r="C3283" t="s">
        <v>6907</v>
      </c>
      <c r="D3283" t="s">
        <v>517</v>
      </c>
      <c r="F3283">
        <v>713356232</v>
      </c>
      <c r="G3283">
        <v>720989794</v>
      </c>
      <c r="H3283">
        <v>810514795</v>
      </c>
      <c r="I3283">
        <v>788059344</v>
      </c>
      <c r="P3283">
        <v>458</v>
      </c>
      <c r="Q3283" t="s">
        <v>6908</v>
      </c>
    </row>
    <row r="3284" spans="1:17" x14ac:dyDescent="0.3">
      <c r="A3284" t="s">
        <v>4729</v>
      </c>
      <c r="B3284" t="str">
        <f>"002559"</f>
        <v>002559</v>
      </c>
      <c r="C3284" t="s">
        <v>6909</v>
      </c>
      <c r="D3284" t="s">
        <v>2321</v>
      </c>
      <c r="F3284">
        <v>122861926</v>
      </c>
      <c r="G3284">
        <v>120855963</v>
      </c>
      <c r="H3284">
        <v>109284588</v>
      </c>
      <c r="I3284">
        <v>102085446</v>
      </c>
      <c r="P3284">
        <v>149</v>
      </c>
      <c r="Q3284" t="s">
        <v>6910</v>
      </c>
    </row>
    <row r="3285" spans="1:17" x14ac:dyDescent="0.3">
      <c r="A3285" t="s">
        <v>4729</v>
      </c>
      <c r="B3285" t="str">
        <f>"002560"</f>
        <v>002560</v>
      </c>
      <c r="C3285" t="s">
        <v>6911</v>
      </c>
      <c r="D3285" t="s">
        <v>1164</v>
      </c>
      <c r="F3285">
        <v>85895302</v>
      </c>
      <c r="G3285">
        <v>64091749</v>
      </c>
      <c r="H3285">
        <v>58215028</v>
      </c>
      <c r="I3285">
        <v>39115985</v>
      </c>
      <c r="P3285">
        <v>138</v>
      </c>
      <c r="Q3285" t="s">
        <v>6912</v>
      </c>
    </row>
    <row r="3286" spans="1:17" x14ac:dyDescent="0.3">
      <c r="A3286" t="s">
        <v>4729</v>
      </c>
      <c r="B3286" t="str">
        <f>"002561"</f>
        <v>002561</v>
      </c>
      <c r="C3286" t="s">
        <v>6913</v>
      </c>
      <c r="D3286" t="s">
        <v>633</v>
      </c>
      <c r="F3286">
        <v>1475771</v>
      </c>
      <c r="G3286">
        <v>0</v>
      </c>
      <c r="P3286">
        <v>183</v>
      </c>
      <c r="Q3286" t="s">
        <v>6914</v>
      </c>
    </row>
    <row r="3287" spans="1:17" x14ac:dyDescent="0.3">
      <c r="A3287" t="s">
        <v>4729</v>
      </c>
      <c r="B3287" t="str">
        <f>"002562"</f>
        <v>002562</v>
      </c>
      <c r="C3287" t="s">
        <v>6915</v>
      </c>
      <c r="D3287" t="s">
        <v>677</v>
      </c>
      <c r="F3287">
        <v>116001793</v>
      </c>
      <c r="G3287">
        <v>69771942</v>
      </c>
      <c r="H3287">
        <v>70394161</v>
      </c>
      <c r="I3287">
        <v>78276273</v>
      </c>
      <c r="P3287">
        <v>259</v>
      </c>
      <c r="Q3287" t="s">
        <v>6916</v>
      </c>
    </row>
    <row r="3288" spans="1:17" x14ac:dyDescent="0.3">
      <c r="A3288" t="s">
        <v>4729</v>
      </c>
      <c r="B3288" t="str">
        <f>"002563"</f>
        <v>002563</v>
      </c>
      <c r="C3288" t="s">
        <v>6917</v>
      </c>
      <c r="D3288" t="s">
        <v>255</v>
      </c>
      <c r="F3288">
        <v>317090319</v>
      </c>
      <c r="G3288">
        <v>291709839</v>
      </c>
      <c r="H3288">
        <v>413653629</v>
      </c>
      <c r="I3288">
        <v>364310142</v>
      </c>
      <c r="P3288">
        <v>904</v>
      </c>
      <c r="Q3288" t="s">
        <v>6918</v>
      </c>
    </row>
    <row r="3289" spans="1:17" x14ac:dyDescent="0.3">
      <c r="A3289" t="s">
        <v>4729</v>
      </c>
      <c r="B3289" t="str">
        <f>"002564"</f>
        <v>002564</v>
      </c>
      <c r="C3289" t="s">
        <v>6919</v>
      </c>
      <c r="D3289" t="s">
        <v>395</v>
      </c>
      <c r="F3289">
        <v>242771383</v>
      </c>
      <c r="G3289">
        <v>284922508</v>
      </c>
      <c r="H3289">
        <v>100327316</v>
      </c>
      <c r="I3289">
        <v>80886178</v>
      </c>
      <c r="P3289">
        <v>130</v>
      </c>
      <c r="Q3289" t="s">
        <v>6920</v>
      </c>
    </row>
    <row r="3290" spans="1:17" x14ac:dyDescent="0.3">
      <c r="A3290" t="s">
        <v>4729</v>
      </c>
      <c r="B3290" t="str">
        <f>"002565"</f>
        <v>002565</v>
      </c>
      <c r="C3290" t="s">
        <v>6921</v>
      </c>
      <c r="D3290" t="s">
        <v>2165</v>
      </c>
      <c r="F3290">
        <v>59199465</v>
      </c>
      <c r="G3290">
        <v>66384305</v>
      </c>
      <c r="H3290">
        <v>82198249</v>
      </c>
      <c r="I3290">
        <v>88320763</v>
      </c>
      <c r="P3290">
        <v>107</v>
      </c>
      <c r="Q3290" t="s">
        <v>6922</v>
      </c>
    </row>
    <row r="3291" spans="1:17" x14ac:dyDescent="0.3">
      <c r="A3291" t="s">
        <v>4729</v>
      </c>
      <c r="B3291" t="str">
        <f>"002566"</f>
        <v>002566</v>
      </c>
      <c r="C3291" t="s">
        <v>6923</v>
      </c>
      <c r="D3291" t="s">
        <v>188</v>
      </c>
      <c r="F3291">
        <v>20892630</v>
      </c>
      <c r="G3291">
        <v>15711256</v>
      </c>
      <c r="H3291">
        <v>19471755</v>
      </c>
      <c r="I3291">
        <v>19526286</v>
      </c>
      <c r="P3291">
        <v>134</v>
      </c>
      <c r="Q3291" t="s">
        <v>6924</v>
      </c>
    </row>
    <row r="3292" spans="1:17" x14ac:dyDescent="0.3">
      <c r="A3292" t="s">
        <v>4729</v>
      </c>
      <c r="B3292" t="str">
        <f>"002567"</f>
        <v>002567</v>
      </c>
      <c r="C3292" t="s">
        <v>6925</v>
      </c>
      <c r="D3292" t="s">
        <v>2886</v>
      </c>
      <c r="F3292">
        <v>263457417</v>
      </c>
      <c r="G3292">
        <v>206156897</v>
      </c>
      <c r="H3292">
        <v>163767290</v>
      </c>
      <c r="I3292">
        <v>92617929</v>
      </c>
      <c r="P3292">
        <v>451</v>
      </c>
      <c r="Q3292" t="s">
        <v>6926</v>
      </c>
    </row>
    <row r="3293" spans="1:17" x14ac:dyDescent="0.3">
      <c r="A3293" t="s">
        <v>4729</v>
      </c>
      <c r="B3293" t="str">
        <f>"002568"</f>
        <v>002568</v>
      </c>
      <c r="C3293" t="s">
        <v>6927</v>
      </c>
      <c r="D3293" t="s">
        <v>134</v>
      </c>
      <c r="F3293">
        <v>73114267</v>
      </c>
      <c r="G3293">
        <v>63829460</v>
      </c>
      <c r="H3293">
        <v>63742671</v>
      </c>
      <c r="I3293">
        <v>62879573</v>
      </c>
      <c r="P3293">
        <v>1076</v>
      </c>
      <c r="Q3293" t="s">
        <v>6928</v>
      </c>
    </row>
    <row r="3294" spans="1:17" x14ac:dyDescent="0.3">
      <c r="A3294" t="s">
        <v>4729</v>
      </c>
      <c r="B3294" t="str">
        <f>"002569"</f>
        <v>002569</v>
      </c>
      <c r="C3294" t="s">
        <v>6929</v>
      </c>
      <c r="D3294" t="s">
        <v>255</v>
      </c>
      <c r="F3294">
        <v>0</v>
      </c>
      <c r="G3294">
        <v>0</v>
      </c>
      <c r="P3294">
        <v>59</v>
      </c>
      <c r="Q3294" t="s">
        <v>6930</v>
      </c>
    </row>
    <row r="3295" spans="1:17" x14ac:dyDescent="0.3">
      <c r="A3295" t="s">
        <v>4729</v>
      </c>
      <c r="B3295" t="str">
        <f>"002570"</f>
        <v>002570</v>
      </c>
      <c r="C3295" t="s">
        <v>6931</v>
      </c>
      <c r="D3295" t="s">
        <v>900</v>
      </c>
      <c r="F3295">
        <v>26135300</v>
      </c>
      <c r="G3295">
        <v>12263097</v>
      </c>
      <c r="H3295">
        <v>16858176</v>
      </c>
      <c r="I3295">
        <v>15598116</v>
      </c>
      <c r="P3295">
        <v>261</v>
      </c>
      <c r="Q3295" t="s">
        <v>6932</v>
      </c>
    </row>
    <row r="3296" spans="1:17" x14ac:dyDescent="0.3">
      <c r="A3296" t="s">
        <v>4729</v>
      </c>
      <c r="B3296" t="str">
        <f>"002571"</f>
        <v>002571</v>
      </c>
      <c r="C3296" t="s">
        <v>6933</v>
      </c>
      <c r="D3296" t="s">
        <v>2445</v>
      </c>
      <c r="F3296">
        <v>2427439</v>
      </c>
      <c r="G3296">
        <v>2314228</v>
      </c>
      <c r="H3296">
        <v>2828422</v>
      </c>
      <c r="I3296">
        <v>2809922</v>
      </c>
      <c r="P3296">
        <v>92</v>
      </c>
      <c r="Q3296" t="s">
        <v>6934</v>
      </c>
    </row>
    <row r="3297" spans="1:17" x14ac:dyDescent="0.3">
      <c r="A3297" t="s">
        <v>4729</v>
      </c>
      <c r="B3297" t="str">
        <f>"002572"</f>
        <v>002572</v>
      </c>
      <c r="C3297" t="s">
        <v>6935</v>
      </c>
      <c r="D3297" t="s">
        <v>2664</v>
      </c>
      <c r="F3297">
        <v>289895892</v>
      </c>
      <c r="G3297">
        <v>207025095</v>
      </c>
      <c r="H3297">
        <v>185114887</v>
      </c>
      <c r="I3297">
        <v>190660236</v>
      </c>
      <c r="P3297">
        <v>9141</v>
      </c>
      <c r="Q3297" t="s">
        <v>6936</v>
      </c>
    </row>
    <row r="3298" spans="1:17" x14ac:dyDescent="0.3">
      <c r="A3298" t="s">
        <v>4729</v>
      </c>
      <c r="B3298" t="str">
        <f>"002573"</f>
        <v>002573</v>
      </c>
      <c r="C3298" t="s">
        <v>6937</v>
      </c>
      <c r="D3298" t="s">
        <v>663</v>
      </c>
      <c r="F3298">
        <v>168905295</v>
      </c>
      <c r="G3298">
        <v>125296942</v>
      </c>
      <c r="H3298">
        <v>72597223</v>
      </c>
      <c r="I3298">
        <v>61089354</v>
      </c>
      <c r="P3298">
        <v>613</v>
      </c>
      <c r="Q3298" t="s">
        <v>6938</v>
      </c>
    </row>
    <row r="3299" spans="1:17" x14ac:dyDescent="0.3">
      <c r="A3299" t="s">
        <v>4729</v>
      </c>
      <c r="B3299" t="str">
        <f>"002574"</f>
        <v>002574</v>
      </c>
      <c r="C3299" t="s">
        <v>6939</v>
      </c>
      <c r="D3299" t="s">
        <v>1238</v>
      </c>
      <c r="F3299">
        <v>1697986</v>
      </c>
      <c r="G3299">
        <v>1772139</v>
      </c>
      <c r="H3299">
        <v>4693002</v>
      </c>
      <c r="I3299">
        <v>3873480</v>
      </c>
      <c r="P3299">
        <v>105</v>
      </c>
      <c r="Q3299" t="s">
        <v>6940</v>
      </c>
    </row>
    <row r="3300" spans="1:17" x14ac:dyDescent="0.3">
      <c r="A3300" t="s">
        <v>4729</v>
      </c>
      <c r="B3300" t="str">
        <f>"002575"</f>
        <v>002575</v>
      </c>
      <c r="C3300" t="s">
        <v>6941</v>
      </c>
      <c r="D3300" t="s">
        <v>2931</v>
      </c>
      <c r="F3300">
        <v>0</v>
      </c>
      <c r="G3300">
        <v>3420523</v>
      </c>
      <c r="H3300">
        <v>1974441</v>
      </c>
      <c r="P3300">
        <v>57</v>
      </c>
      <c r="Q3300" t="s">
        <v>6942</v>
      </c>
    </row>
    <row r="3301" spans="1:17" x14ac:dyDescent="0.3">
      <c r="A3301" t="s">
        <v>4729</v>
      </c>
      <c r="B3301" t="str">
        <f>"002576"</f>
        <v>002576</v>
      </c>
      <c r="C3301" t="s">
        <v>6943</v>
      </c>
      <c r="D3301" t="s">
        <v>1171</v>
      </c>
      <c r="F3301">
        <v>53133309</v>
      </c>
      <c r="G3301">
        <v>34561355</v>
      </c>
      <c r="H3301">
        <v>29185230</v>
      </c>
      <c r="I3301">
        <v>27356401</v>
      </c>
      <c r="P3301">
        <v>123</v>
      </c>
      <c r="Q3301" t="s">
        <v>6944</v>
      </c>
    </row>
    <row r="3302" spans="1:17" x14ac:dyDescent="0.3">
      <c r="A3302" t="s">
        <v>4729</v>
      </c>
      <c r="B3302" t="str">
        <f>"002577"</f>
        <v>002577</v>
      </c>
      <c r="C3302" t="s">
        <v>6945</v>
      </c>
      <c r="D3302" t="s">
        <v>236</v>
      </c>
      <c r="F3302">
        <v>22569559</v>
      </c>
      <c r="G3302">
        <v>15942599</v>
      </c>
      <c r="H3302">
        <v>19260899</v>
      </c>
      <c r="I3302">
        <v>22258822</v>
      </c>
      <c r="P3302">
        <v>83</v>
      </c>
      <c r="Q3302" t="s">
        <v>6946</v>
      </c>
    </row>
    <row r="3303" spans="1:17" x14ac:dyDescent="0.3">
      <c r="A3303" t="s">
        <v>4729</v>
      </c>
      <c r="B3303" t="str">
        <f>"002578"</f>
        <v>002578</v>
      </c>
      <c r="C3303" t="s">
        <v>6947</v>
      </c>
      <c r="D3303" t="s">
        <v>504</v>
      </c>
      <c r="F3303">
        <v>29508062</v>
      </c>
      <c r="G3303">
        <v>22430298</v>
      </c>
      <c r="H3303">
        <v>20216377</v>
      </c>
      <c r="I3303">
        <v>18378757</v>
      </c>
      <c r="P3303">
        <v>91</v>
      </c>
      <c r="Q3303" t="s">
        <v>6948</v>
      </c>
    </row>
    <row r="3304" spans="1:17" x14ac:dyDescent="0.3">
      <c r="A3304" t="s">
        <v>4729</v>
      </c>
      <c r="B3304" t="str">
        <f>"002579"</f>
        <v>002579</v>
      </c>
      <c r="C3304" t="s">
        <v>6949</v>
      </c>
      <c r="D3304" t="s">
        <v>425</v>
      </c>
      <c r="F3304">
        <v>145053214</v>
      </c>
      <c r="G3304">
        <v>106584579</v>
      </c>
      <c r="H3304">
        <v>84016348</v>
      </c>
      <c r="I3304">
        <v>66857229</v>
      </c>
      <c r="P3304">
        <v>279</v>
      </c>
      <c r="Q3304" t="s">
        <v>6950</v>
      </c>
    </row>
    <row r="3305" spans="1:17" x14ac:dyDescent="0.3">
      <c r="A3305" t="s">
        <v>4729</v>
      </c>
      <c r="B3305" t="str">
        <f>"002580"</f>
        <v>002580</v>
      </c>
      <c r="C3305" t="s">
        <v>6951</v>
      </c>
      <c r="D3305" t="s">
        <v>555</v>
      </c>
      <c r="F3305">
        <v>66975999</v>
      </c>
      <c r="G3305">
        <v>67495467</v>
      </c>
      <c r="H3305">
        <v>61231604</v>
      </c>
      <c r="I3305">
        <v>35536729</v>
      </c>
      <c r="P3305">
        <v>114</v>
      </c>
      <c r="Q3305" t="s">
        <v>6952</v>
      </c>
    </row>
    <row r="3306" spans="1:17" x14ac:dyDescent="0.3">
      <c r="A3306" t="s">
        <v>4729</v>
      </c>
      <c r="B3306" t="str">
        <f>"002581"</f>
        <v>002581</v>
      </c>
      <c r="C3306" t="s">
        <v>6953</v>
      </c>
      <c r="D3306" t="s">
        <v>1379</v>
      </c>
      <c r="F3306">
        <v>38438103</v>
      </c>
      <c r="G3306">
        <v>49295829</v>
      </c>
      <c r="H3306">
        <v>54655028</v>
      </c>
      <c r="I3306">
        <v>45953359</v>
      </c>
      <c r="P3306">
        <v>228</v>
      </c>
      <c r="Q3306" t="s">
        <v>6954</v>
      </c>
    </row>
    <row r="3307" spans="1:17" x14ac:dyDescent="0.3">
      <c r="A3307" t="s">
        <v>4729</v>
      </c>
      <c r="B3307" t="str">
        <f>"002582"</f>
        <v>002582</v>
      </c>
      <c r="C3307" t="s">
        <v>6955</v>
      </c>
      <c r="D3307" t="s">
        <v>3194</v>
      </c>
      <c r="F3307">
        <v>34187623</v>
      </c>
      <c r="G3307">
        <v>33997042</v>
      </c>
      <c r="H3307">
        <v>35387870</v>
      </c>
      <c r="I3307">
        <v>30061256</v>
      </c>
      <c r="P3307">
        <v>439</v>
      </c>
      <c r="Q3307" t="s">
        <v>6956</v>
      </c>
    </row>
    <row r="3308" spans="1:17" x14ac:dyDescent="0.3">
      <c r="A3308" t="s">
        <v>4729</v>
      </c>
      <c r="B3308" t="str">
        <f>"002583"</f>
        <v>002583</v>
      </c>
      <c r="C3308" t="s">
        <v>6957</v>
      </c>
      <c r="D3308" t="s">
        <v>1019</v>
      </c>
      <c r="F3308">
        <v>1037925650</v>
      </c>
      <c r="G3308">
        <v>930227289</v>
      </c>
      <c r="H3308">
        <v>852377752</v>
      </c>
      <c r="I3308">
        <v>773944000</v>
      </c>
      <c r="P3308">
        <v>397</v>
      </c>
      <c r="Q3308" t="s">
        <v>6958</v>
      </c>
    </row>
    <row r="3309" spans="1:17" x14ac:dyDescent="0.3">
      <c r="A3309" t="s">
        <v>4729</v>
      </c>
      <c r="B3309" t="str">
        <f>"002584"</f>
        <v>002584</v>
      </c>
      <c r="C3309" t="s">
        <v>6959</v>
      </c>
      <c r="D3309" t="s">
        <v>2408</v>
      </c>
      <c r="F3309">
        <v>118968566</v>
      </c>
      <c r="G3309">
        <v>102719158</v>
      </c>
      <c r="H3309">
        <v>87580450</v>
      </c>
      <c r="I3309">
        <v>81745373</v>
      </c>
      <c r="P3309">
        <v>119</v>
      </c>
      <c r="Q3309" t="s">
        <v>6960</v>
      </c>
    </row>
    <row r="3310" spans="1:17" x14ac:dyDescent="0.3">
      <c r="A3310" t="s">
        <v>4729</v>
      </c>
      <c r="B3310" t="str">
        <f>"002585"</f>
        <v>002585</v>
      </c>
      <c r="C3310" t="s">
        <v>6961</v>
      </c>
      <c r="D3310" t="s">
        <v>324</v>
      </c>
      <c r="F3310">
        <v>266889661</v>
      </c>
      <c r="G3310">
        <v>157267685</v>
      </c>
      <c r="H3310">
        <v>145203796</v>
      </c>
      <c r="I3310">
        <v>121508267</v>
      </c>
      <c r="P3310">
        <v>382</v>
      </c>
      <c r="Q3310" t="s">
        <v>6962</v>
      </c>
    </row>
    <row r="3311" spans="1:17" x14ac:dyDescent="0.3">
      <c r="A3311" t="s">
        <v>4729</v>
      </c>
      <c r="B3311" t="str">
        <f>"002586"</f>
        <v>002586</v>
      </c>
      <c r="C3311" t="s">
        <v>6963</v>
      </c>
      <c r="D3311" t="s">
        <v>101</v>
      </c>
      <c r="F3311">
        <v>21873691</v>
      </c>
      <c r="G3311">
        <v>22270959</v>
      </c>
      <c r="H3311">
        <v>38273388</v>
      </c>
      <c r="I3311">
        <v>20139247</v>
      </c>
      <c r="P3311">
        <v>62</v>
      </c>
      <c r="Q3311" t="s">
        <v>6964</v>
      </c>
    </row>
    <row r="3312" spans="1:17" x14ac:dyDescent="0.3">
      <c r="A3312" t="s">
        <v>4729</v>
      </c>
      <c r="B3312" t="str">
        <f>"002587"</f>
        <v>002587</v>
      </c>
      <c r="C3312" t="s">
        <v>6965</v>
      </c>
      <c r="D3312" t="s">
        <v>803</v>
      </c>
      <c r="F3312">
        <v>89099117</v>
      </c>
      <c r="G3312">
        <v>81063091</v>
      </c>
      <c r="H3312">
        <v>85719476</v>
      </c>
      <c r="I3312">
        <v>90029318</v>
      </c>
      <c r="P3312">
        <v>142</v>
      </c>
      <c r="Q3312" t="s">
        <v>6966</v>
      </c>
    </row>
    <row r="3313" spans="1:17" x14ac:dyDescent="0.3">
      <c r="A3313" t="s">
        <v>4729</v>
      </c>
      <c r="B3313" t="str">
        <f>"002588"</f>
        <v>002588</v>
      </c>
      <c r="C3313" t="s">
        <v>6967</v>
      </c>
      <c r="D3313" t="s">
        <v>5562</v>
      </c>
      <c r="F3313">
        <v>208885419</v>
      </c>
      <c r="G3313">
        <v>192737903</v>
      </c>
      <c r="H3313">
        <v>171685953</v>
      </c>
      <c r="I3313">
        <v>172756953</v>
      </c>
      <c r="P3313">
        <v>164</v>
      </c>
      <c r="Q3313" t="s">
        <v>6968</v>
      </c>
    </row>
    <row r="3314" spans="1:17" x14ac:dyDescent="0.3">
      <c r="A3314" t="s">
        <v>4729</v>
      </c>
      <c r="B3314" t="str">
        <f>"002589"</f>
        <v>002589</v>
      </c>
      <c r="C3314" t="s">
        <v>6969</v>
      </c>
      <c r="D3314" t="s">
        <v>125</v>
      </c>
      <c r="F3314">
        <v>11562652</v>
      </c>
      <c r="G3314">
        <v>8913866</v>
      </c>
      <c r="H3314">
        <v>6971056</v>
      </c>
      <c r="P3314">
        <v>460</v>
      </c>
      <c r="Q3314" t="s">
        <v>6970</v>
      </c>
    </row>
    <row r="3315" spans="1:17" x14ac:dyDescent="0.3">
      <c r="A3315" t="s">
        <v>4729</v>
      </c>
      <c r="B3315" t="str">
        <f>"002590"</f>
        <v>002590</v>
      </c>
      <c r="C3315" t="s">
        <v>6971</v>
      </c>
      <c r="D3315" t="s">
        <v>348</v>
      </c>
      <c r="F3315">
        <v>133789040</v>
      </c>
      <c r="G3315">
        <v>97061969</v>
      </c>
      <c r="H3315">
        <v>97232950</v>
      </c>
      <c r="I3315">
        <v>88123963</v>
      </c>
      <c r="P3315">
        <v>119</v>
      </c>
      <c r="Q3315" t="s">
        <v>6972</v>
      </c>
    </row>
    <row r="3316" spans="1:17" x14ac:dyDescent="0.3">
      <c r="A3316" t="s">
        <v>4729</v>
      </c>
      <c r="B3316" t="str">
        <f>"002591"</f>
        <v>002591</v>
      </c>
      <c r="C3316" t="s">
        <v>6973</v>
      </c>
      <c r="D3316" t="s">
        <v>207</v>
      </c>
      <c r="F3316">
        <v>20174305</v>
      </c>
      <c r="G3316">
        <v>21923357</v>
      </c>
      <c r="H3316">
        <v>19123715</v>
      </c>
      <c r="I3316">
        <v>14642104</v>
      </c>
      <c r="P3316">
        <v>113</v>
      </c>
      <c r="Q3316" t="s">
        <v>6974</v>
      </c>
    </row>
    <row r="3317" spans="1:17" x14ac:dyDescent="0.3">
      <c r="A3317" t="s">
        <v>4729</v>
      </c>
      <c r="B3317" t="str">
        <f>"002592"</f>
        <v>002592</v>
      </c>
      <c r="C3317" t="s">
        <v>6975</v>
      </c>
      <c r="D3317" t="s">
        <v>348</v>
      </c>
      <c r="F3317">
        <v>17604019</v>
      </c>
      <c r="G3317">
        <v>16974764</v>
      </c>
      <c r="H3317">
        <v>21531497</v>
      </c>
      <c r="I3317">
        <v>19784119</v>
      </c>
      <c r="P3317">
        <v>76</v>
      </c>
      <c r="Q3317" t="s">
        <v>6976</v>
      </c>
    </row>
    <row r="3318" spans="1:17" x14ac:dyDescent="0.3">
      <c r="A3318" t="s">
        <v>4729</v>
      </c>
      <c r="B3318" t="str">
        <f>"002593"</f>
        <v>002593</v>
      </c>
      <c r="C3318" t="s">
        <v>6977</v>
      </c>
      <c r="D3318" t="s">
        <v>978</v>
      </c>
      <c r="F3318">
        <v>21061438</v>
      </c>
      <c r="G3318">
        <v>19213315</v>
      </c>
      <c r="H3318">
        <v>13947976</v>
      </c>
      <c r="I3318">
        <v>9568517</v>
      </c>
      <c r="P3318">
        <v>88</v>
      </c>
      <c r="Q3318" t="s">
        <v>6978</v>
      </c>
    </row>
    <row r="3319" spans="1:17" x14ac:dyDescent="0.3">
      <c r="A3319" t="s">
        <v>4729</v>
      </c>
      <c r="B3319" t="str">
        <f>"002594"</f>
        <v>002594</v>
      </c>
      <c r="C3319" t="s">
        <v>6979</v>
      </c>
      <c r="D3319" t="s">
        <v>6980</v>
      </c>
      <c r="F3319">
        <v>7990974000</v>
      </c>
      <c r="G3319">
        <v>7464861000</v>
      </c>
      <c r="H3319">
        <v>5629372000</v>
      </c>
      <c r="I3319">
        <v>4989360000</v>
      </c>
      <c r="P3319">
        <v>5218</v>
      </c>
      <c r="Q3319" t="s">
        <v>6981</v>
      </c>
    </row>
    <row r="3320" spans="1:17" x14ac:dyDescent="0.3">
      <c r="A3320" t="s">
        <v>4729</v>
      </c>
      <c r="B3320" t="str">
        <f>"002595"</f>
        <v>002595</v>
      </c>
      <c r="C3320" t="s">
        <v>6982</v>
      </c>
      <c r="D3320" t="s">
        <v>741</v>
      </c>
      <c r="F3320">
        <v>259418025</v>
      </c>
      <c r="G3320">
        <v>200128810</v>
      </c>
      <c r="H3320">
        <v>176724268</v>
      </c>
      <c r="I3320">
        <v>162890455</v>
      </c>
      <c r="P3320">
        <v>4171</v>
      </c>
      <c r="Q3320" t="s">
        <v>6983</v>
      </c>
    </row>
    <row r="3321" spans="1:17" x14ac:dyDescent="0.3">
      <c r="A3321" t="s">
        <v>4729</v>
      </c>
      <c r="B3321" t="str">
        <f>"002596"</f>
        <v>002596</v>
      </c>
      <c r="C3321" t="s">
        <v>6984</v>
      </c>
      <c r="D3321" t="s">
        <v>3098</v>
      </c>
      <c r="F3321">
        <v>13719315</v>
      </c>
      <c r="G3321">
        <v>15863998</v>
      </c>
      <c r="H3321">
        <v>15250893</v>
      </c>
      <c r="I3321">
        <v>9939349</v>
      </c>
      <c r="P3321">
        <v>100</v>
      </c>
      <c r="Q3321" t="s">
        <v>6985</v>
      </c>
    </row>
    <row r="3322" spans="1:17" x14ac:dyDescent="0.3">
      <c r="A3322" t="s">
        <v>4729</v>
      </c>
      <c r="B3322" t="str">
        <f>"002597"</f>
        <v>002597</v>
      </c>
      <c r="C3322" t="s">
        <v>6986</v>
      </c>
      <c r="D3322" t="s">
        <v>677</v>
      </c>
      <c r="F3322">
        <v>182871407</v>
      </c>
      <c r="G3322">
        <v>120403962</v>
      </c>
      <c r="H3322">
        <v>136639529</v>
      </c>
      <c r="I3322">
        <v>85827198</v>
      </c>
      <c r="P3322">
        <v>1878</v>
      </c>
      <c r="Q3322" t="s">
        <v>6987</v>
      </c>
    </row>
    <row r="3323" spans="1:17" x14ac:dyDescent="0.3">
      <c r="A3323" t="s">
        <v>4729</v>
      </c>
      <c r="B3323" t="str">
        <f>"002598"</f>
        <v>002598</v>
      </c>
      <c r="C3323" t="s">
        <v>6988</v>
      </c>
      <c r="D3323" t="s">
        <v>560</v>
      </c>
      <c r="F3323">
        <v>83318910</v>
      </c>
      <c r="G3323">
        <v>53860957</v>
      </c>
      <c r="H3323">
        <v>42662435</v>
      </c>
      <c r="I3323">
        <v>37934167</v>
      </c>
      <c r="P3323">
        <v>88</v>
      </c>
      <c r="Q3323" t="s">
        <v>6989</v>
      </c>
    </row>
    <row r="3324" spans="1:17" x14ac:dyDescent="0.3">
      <c r="A3324" t="s">
        <v>4729</v>
      </c>
      <c r="B3324" t="str">
        <f>"002599"</f>
        <v>002599</v>
      </c>
      <c r="C3324" t="s">
        <v>6990</v>
      </c>
      <c r="D3324" t="s">
        <v>1694</v>
      </c>
      <c r="F3324">
        <v>41876618</v>
      </c>
      <c r="G3324">
        <v>31350985</v>
      </c>
      <c r="H3324">
        <v>26017543</v>
      </c>
      <c r="I3324">
        <v>20371484</v>
      </c>
      <c r="P3324">
        <v>87</v>
      </c>
      <c r="Q3324" t="s">
        <v>6991</v>
      </c>
    </row>
    <row r="3325" spans="1:17" x14ac:dyDescent="0.3">
      <c r="A3325" t="s">
        <v>4729</v>
      </c>
      <c r="B3325" t="str">
        <f>"002600"</f>
        <v>002600</v>
      </c>
      <c r="C3325" t="s">
        <v>6992</v>
      </c>
      <c r="D3325" t="s">
        <v>313</v>
      </c>
      <c r="F3325">
        <v>1700782285</v>
      </c>
      <c r="G3325">
        <v>1748624607</v>
      </c>
      <c r="H3325">
        <v>1139680268</v>
      </c>
      <c r="I3325">
        <v>1126422120</v>
      </c>
      <c r="P3325">
        <v>877</v>
      </c>
      <c r="Q3325" t="s">
        <v>6993</v>
      </c>
    </row>
    <row r="3326" spans="1:17" x14ac:dyDescent="0.3">
      <c r="A3326" t="s">
        <v>4729</v>
      </c>
      <c r="B3326" t="str">
        <f>"002601"</f>
        <v>002601</v>
      </c>
      <c r="C3326" t="s">
        <v>6994</v>
      </c>
      <c r="D3326" t="s">
        <v>1474</v>
      </c>
      <c r="F3326">
        <v>1010306887</v>
      </c>
      <c r="G3326">
        <v>538757313</v>
      </c>
      <c r="H3326">
        <v>416280062</v>
      </c>
      <c r="I3326">
        <v>399479867</v>
      </c>
      <c r="P3326">
        <v>1262</v>
      </c>
      <c r="Q3326" t="s">
        <v>6995</v>
      </c>
    </row>
    <row r="3327" spans="1:17" x14ac:dyDescent="0.3">
      <c r="A3327" t="s">
        <v>4729</v>
      </c>
      <c r="B3327" t="str">
        <f>"002602"</f>
        <v>002602</v>
      </c>
      <c r="C3327" t="s">
        <v>6996</v>
      </c>
      <c r="D3327" t="s">
        <v>517</v>
      </c>
      <c r="F3327">
        <v>1966333275</v>
      </c>
      <c r="G3327">
        <v>1496481629</v>
      </c>
      <c r="H3327">
        <v>1330304591</v>
      </c>
      <c r="I3327">
        <v>221987436</v>
      </c>
      <c r="P3327">
        <v>718</v>
      </c>
      <c r="Q3327" t="s">
        <v>6997</v>
      </c>
    </row>
    <row r="3328" spans="1:17" x14ac:dyDescent="0.3">
      <c r="A3328" t="s">
        <v>4729</v>
      </c>
      <c r="B3328" t="str">
        <f>"002603"</f>
        <v>002603</v>
      </c>
      <c r="C3328" t="s">
        <v>6998</v>
      </c>
      <c r="D3328" t="s">
        <v>188</v>
      </c>
      <c r="F3328">
        <v>792162705</v>
      </c>
      <c r="G3328">
        <v>654389038</v>
      </c>
      <c r="H3328">
        <v>390745752</v>
      </c>
      <c r="I3328">
        <v>316709728</v>
      </c>
      <c r="P3328">
        <v>835</v>
      </c>
      <c r="Q3328" t="s">
        <v>6999</v>
      </c>
    </row>
    <row r="3329" spans="1:17" x14ac:dyDescent="0.3">
      <c r="A3329" t="s">
        <v>4729</v>
      </c>
      <c r="B3329" t="str">
        <f>"002604"</f>
        <v>002604</v>
      </c>
      <c r="C3329" t="s">
        <v>7000</v>
      </c>
      <c r="H3329">
        <v>16289452</v>
      </c>
      <c r="I3329">
        <v>25670376</v>
      </c>
      <c r="P3329">
        <v>49</v>
      </c>
      <c r="Q3329" t="s">
        <v>7001</v>
      </c>
    </row>
    <row r="3330" spans="1:17" x14ac:dyDescent="0.3">
      <c r="A3330" t="s">
        <v>4729</v>
      </c>
      <c r="B3330" t="str">
        <f>"002605"</f>
        <v>002605</v>
      </c>
      <c r="C3330" t="s">
        <v>7002</v>
      </c>
      <c r="D3330" t="s">
        <v>517</v>
      </c>
      <c r="F3330">
        <v>218660149</v>
      </c>
      <c r="G3330">
        <v>137661494</v>
      </c>
      <c r="H3330">
        <v>110099846</v>
      </c>
      <c r="I3330">
        <v>51649505</v>
      </c>
      <c r="P3330">
        <v>432</v>
      </c>
      <c r="Q3330" t="s">
        <v>7003</v>
      </c>
    </row>
    <row r="3331" spans="1:17" x14ac:dyDescent="0.3">
      <c r="A3331" t="s">
        <v>4729</v>
      </c>
      <c r="B3331" t="str">
        <f>"002606"</f>
        <v>002606</v>
      </c>
      <c r="C3331" t="s">
        <v>7004</v>
      </c>
      <c r="D3331" t="s">
        <v>1164</v>
      </c>
      <c r="F3331">
        <v>56232846</v>
      </c>
      <c r="G3331">
        <v>45983195</v>
      </c>
      <c r="H3331">
        <v>47584415</v>
      </c>
      <c r="I3331">
        <v>31100009</v>
      </c>
      <c r="P3331">
        <v>160</v>
      </c>
      <c r="Q3331" t="s">
        <v>7005</v>
      </c>
    </row>
    <row r="3332" spans="1:17" x14ac:dyDescent="0.3">
      <c r="A3332" t="s">
        <v>4729</v>
      </c>
      <c r="B3332" t="str">
        <f>"002607"</f>
        <v>002607</v>
      </c>
      <c r="C3332" t="s">
        <v>7006</v>
      </c>
      <c r="D3332" t="s">
        <v>1336</v>
      </c>
      <c r="F3332">
        <v>901469539</v>
      </c>
      <c r="G3332">
        <v>1050697334</v>
      </c>
      <c r="H3332">
        <v>697940218</v>
      </c>
      <c r="I3332">
        <v>454784361</v>
      </c>
      <c r="P3332">
        <v>1791</v>
      </c>
      <c r="Q3332" t="s">
        <v>7007</v>
      </c>
    </row>
    <row r="3333" spans="1:17" x14ac:dyDescent="0.3">
      <c r="A3333" t="s">
        <v>4729</v>
      </c>
      <c r="B3333" t="str">
        <f>"002608"</f>
        <v>002608</v>
      </c>
      <c r="C3333" t="s">
        <v>7008</v>
      </c>
      <c r="D3333" t="s">
        <v>41</v>
      </c>
      <c r="F3333">
        <v>3375692</v>
      </c>
      <c r="G3333">
        <v>1895949</v>
      </c>
      <c r="P3333">
        <v>138</v>
      </c>
      <c r="Q3333" t="s">
        <v>7009</v>
      </c>
    </row>
    <row r="3334" spans="1:17" x14ac:dyDescent="0.3">
      <c r="A3334" t="s">
        <v>4729</v>
      </c>
      <c r="B3334" t="str">
        <f>"002609"</f>
        <v>002609</v>
      </c>
      <c r="C3334" t="s">
        <v>7010</v>
      </c>
      <c r="D3334" t="s">
        <v>316</v>
      </c>
      <c r="F3334">
        <v>114938866</v>
      </c>
      <c r="G3334">
        <v>97188712</v>
      </c>
      <c r="H3334">
        <v>78046985</v>
      </c>
      <c r="I3334">
        <v>55963650</v>
      </c>
      <c r="P3334">
        <v>212</v>
      </c>
      <c r="Q3334" t="s">
        <v>7011</v>
      </c>
    </row>
    <row r="3335" spans="1:17" x14ac:dyDescent="0.3">
      <c r="A3335" t="s">
        <v>4729</v>
      </c>
      <c r="B3335" t="str">
        <f>"002610"</f>
        <v>002610</v>
      </c>
      <c r="C3335" t="s">
        <v>7012</v>
      </c>
      <c r="D3335" t="s">
        <v>478</v>
      </c>
      <c r="F3335">
        <v>39046787</v>
      </c>
      <c r="G3335">
        <v>37662301</v>
      </c>
      <c r="H3335">
        <v>40773968</v>
      </c>
      <c r="I3335">
        <v>41918613</v>
      </c>
      <c r="P3335">
        <v>301</v>
      </c>
      <c r="Q3335" t="s">
        <v>7013</v>
      </c>
    </row>
    <row r="3336" spans="1:17" x14ac:dyDescent="0.3">
      <c r="A3336" t="s">
        <v>4729</v>
      </c>
      <c r="B3336" t="str">
        <f>"002611"</f>
        <v>002611</v>
      </c>
      <c r="C3336" t="s">
        <v>7014</v>
      </c>
      <c r="D3336" t="s">
        <v>3415</v>
      </c>
      <c r="F3336">
        <v>99557565</v>
      </c>
      <c r="G3336">
        <v>82082275</v>
      </c>
      <c r="H3336">
        <v>156654915</v>
      </c>
      <c r="I3336">
        <v>218476516</v>
      </c>
      <c r="P3336">
        <v>208</v>
      </c>
      <c r="Q3336" t="s">
        <v>7015</v>
      </c>
    </row>
    <row r="3337" spans="1:17" x14ac:dyDescent="0.3">
      <c r="A3337" t="s">
        <v>4729</v>
      </c>
      <c r="B3337" t="str">
        <f>"002612"</f>
        <v>002612</v>
      </c>
      <c r="C3337" t="s">
        <v>7016</v>
      </c>
      <c r="D3337" t="s">
        <v>255</v>
      </c>
      <c r="F3337">
        <v>112549449</v>
      </c>
      <c r="G3337">
        <v>93137288</v>
      </c>
      <c r="H3337">
        <v>103430790</v>
      </c>
      <c r="I3337">
        <v>82676489</v>
      </c>
      <c r="P3337">
        <v>370</v>
      </c>
      <c r="Q3337" t="s">
        <v>7017</v>
      </c>
    </row>
    <row r="3338" spans="1:17" x14ac:dyDescent="0.3">
      <c r="A3338" t="s">
        <v>4729</v>
      </c>
      <c r="B3338" t="str">
        <f>"002613"</f>
        <v>002613</v>
      </c>
      <c r="C3338" t="s">
        <v>7018</v>
      </c>
      <c r="D3338" t="s">
        <v>666</v>
      </c>
      <c r="F3338">
        <v>106693309</v>
      </c>
      <c r="G3338">
        <v>64261380</v>
      </c>
      <c r="H3338">
        <v>65483661</v>
      </c>
      <c r="I3338">
        <v>72379278</v>
      </c>
      <c r="P3338">
        <v>90</v>
      </c>
      <c r="Q3338" t="s">
        <v>7019</v>
      </c>
    </row>
    <row r="3339" spans="1:17" x14ac:dyDescent="0.3">
      <c r="A3339" t="s">
        <v>4729</v>
      </c>
      <c r="B3339" t="str">
        <f>"002614"</f>
        <v>002614</v>
      </c>
      <c r="C3339" t="s">
        <v>7020</v>
      </c>
      <c r="D3339" t="s">
        <v>3042</v>
      </c>
      <c r="F3339">
        <v>289420454</v>
      </c>
      <c r="G3339">
        <v>268785485</v>
      </c>
      <c r="H3339">
        <v>226869196</v>
      </c>
      <c r="I3339">
        <v>183432601</v>
      </c>
      <c r="P3339">
        <v>525</v>
      </c>
      <c r="Q3339" t="s">
        <v>7021</v>
      </c>
    </row>
    <row r="3340" spans="1:17" x14ac:dyDescent="0.3">
      <c r="A3340" t="s">
        <v>4729</v>
      </c>
      <c r="B3340" t="str">
        <f>"002615"</f>
        <v>002615</v>
      </c>
      <c r="C3340" t="s">
        <v>7022</v>
      </c>
      <c r="D3340" t="s">
        <v>2445</v>
      </c>
      <c r="F3340">
        <v>104290752</v>
      </c>
      <c r="G3340">
        <v>81134127</v>
      </c>
      <c r="H3340">
        <v>67472610</v>
      </c>
      <c r="I3340">
        <v>62449591</v>
      </c>
      <c r="P3340">
        <v>178</v>
      </c>
      <c r="Q3340" t="s">
        <v>7023</v>
      </c>
    </row>
    <row r="3341" spans="1:17" x14ac:dyDescent="0.3">
      <c r="A3341" t="s">
        <v>4729</v>
      </c>
      <c r="B3341" t="str">
        <f>"002616"</f>
        <v>002616</v>
      </c>
      <c r="C3341" t="s">
        <v>7024</v>
      </c>
      <c r="D3341" t="s">
        <v>7025</v>
      </c>
      <c r="F3341">
        <v>1987809</v>
      </c>
      <c r="G3341">
        <v>19284784</v>
      </c>
      <c r="H3341">
        <v>20377275</v>
      </c>
      <c r="I3341">
        <v>16120683</v>
      </c>
      <c r="P3341">
        <v>202</v>
      </c>
      <c r="Q3341" t="s">
        <v>7026</v>
      </c>
    </row>
    <row r="3342" spans="1:17" x14ac:dyDescent="0.3">
      <c r="A3342" t="s">
        <v>4729</v>
      </c>
      <c r="B3342" t="str">
        <f>"002617"</f>
        <v>002617</v>
      </c>
      <c r="C3342" t="s">
        <v>7027</v>
      </c>
      <c r="D3342" t="s">
        <v>86</v>
      </c>
      <c r="F3342">
        <v>80889200</v>
      </c>
      <c r="G3342">
        <v>43684173</v>
      </c>
      <c r="H3342">
        <v>28876080</v>
      </c>
      <c r="I3342">
        <v>35943057</v>
      </c>
      <c r="P3342">
        <v>321</v>
      </c>
      <c r="Q3342" t="s">
        <v>7028</v>
      </c>
    </row>
    <row r="3343" spans="1:17" x14ac:dyDescent="0.3">
      <c r="A3343" t="s">
        <v>4729</v>
      </c>
      <c r="B3343" t="str">
        <f>"002618"</f>
        <v>002618</v>
      </c>
      <c r="C3343" t="s">
        <v>7029</v>
      </c>
      <c r="D3343" t="s">
        <v>425</v>
      </c>
      <c r="F3343">
        <v>22459390</v>
      </c>
      <c r="G3343">
        <v>21857628</v>
      </c>
      <c r="H3343">
        <v>34569118</v>
      </c>
      <c r="I3343">
        <v>21241712</v>
      </c>
      <c r="P3343">
        <v>135</v>
      </c>
      <c r="Q3343" t="s">
        <v>7030</v>
      </c>
    </row>
    <row r="3344" spans="1:17" x14ac:dyDescent="0.3">
      <c r="A3344" t="s">
        <v>4729</v>
      </c>
      <c r="B3344" t="str">
        <f>"002619"</f>
        <v>002619</v>
      </c>
      <c r="C3344" t="s">
        <v>7031</v>
      </c>
      <c r="D3344" t="s">
        <v>517</v>
      </c>
      <c r="G3344">
        <v>82312239</v>
      </c>
      <c r="H3344">
        <v>73698914</v>
      </c>
      <c r="I3344">
        <v>63278786</v>
      </c>
      <c r="P3344">
        <v>124</v>
      </c>
      <c r="Q3344" t="s">
        <v>7032</v>
      </c>
    </row>
    <row r="3345" spans="1:17" x14ac:dyDescent="0.3">
      <c r="A3345" t="s">
        <v>4729</v>
      </c>
      <c r="B3345" t="str">
        <f>"002620"</f>
        <v>002620</v>
      </c>
      <c r="C3345" t="s">
        <v>7033</v>
      </c>
      <c r="D3345" t="s">
        <v>450</v>
      </c>
      <c r="F3345">
        <v>114043792</v>
      </c>
      <c r="G3345">
        <v>122691311</v>
      </c>
      <c r="H3345">
        <v>124663792</v>
      </c>
      <c r="I3345">
        <v>106357483</v>
      </c>
      <c r="P3345">
        <v>90</v>
      </c>
      <c r="Q3345" t="s">
        <v>7034</v>
      </c>
    </row>
    <row r="3346" spans="1:17" x14ac:dyDescent="0.3">
      <c r="A3346" t="s">
        <v>4729</v>
      </c>
      <c r="B3346" t="str">
        <f>"002621"</f>
        <v>002621</v>
      </c>
      <c r="C3346" t="s">
        <v>7035</v>
      </c>
      <c r="D3346" t="s">
        <v>1336</v>
      </c>
      <c r="F3346">
        <v>0</v>
      </c>
      <c r="G3346">
        <v>4788143</v>
      </c>
      <c r="H3346">
        <v>19278117</v>
      </c>
      <c r="I3346">
        <v>7629736</v>
      </c>
      <c r="P3346">
        <v>143</v>
      </c>
      <c r="Q3346" t="s">
        <v>7036</v>
      </c>
    </row>
    <row r="3347" spans="1:17" x14ac:dyDescent="0.3">
      <c r="A3347" t="s">
        <v>4729</v>
      </c>
      <c r="B3347" t="str">
        <f>"002622"</f>
        <v>002622</v>
      </c>
      <c r="C3347" t="s">
        <v>7037</v>
      </c>
      <c r="D3347" t="s">
        <v>210</v>
      </c>
      <c r="F3347">
        <v>9851754</v>
      </c>
      <c r="G3347">
        <v>7996687</v>
      </c>
      <c r="H3347">
        <v>9247013</v>
      </c>
      <c r="I3347">
        <v>10377383</v>
      </c>
      <c r="P3347">
        <v>120</v>
      </c>
      <c r="Q3347" t="s">
        <v>7038</v>
      </c>
    </row>
    <row r="3348" spans="1:17" x14ac:dyDescent="0.3">
      <c r="A3348" t="s">
        <v>4729</v>
      </c>
      <c r="B3348" t="str">
        <f>"002623"</f>
        <v>002623</v>
      </c>
      <c r="C3348" t="s">
        <v>7039</v>
      </c>
      <c r="D3348" t="s">
        <v>478</v>
      </c>
      <c r="F3348">
        <v>70249533</v>
      </c>
      <c r="G3348">
        <v>51683084</v>
      </c>
      <c r="H3348">
        <v>35124788</v>
      </c>
      <c r="I3348">
        <v>36660689</v>
      </c>
      <c r="P3348">
        <v>172</v>
      </c>
      <c r="Q3348" t="s">
        <v>7040</v>
      </c>
    </row>
    <row r="3349" spans="1:17" x14ac:dyDescent="0.3">
      <c r="A3349" t="s">
        <v>4729</v>
      </c>
      <c r="B3349" t="str">
        <f>"002624"</f>
        <v>002624</v>
      </c>
      <c r="C3349" t="s">
        <v>7041</v>
      </c>
      <c r="D3349" t="s">
        <v>517</v>
      </c>
      <c r="F3349">
        <v>2211245383</v>
      </c>
      <c r="G3349">
        <v>1589354519</v>
      </c>
      <c r="H3349">
        <v>1504470846</v>
      </c>
      <c r="I3349">
        <v>1413111222</v>
      </c>
      <c r="P3349">
        <v>2397</v>
      </c>
      <c r="Q3349" t="s">
        <v>7042</v>
      </c>
    </row>
    <row r="3350" spans="1:17" x14ac:dyDescent="0.3">
      <c r="A3350" t="s">
        <v>4729</v>
      </c>
      <c r="B3350" t="str">
        <f>"002625"</f>
        <v>002625</v>
      </c>
      <c r="C3350" t="s">
        <v>7043</v>
      </c>
      <c r="D3350" t="s">
        <v>98</v>
      </c>
      <c r="F3350">
        <v>65101708</v>
      </c>
      <c r="G3350">
        <v>70958361</v>
      </c>
      <c r="H3350">
        <v>62213823</v>
      </c>
      <c r="I3350">
        <v>78223979</v>
      </c>
      <c r="P3350">
        <v>259</v>
      </c>
      <c r="Q3350" t="s">
        <v>7044</v>
      </c>
    </row>
    <row r="3351" spans="1:17" x14ac:dyDescent="0.3">
      <c r="A3351" t="s">
        <v>4729</v>
      </c>
      <c r="B3351" t="str">
        <f>"002626"</f>
        <v>002626</v>
      </c>
      <c r="C3351" t="s">
        <v>7045</v>
      </c>
      <c r="D3351" t="s">
        <v>838</v>
      </c>
      <c r="F3351">
        <v>82946896</v>
      </c>
      <c r="G3351">
        <v>73710013</v>
      </c>
      <c r="H3351">
        <v>65809806</v>
      </c>
      <c r="I3351">
        <v>69075844</v>
      </c>
      <c r="P3351">
        <v>1113</v>
      </c>
      <c r="Q3351" t="s">
        <v>7046</v>
      </c>
    </row>
    <row r="3352" spans="1:17" x14ac:dyDescent="0.3">
      <c r="A3352" t="s">
        <v>4729</v>
      </c>
      <c r="B3352" t="str">
        <f>"002627"</f>
        <v>002627</v>
      </c>
      <c r="C3352" t="s">
        <v>7047</v>
      </c>
      <c r="D3352" t="s">
        <v>1133</v>
      </c>
      <c r="F3352">
        <v>0</v>
      </c>
      <c r="G3352">
        <v>0</v>
      </c>
      <c r="P3352">
        <v>99</v>
      </c>
      <c r="Q3352" t="s">
        <v>7048</v>
      </c>
    </row>
    <row r="3353" spans="1:17" x14ac:dyDescent="0.3">
      <c r="A3353" t="s">
        <v>4729</v>
      </c>
      <c r="B3353" t="str">
        <f>"002628"</f>
        <v>002628</v>
      </c>
      <c r="C3353" t="s">
        <v>7049</v>
      </c>
      <c r="D3353" t="s">
        <v>101</v>
      </c>
      <c r="F3353">
        <v>5817548</v>
      </c>
      <c r="G3353">
        <v>3985732</v>
      </c>
      <c r="H3353">
        <v>8938573</v>
      </c>
      <c r="P3353">
        <v>91</v>
      </c>
      <c r="Q3353" t="s">
        <v>7050</v>
      </c>
    </row>
    <row r="3354" spans="1:17" x14ac:dyDescent="0.3">
      <c r="A3354" t="s">
        <v>4729</v>
      </c>
      <c r="B3354" t="str">
        <f>"002629"</f>
        <v>002629</v>
      </c>
      <c r="C3354" t="s">
        <v>7051</v>
      </c>
      <c r="D3354" t="s">
        <v>1762</v>
      </c>
      <c r="F3354">
        <v>1670284</v>
      </c>
      <c r="G3354">
        <v>2450707</v>
      </c>
      <c r="H3354">
        <v>1539116</v>
      </c>
      <c r="I3354">
        <v>2711144</v>
      </c>
      <c r="P3354">
        <v>60</v>
      </c>
      <c r="Q3354" t="s">
        <v>7052</v>
      </c>
    </row>
    <row r="3355" spans="1:17" x14ac:dyDescent="0.3">
      <c r="A3355" t="s">
        <v>4729</v>
      </c>
      <c r="B3355" t="str">
        <f>"002630"</f>
        <v>002630</v>
      </c>
      <c r="C3355" t="s">
        <v>7053</v>
      </c>
      <c r="D3355" t="s">
        <v>470</v>
      </c>
      <c r="F3355">
        <v>40344201</v>
      </c>
      <c r="G3355">
        <v>76843923</v>
      </c>
      <c r="H3355">
        <v>103932416</v>
      </c>
      <c r="I3355">
        <v>79803129</v>
      </c>
      <c r="P3355">
        <v>109</v>
      </c>
      <c r="Q3355" t="s">
        <v>7054</v>
      </c>
    </row>
    <row r="3356" spans="1:17" x14ac:dyDescent="0.3">
      <c r="A3356" t="s">
        <v>4729</v>
      </c>
      <c r="B3356" t="str">
        <f>"002631"</f>
        <v>002631</v>
      </c>
      <c r="C3356" t="s">
        <v>7055</v>
      </c>
      <c r="D3356" t="s">
        <v>2664</v>
      </c>
      <c r="F3356">
        <v>34962823</v>
      </c>
      <c r="G3356">
        <v>30716943</v>
      </c>
      <c r="H3356">
        <v>28534897</v>
      </c>
      <c r="I3356">
        <v>20315489</v>
      </c>
      <c r="P3356">
        <v>156</v>
      </c>
      <c r="Q3356" t="s">
        <v>7056</v>
      </c>
    </row>
    <row r="3357" spans="1:17" x14ac:dyDescent="0.3">
      <c r="A3357" t="s">
        <v>4729</v>
      </c>
      <c r="B3357" t="str">
        <f>"002632"</f>
        <v>002632</v>
      </c>
      <c r="C3357" t="s">
        <v>7057</v>
      </c>
      <c r="D3357" t="s">
        <v>324</v>
      </c>
      <c r="F3357">
        <v>70762769</v>
      </c>
      <c r="G3357">
        <v>52393358</v>
      </c>
      <c r="H3357">
        <v>61385176</v>
      </c>
      <c r="I3357">
        <v>42993030</v>
      </c>
      <c r="P3357">
        <v>144</v>
      </c>
      <c r="Q3357" t="s">
        <v>7058</v>
      </c>
    </row>
    <row r="3358" spans="1:17" x14ac:dyDescent="0.3">
      <c r="A3358" t="s">
        <v>4729</v>
      </c>
      <c r="B3358" t="str">
        <f>"002633"</f>
        <v>002633</v>
      </c>
      <c r="C3358" t="s">
        <v>7059</v>
      </c>
      <c r="D3358" t="s">
        <v>274</v>
      </c>
      <c r="F3358">
        <v>10172119</v>
      </c>
      <c r="G3358">
        <v>12088465</v>
      </c>
      <c r="H3358">
        <v>9042738</v>
      </c>
      <c r="I3358">
        <v>8784780</v>
      </c>
      <c r="P3358">
        <v>44</v>
      </c>
      <c r="Q3358" t="s">
        <v>7060</v>
      </c>
    </row>
    <row r="3359" spans="1:17" x14ac:dyDescent="0.3">
      <c r="A3359" t="s">
        <v>4729</v>
      </c>
      <c r="B3359" t="str">
        <f>"002634"</f>
        <v>002634</v>
      </c>
      <c r="C3359" t="s">
        <v>7061</v>
      </c>
      <c r="D3359" t="s">
        <v>330</v>
      </c>
      <c r="F3359">
        <v>19640261</v>
      </c>
      <c r="G3359">
        <v>19275844</v>
      </c>
      <c r="H3359">
        <v>17308889</v>
      </c>
      <c r="I3359">
        <v>14045401</v>
      </c>
      <c r="P3359">
        <v>88</v>
      </c>
      <c r="Q3359" t="s">
        <v>7062</v>
      </c>
    </row>
    <row r="3360" spans="1:17" x14ac:dyDescent="0.3">
      <c r="A3360" t="s">
        <v>4729</v>
      </c>
      <c r="B3360" t="str">
        <f>"002635"</f>
        <v>002635</v>
      </c>
      <c r="C3360" t="s">
        <v>7063</v>
      </c>
      <c r="D3360" t="s">
        <v>313</v>
      </c>
      <c r="F3360">
        <v>289351251</v>
      </c>
      <c r="G3360">
        <v>227123318</v>
      </c>
      <c r="H3360">
        <v>214673341</v>
      </c>
      <c r="I3360">
        <v>201878451</v>
      </c>
      <c r="P3360">
        <v>513</v>
      </c>
      <c r="Q3360" t="s">
        <v>7064</v>
      </c>
    </row>
    <row r="3361" spans="1:17" x14ac:dyDescent="0.3">
      <c r="A3361" t="s">
        <v>4729</v>
      </c>
      <c r="B3361" t="str">
        <f>"002636"</f>
        <v>002636</v>
      </c>
      <c r="C3361" t="s">
        <v>7065</v>
      </c>
      <c r="D3361" t="s">
        <v>425</v>
      </c>
      <c r="F3361">
        <v>243879845</v>
      </c>
      <c r="G3361">
        <v>150833251</v>
      </c>
      <c r="H3361">
        <v>141967659</v>
      </c>
      <c r="I3361">
        <v>161044881</v>
      </c>
      <c r="P3361">
        <v>308</v>
      </c>
      <c r="Q3361" t="s">
        <v>7066</v>
      </c>
    </row>
    <row r="3362" spans="1:17" x14ac:dyDescent="0.3">
      <c r="A3362" t="s">
        <v>4729</v>
      </c>
      <c r="B3362" t="str">
        <f>"002637"</f>
        <v>002637</v>
      </c>
      <c r="C3362" t="s">
        <v>7067</v>
      </c>
      <c r="D3362" t="s">
        <v>386</v>
      </c>
      <c r="F3362">
        <v>139899035</v>
      </c>
      <c r="G3362">
        <v>137056623</v>
      </c>
      <c r="H3362">
        <v>115566240</v>
      </c>
      <c r="I3362">
        <v>101690702</v>
      </c>
      <c r="P3362">
        <v>145</v>
      </c>
      <c r="Q3362" t="s">
        <v>7068</v>
      </c>
    </row>
    <row r="3363" spans="1:17" x14ac:dyDescent="0.3">
      <c r="A3363" t="s">
        <v>4729</v>
      </c>
      <c r="B3363" t="str">
        <f>"002638"</f>
        <v>002638</v>
      </c>
      <c r="C3363" t="s">
        <v>7069</v>
      </c>
      <c r="D3363" t="s">
        <v>1336</v>
      </c>
      <c r="F3363">
        <v>18499339</v>
      </c>
      <c r="G3363">
        <v>11881308</v>
      </c>
      <c r="H3363">
        <v>18753954</v>
      </c>
      <c r="I3363">
        <v>9463843</v>
      </c>
      <c r="P3363">
        <v>83</v>
      </c>
      <c r="Q3363" t="s">
        <v>7070</v>
      </c>
    </row>
    <row r="3364" spans="1:17" x14ac:dyDescent="0.3">
      <c r="A3364" t="s">
        <v>4729</v>
      </c>
      <c r="B3364" t="str">
        <f>"002639"</f>
        <v>002639</v>
      </c>
      <c r="C3364" t="s">
        <v>7071</v>
      </c>
      <c r="D3364" t="s">
        <v>988</v>
      </c>
      <c r="F3364">
        <v>91163419</v>
      </c>
      <c r="G3364">
        <v>89941969</v>
      </c>
      <c r="H3364">
        <v>83663592</v>
      </c>
      <c r="I3364">
        <v>57785868</v>
      </c>
      <c r="P3364">
        <v>228</v>
      </c>
      <c r="Q3364" t="s">
        <v>7072</v>
      </c>
    </row>
    <row r="3365" spans="1:17" x14ac:dyDescent="0.3">
      <c r="A3365" t="s">
        <v>4729</v>
      </c>
      <c r="B3365" t="str">
        <f>"002640"</f>
        <v>002640</v>
      </c>
      <c r="C3365" t="s">
        <v>7073</v>
      </c>
      <c r="D3365" t="s">
        <v>2020</v>
      </c>
      <c r="F3365">
        <v>12705057</v>
      </c>
      <c r="G3365">
        <v>90145799</v>
      </c>
      <c r="H3365">
        <v>81400379</v>
      </c>
      <c r="I3365">
        <v>62534442</v>
      </c>
      <c r="P3365">
        <v>263</v>
      </c>
      <c r="Q3365" t="s">
        <v>7074</v>
      </c>
    </row>
    <row r="3366" spans="1:17" x14ac:dyDescent="0.3">
      <c r="A3366" t="s">
        <v>4729</v>
      </c>
      <c r="B3366" t="str">
        <f>"002641"</f>
        <v>002641</v>
      </c>
      <c r="C3366" t="s">
        <v>7075</v>
      </c>
      <c r="D3366" t="s">
        <v>3347</v>
      </c>
      <c r="F3366">
        <v>282488882</v>
      </c>
      <c r="G3366">
        <v>239150691</v>
      </c>
      <c r="H3366">
        <v>204188489</v>
      </c>
      <c r="I3366">
        <v>163229265</v>
      </c>
      <c r="P3366">
        <v>360</v>
      </c>
      <c r="Q3366" t="s">
        <v>7076</v>
      </c>
    </row>
    <row r="3367" spans="1:17" x14ac:dyDescent="0.3">
      <c r="A3367" t="s">
        <v>4729</v>
      </c>
      <c r="B3367" t="str">
        <f>"002642"</f>
        <v>002642</v>
      </c>
      <c r="C3367" t="s">
        <v>7077</v>
      </c>
      <c r="D3367" t="s">
        <v>316</v>
      </c>
      <c r="F3367">
        <v>80300010</v>
      </c>
      <c r="G3367">
        <v>113744494</v>
      </c>
      <c r="H3367">
        <v>134262884</v>
      </c>
      <c r="I3367">
        <v>199734369</v>
      </c>
      <c r="P3367">
        <v>221</v>
      </c>
      <c r="Q3367" t="s">
        <v>7078</v>
      </c>
    </row>
    <row r="3368" spans="1:17" x14ac:dyDescent="0.3">
      <c r="A3368" t="s">
        <v>4729</v>
      </c>
      <c r="B3368" t="str">
        <f>"002643"</f>
        <v>002643</v>
      </c>
      <c r="C3368" t="s">
        <v>7079</v>
      </c>
      <c r="D3368" t="s">
        <v>2408</v>
      </c>
      <c r="F3368">
        <v>295321547</v>
      </c>
      <c r="G3368">
        <v>249876194</v>
      </c>
      <c r="H3368">
        <v>219279470</v>
      </c>
      <c r="I3368">
        <v>193569411</v>
      </c>
      <c r="P3368">
        <v>387</v>
      </c>
      <c r="Q3368" t="s">
        <v>7080</v>
      </c>
    </row>
    <row r="3369" spans="1:17" x14ac:dyDescent="0.3">
      <c r="A3369" t="s">
        <v>4729</v>
      </c>
      <c r="B3369" t="str">
        <f>"002644"</f>
        <v>002644</v>
      </c>
      <c r="C3369" t="s">
        <v>7081</v>
      </c>
      <c r="D3369" t="s">
        <v>188</v>
      </c>
      <c r="F3369">
        <v>19357136</v>
      </c>
      <c r="G3369">
        <v>15382727</v>
      </c>
      <c r="H3369">
        <v>20645052</v>
      </c>
      <c r="I3369">
        <v>19517245</v>
      </c>
      <c r="P3369">
        <v>163</v>
      </c>
      <c r="Q3369" t="s">
        <v>7082</v>
      </c>
    </row>
    <row r="3370" spans="1:17" x14ac:dyDescent="0.3">
      <c r="A3370" t="s">
        <v>4729</v>
      </c>
      <c r="B3370" t="str">
        <f>"002645"</f>
        <v>002645</v>
      </c>
      <c r="C3370" t="s">
        <v>7083</v>
      </c>
      <c r="D3370" t="s">
        <v>1070</v>
      </c>
      <c r="F3370">
        <v>261340648</v>
      </c>
      <c r="G3370">
        <v>111847892</v>
      </c>
      <c r="H3370">
        <v>76705450</v>
      </c>
      <c r="I3370">
        <v>68622515</v>
      </c>
      <c r="P3370">
        <v>202</v>
      </c>
      <c r="Q3370" t="s">
        <v>7084</v>
      </c>
    </row>
    <row r="3371" spans="1:17" x14ac:dyDescent="0.3">
      <c r="A3371" t="s">
        <v>4729</v>
      </c>
      <c r="B3371" t="str">
        <f>"002646"</f>
        <v>002646</v>
      </c>
      <c r="C3371" t="s">
        <v>7085</v>
      </c>
      <c r="D3371" t="s">
        <v>458</v>
      </c>
      <c r="F3371">
        <v>13881779</v>
      </c>
      <c r="G3371">
        <v>15094910</v>
      </c>
      <c r="H3371">
        <v>18269006</v>
      </c>
      <c r="I3371">
        <v>16701305</v>
      </c>
      <c r="P3371">
        <v>254</v>
      </c>
      <c r="Q3371" t="s">
        <v>7086</v>
      </c>
    </row>
    <row r="3372" spans="1:17" x14ac:dyDescent="0.3">
      <c r="A3372" t="s">
        <v>4729</v>
      </c>
      <c r="B3372" t="str">
        <f>"002647"</f>
        <v>002647</v>
      </c>
      <c r="C3372" t="s">
        <v>7087</v>
      </c>
      <c r="D3372" t="s">
        <v>6424</v>
      </c>
      <c r="F3372">
        <v>73479127</v>
      </c>
      <c r="G3372">
        <v>43411989</v>
      </c>
      <c r="H3372">
        <v>47385240</v>
      </c>
      <c r="I3372">
        <v>34970559</v>
      </c>
      <c r="P3372">
        <v>180</v>
      </c>
      <c r="Q3372" t="s">
        <v>7088</v>
      </c>
    </row>
    <row r="3373" spans="1:17" x14ac:dyDescent="0.3">
      <c r="A3373" t="s">
        <v>4729</v>
      </c>
      <c r="B3373" t="str">
        <f>"002648"</f>
        <v>002648</v>
      </c>
      <c r="C3373" t="s">
        <v>7089</v>
      </c>
      <c r="D3373" t="s">
        <v>386</v>
      </c>
      <c r="F3373">
        <v>1090819158</v>
      </c>
      <c r="G3373">
        <v>480728917</v>
      </c>
      <c r="H3373">
        <v>482476336</v>
      </c>
      <c r="I3373">
        <v>439739813</v>
      </c>
      <c r="P3373">
        <v>526</v>
      </c>
      <c r="Q3373" t="s">
        <v>7090</v>
      </c>
    </row>
    <row r="3374" spans="1:17" x14ac:dyDescent="0.3">
      <c r="A3374" t="s">
        <v>4729</v>
      </c>
      <c r="B3374" t="str">
        <f>"002649"</f>
        <v>002649</v>
      </c>
      <c r="C3374" t="s">
        <v>7091</v>
      </c>
      <c r="D3374" t="s">
        <v>316</v>
      </c>
      <c r="F3374">
        <v>265320056</v>
      </c>
      <c r="G3374">
        <v>206408130</v>
      </c>
      <c r="H3374">
        <v>183529738</v>
      </c>
      <c r="I3374">
        <v>156446560</v>
      </c>
      <c r="P3374">
        <v>275</v>
      </c>
      <c r="Q3374" t="s">
        <v>7092</v>
      </c>
    </row>
    <row r="3375" spans="1:17" x14ac:dyDescent="0.3">
      <c r="A3375" t="s">
        <v>4729</v>
      </c>
      <c r="B3375" t="str">
        <f>"002650"</f>
        <v>002650</v>
      </c>
      <c r="C3375" t="s">
        <v>7093</v>
      </c>
      <c r="D3375" t="s">
        <v>433</v>
      </c>
      <c r="F3375">
        <v>26877340</v>
      </c>
      <c r="G3375">
        <v>30264207</v>
      </c>
      <c r="H3375">
        <v>28476765</v>
      </c>
      <c r="I3375">
        <v>26202168</v>
      </c>
      <c r="P3375">
        <v>207</v>
      </c>
      <c r="Q3375" t="s">
        <v>7094</v>
      </c>
    </row>
    <row r="3376" spans="1:17" x14ac:dyDescent="0.3">
      <c r="A3376" t="s">
        <v>4729</v>
      </c>
      <c r="B3376" t="str">
        <f>"002651"</f>
        <v>002651</v>
      </c>
      <c r="C3376" t="s">
        <v>7095</v>
      </c>
      <c r="D3376" t="s">
        <v>395</v>
      </c>
      <c r="F3376">
        <v>44115085</v>
      </c>
      <c r="G3376">
        <v>29283779</v>
      </c>
      <c r="H3376">
        <v>15573139</v>
      </c>
      <c r="I3376">
        <v>14436894</v>
      </c>
      <c r="P3376">
        <v>121</v>
      </c>
      <c r="Q3376" t="s">
        <v>7096</v>
      </c>
    </row>
    <row r="3377" spans="1:17" x14ac:dyDescent="0.3">
      <c r="A3377" t="s">
        <v>4729</v>
      </c>
      <c r="B3377" t="str">
        <f>"002652"</f>
        <v>002652</v>
      </c>
      <c r="C3377" t="s">
        <v>7097</v>
      </c>
      <c r="D3377" t="s">
        <v>722</v>
      </c>
      <c r="F3377">
        <v>0</v>
      </c>
      <c r="G3377">
        <v>64534737</v>
      </c>
      <c r="H3377">
        <v>76913870</v>
      </c>
      <c r="I3377">
        <v>72883144</v>
      </c>
      <c r="P3377">
        <v>58</v>
      </c>
      <c r="Q3377" t="s">
        <v>7098</v>
      </c>
    </row>
    <row r="3378" spans="1:17" x14ac:dyDescent="0.3">
      <c r="A3378" t="s">
        <v>4729</v>
      </c>
      <c r="B3378" t="str">
        <f>"002653"</f>
        <v>002653</v>
      </c>
      <c r="C3378" t="s">
        <v>7099</v>
      </c>
      <c r="D3378" t="s">
        <v>143</v>
      </c>
      <c r="F3378">
        <v>434129863</v>
      </c>
      <c r="G3378">
        <v>405532248</v>
      </c>
      <c r="H3378">
        <v>235422216</v>
      </c>
      <c r="I3378">
        <v>204223626</v>
      </c>
      <c r="P3378">
        <v>549</v>
      </c>
      <c r="Q3378" t="s">
        <v>7100</v>
      </c>
    </row>
    <row r="3379" spans="1:17" x14ac:dyDescent="0.3">
      <c r="A3379" t="s">
        <v>4729</v>
      </c>
      <c r="B3379" t="str">
        <f>"002654"</f>
        <v>002654</v>
      </c>
      <c r="C3379" t="s">
        <v>7101</v>
      </c>
      <c r="D3379" t="s">
        <v>803</v>
      </c>
      <c r="F3379">
        <v>123868308</v>
      </c>
      <c r="G3379">
        <v>114619845</v>
      </c>
      <c r="H3379">
        <v>116884768</v>
      </c>
      <c r="I3379">
        <v>160046661</v>
      </c>
      <c r="P3379">
        <v>124</v>
      </c>
      <c r="Q3379" t="s">
        <v>7102</v>
      </c>
    </row>
    <row r="3380" spans="1:17" x14ac:dyDescent="0.3">
      <c r="A3380" t="s">
        <v>4729</v>
      </c>
      <c r="B3380" t="str">
        <f>"002655"</f>
        <v>002655</v>
      </c>
      <c r="C3380" t="s">
        <v>7103</v>
      </c>
      <c r="D3380" t="s">
        <v>313</v>
      </c>
      <c r="F3380">
        <v>63341608</v>
      </c>
      <c r="G3380">
        <v>58097615</v>
      </c>
      <c r="H3380">
        <v>65987396</v>
      </c>
      <c r="I3380">
        <v>63221572</v>
      </c>
      <c r="P3380">
        <v>230</v>
      </c>
      <c r="Q3380" t="s">
        <v>7104</v>
      </c>
    </row>
    <row r="3381" spans="1:17" x14ac:dyDescent="0.3">
      <c r="A3381" t="s">
        <v>4729</v>
      </c>
      <c r="B3381" t="str">
        <f>"002656"</f>
        <v>002656</v>
      </c>
      <c r="C3381" t="s">
        <v>7105</v>
      </c>
      <c r="D3381" t="s">
        <v>255</v>
      </c>
      <c r="F3381">
        <v>6736795</v>
      </c>
      <c r="G3381">
        <v>24325798</v>
      </c>
      <c r="H3381">
        <v>55998600</v>
      </c>
      <c r="I3381">
        <v>50800048</v>
      </c>
      <c r="P3381">
        <v>62</v>
      </c>
      <c r="Q3381" t="s">
        <v>7106</v>
      </c>
    </row>
    <row r="3382" spans="1:17" x14ac:dyDescent="0.3">
      <c r="A3382" t="s">
        <v>4729</v>
      </c>
      <c r="B3382" t="str">
        <f>"002657"</f>
        <v>002657</v>
      </c>
      <c r="C3382" t="s">
        <v>7107</v>
      </c>
      <c r="D3382" t="s">
        <v>316</v>
      </c>
      <c r="F3382">
        <v>190216711</v>
      </c>
      <c r="G3382">
        <v>134206201</v>
      </c>
      <c r="H3382">
        <v>127739421</v>
      </c>
      <c r="I3382">
        <v>137805966</v>
      </c>
      <c r="P3382">
        <v>154</v>
      </c>
      <c r="Q3382" t="s">
        <v>7108</v>
      </c>
    </row>
    <row r="3383" spans="1:17" x14ac:dyDescent="0.3">
      <c r="A3383" t="s">
        <v>4729</v>
      </c>
      <c r="B3383" t="str">
        <f>"002658"</f>
        <v>002658</v>
      </c>
      <c r="C3383" t="s">
        <v>7109</v>
      </c>
      <c r="D3383" t="s">
        <v>1070</v>
      </c>
      <c r="F3383">
        <v>103026326</v>
      </c>
      <c r="G3383">
        <v>68486719</v>
      </c>
      <c r="H3383">
        <v>100014468</v>
      </c>
      <c r="I3383">
        <v>90070993</v>
      </c>
      <c r="P3383">
        <v>231</v>
      </c>
      <c r="Q3383" t="s">
        <v>7110</v>
      </c>
    </row>
    <row r="3384" spans="1:17" x14ac:dyDescent="0.3">
      <c r="A3384" t="s">
        <v>4729</v>
      </c>
      <c r="B3384" t="str">
        <f>"002659"</f>
        <v>002659</v>
      </c>
      <c r="C3384" t="s">
        <v>7111</v>
      </c>
      <c r="D3384" t="s">
        <v>1781</v>
      </c>
      <c r="F3384">
        <v>0</v>
      </c>
      <c r="G3384">
        <v>0</v>
      </c>
      <c r="P3384">
        <v>96</v>
      </c>
      <c r="Q3384" t="s">
        <v>7112</v>
      </c>
    </row>
    <row r="3385" spans="1:17" x14ac:dyDescent="0.3">
      <c r="A3385" t="s">
        <v>4729</v>
      </c>
      <c r="B3385" t="str">
        <f>"002660"</f>
        <v>002660</v>
      </c>
      <c r="C3385" t="s">
        <v>7113</v>
      </c>
      <c r="D3385" t="s">
        <v>313</v>
      </c>
      <c r="F3385">
        <v>63872042</v>
      </c>
      <c r="G3385">
        <v>53466067</v>
      </c>
      <c r="H3385">
        <v>50318593</v>
      </c>
      <c r="I3385">
        <v>58476084</v>
      </c>
      <c r="P3385">
        <v>122</v>
      </c>
      <c r="Q3385" t="s">
        <v>7114</v>
      </c>
    </row>
    <row r="3386" spans="1:17" x14ac:dyDescent="0.3">
      <c r="A3386" t="s">
        <v>4729</v>
      </c>
      <c r="B3386" t="str">
        <f>"002661"</f>
        <v>002661</v>
      </c>
      <c r="C3386" t="s">
        <v>7115</v>
      </c>
      <c r="D3386" t="s">
        <v>445</v>
      </c>
      <c r="F3386">
        <v>28412898</v>
      </c>
      <c r="G3386">
        <v>26219667</v>
      </c>
      <c r="H3386">
        <v>28837188</v>
      </c>
      <c r="I3386">
        <v>27984640</v>
      </c>
      <c r="P3386">
        <v>511</v>
      </c>
      <c r="Q3386" t="s">
        <v>7116</v>
      </c>
    </row>
    <row r="3387" spans="1:17" x14ac:dyDescent="0.3">
      <c r="A3387" t="s">
        <v>4729</v>
      </c>
      <c r="B3387" t="str">
        <f>"002662"</f>
        <v>002662</v>
      </c>
      <c r="C3387" t="s">
        <v>7117</v>
      </c>
      <c r="D3387" t="s">
        <v>191</v>
      </c>
      <c r="F3387">
        <v>201006042</v>
      </c>
      <c r="G3387">
        <v>140439240</v>
      </c>
      <c r="H3387">
        <v>89621247</v>
      </c>
      <c r="I3387">
        <v>187523166</v>
      </c>
      <c r="P3387">
        <v>140</v>
      </c>
      <c r="Q3387" t="s">
        <v>7118</v>
      </c>
    </row>
    <row r="3388" spans="1:17" x14ac:dyDescent="0.3">
      <c r="A3388" t="s">
        <v>4729</v>
      </c>
      <c r="B3388" t="str">
        <f>"002663"</f>
        <v>002663</v>
      </c>
      <c r="C3388" t="s">
        <v>7119</v>
      </c>
      <c r="D3388" t="s">
        <v>2417</v>
      </c>
      <c r="F3388">
        <v>98703134</v>
      </c>
      <c r="G3388">
        <v>103288877</v>
      </c>
      <c r="H3388">
        <v>94373891</v>
      </c>
      <c r="I3388">
        <v>110166529</v>
      </c>
      <c r="P3388">
        <v>95</v>
      </c>
      <c r="Q3388" t="s">
        <v>7120</v>
      </c>
    </row>
    <row r="3389" spans="1:17" x14ac:dyDescent="0.3">
      <c r="A3389" t="s">
        <v>4729</v>
      </c>
      <c r="B3389" t="str">
        <f>"002664"</f>
        <v>002664</v>
      </c>
      <c r="C3389" t="s">
        <v>7121</v>
      </c>
      <c r="D3389" t="s">
        <v>1415</v>
      </c>
      <c r="F3389">
        <v>128674087</v>
      </c>
      <c r="G3389">
        <v>148058630</v>
      </c>
      <c r="H3389">
        <v>117359460</v>
      </c>
      <c r="I3389">
        <v>105452316</v>
      </c>
      <c r="P3389">
        <v>232</v>
      </c>
      <c r="Q3389" t="s">
        <v>7122</v>
      </c>
    </row>
    <row r="3390" spans="1:17" x14ac:dyDescent="0.3">
      <c r="A3390" t="s">
        <v>4729</v>
      </c>
      <c r="B3390" t="str">
        <f>"002665"</f>
        <v>002665</v>
      </c>
      <c r="C3390" t="s">
        <v>7123</v>
      </c>
      <c r="D3390" t="s">
        <v>880</v>
      </c>
      <c r="F3390">
        <v>25212080</v>
      </c>
      <c r="G3390">
        <v>34777819</v>
      </c>
      <c r="H3390">
        <v>38687999</v>
      </c>
      <c r="I3390">
        <v>57224135</v>
      </c>
      <c r="P3390">
        <v>208</v>
      </c>
      <c r="Q3390" t="s">
        <v>7124</v>
      </c>
    </row>
    <row r="3391" spans="1:17" x14ac:dyDescent="0.3">
      <c r="A3391" t="s">
        <v>4729</v>
      </c>
      <c r="B3391" t="str">
        <f>"002666"</f>
        <v>002666</v>
      </c>
      <c r="C3391" t="s">
        <v>7125</v>
      </c>
      <c r="D3391" t="s">
        <v>386</v>
      </c>
      <c r="F3391">
        <v>100933275</v>
      </c>
      <c r="G3391">
        <v>84004103</v>
      </c>
      <c r="H3391">
        <v>104124163</v>
      </c>
      <c r="I3391">
        <v>85448980</v>
      </c>
      <c r="P3391">
        <v>110</v>
      </c>
      <c r="Q3391" t="s">
        <v>7126</v>
      </c>
    </row>
    <row r="3392" spans="1:17" x14ac:dyDescent="0.3">
      <c r="A3392" t="s">
        <v>4729</v>
      </c>
      <c r="B3392" t="str">
        <f>"002667"</f>
        <v>002667</v>
      </c>
      <c r="C3392" t="s">
        <v>7127</v>
      </c>
      <c r="D3392" t="s">
        <v>395</v>
      </c>
      <c r="F3392">
        <v>15126874</v>
      </c>
      <c r="G3392">
        <v>15637732</v>
      </c>
      <c r="H3392">
        <v>15699760</v>
      </c>
      <c r="I3392">
        <v>15128026</v>
      </c>
      <c r="P3392">
        <v>73</v>
      </c>
      <c r="Q3392" t="s">
        <v>7128</v>
      </c>
    </row>
    <row r="3393" spans="1:17" x14ac:dyDescent="0.3">
      <c r="A3393" t="s">
        <v>4729</v>
      </c>
      <c r="B3393" t="str">
        <f>"002668"</f>
        <v>002668</v>
      </c>
      <c r="C3393" t="s">
        <v>7129</v>
      </c>
      <c r="D3393" t="s">
        <v>754</v>
      </c>
      <c r="F3393">
        <v>357136261</v>
      </c>
      <c r="G3393">
        <v>303555033</v>
      </c>
      <c r="H3393">
        <v>251225097</v>
      </c>
      <c r="I3393">
        <v>336936907</v>
      </c>
      <c r="P3393">
        <v>204</v>
      </c>
      <c r="Q3393" t="s">
        <v>7130</v>
      </c>
    </row>
    <row r="3394" spans="1:17" x14ac:dyDescent="0.3">
      <c r="A3394" t="s">
        <v>4729</v>
      </c>
      <c r="B3394" t="str">
        <f>"002669"</f>
        <v>002669</v>
      </c>
      <c r="C3394" t="s">
        <v>7131</v>
      </c>
      <c r="D3394" t="s">
        <v>3170</v>
      </c>
      <c r="F3394">
        <v>98082747</v>
      </c>
      <c r="G3394">
        <v>95357608</v>
      </c>
      <c r="H3394">
        <v>73861213</v>
      </c>
      <c r="I3394">
        <v>55319827</v>
      </c>
      <c r="P3394">
        <v>138</v>
      </c>
      <c r="Q3394" t="s">
        <v>7132</v>
      </c>
    </row>
    <row r="3395" spans="1:17" x14ac:dyDescent="0.3">
      <c r="A3395" t="s">
        <v>4729</v>
      </c>
      <c r="B3395" t="str">
        <f>"002670"</f>
        <v>002670</v>
      </c>
      <c r="C3395" t="s">
        <v>7133</v>
      </c>
      <c r="D3395" t="s">
        <v>80</v>
      </c>
      <c r="F3395">
        <v>0</v>
      </c>
      <c r="G3395">
        <v>15718737</v>
      </c>
      <c r="H3395">
        <v>20129678</v>
      </c>
      <c r="I3395">
        <v>3861611</v>
      </c>
      <c r="P3395">
        <v>580</v>
      </c>
      <c r="Q3395" t="s">
        <v>7134</v>
      </c>
    </row>
    <row r="3396" spans="1:17" x14ac:dyDescent="0.3">
      <c r="A3396" t="s">
        <v>4729</v>
      </c>
      <c r="B3396" t="str">
        <f>"002671"</f>
        <v>002671</v>
      </c>
      <c r="C3396" t="s">
        <v>7135</v>
      </c>
      <c r="D3396" t="s">
        <v>3098</v>
      </c>
      <c r="F3396">
        <v>13082321</v>
      </c>
      <c r="G3396">
        <v>10212697</v>
      </c>
      <c r="H3396">
        <v>10123040</v>
      </c>
      <c r="I3396">
        <v>20843636</v>
      </c>
      <c r="P3396">
        <v>68</v>
      </c>
      <c r="Q3396" t="s">
        <v>7136</v>
      </c>
    </row>
    <row r="3397" spans="1:17" x14ac:dyDescent="0.3">
      <c r="A3397" t="s">
        <v>4729</v>
      </c>
      <c r="B3397" t="str">
        <f>"002672"</f>
        <v>002672</v>
      </c>
      <c r="C3397" t="s">
        <v>7137</v>
      </c>
      <c r="D3397" t="s">
        <v>499</v>
      </c>
      <c r="F3397">
        <v>163283377</v>
      </c>
      <c r="G3397">
        <v>126314202</v>
      </c>
      <c r="H3397">
        <v>127360441</v>
      </c>
      <c r="I3397">
        <v>91549223</v>
      </c>
      <c r="P3397">
        <v>317</v>
      </c>
      <c r="Q3397" t="s">
        <v>7138</v>
      </c>
    </row>
    <row r="3398" spans="1:17" x14ac:dyDescent="0.3">
      <c r="A3398" t="s">
        <v>4729</v>
      </c>
      <c r="B3398" t="str">
        <f>"002673"</f>
        <v>002673</v>
      </c>
      <c r="C3398" t="s">
        <v>7139</v>
      </c>
      <c r="D3398" t="s">
        <v>80</v>
      </c>
      <c r="P3398">
        <v>1135</v>
      </c>
      <c r="Q3398" t="s">
        <v>7140</v>
      </c>
    </row>
    <row r="3399" spans="1:17" x14ac:dyDescent="0.3">
      <c r="A3399" t="s">
        <v>4729</v>
      </c>
      <c r="B3399" t="str">
        <f>"002674"</f>
        <v>002674</v>
      </c>
      <c r="C3399" t="s">
        <v>7141</v>
      </c>
      <c r="D3399" t="s">
        <v>2956</v>
      </c>
      <c r="F3399">
        <v>50030602</v>
      </c>
      <c r="G3399">
        <v>42170978</v>
      </c>
      <c r="H3399">
        <v>45229164</v>
      </c>
      <c r="I3399">
        <v>50955989</v>
      </c>
      <c r="P3399">
        <v>102</v>
      </c>
      <c r="Q3399" t="s">
        <v>7142</v>
      </c>
    </row>
    <row r="3400" spans="1:17" x14ac:dyDescent="0.3">
      <c r="A3400" t="s">
        <v>4729</v>
      </c>
      <c r="B3400" t="str">
        <f>"002675"</f>
        <v>002675</v>
      </c>
      <c r="C3400" t="s">
        <v>7143</v>
      </c>
      <c r="D3400" t="s">
        <v>143</v>
      </c>
      <c r="F3400">
        <v>137557618</v>
      </c>
      <c r="G3400">
        <v>109386883</v>
      </c>
      <c r="H3400">
        <v>88712997</v>
      </c>
      <c r="I3400">
        <v>64784622</v>
      </c>
      <c r="P3400">
        <v>365</v>
      </c>
      <c r="Q3400" t="s">
        <v>7144</v>
      </c>
    </row>
    <row r="3401" spans="1:17" x14ac:dyDescent="0.3">
      <c r="A3401" t="s">
        <v>4729</v>
      </c>
      <c r="B3401" t="str">
        <f>"002676"</f>
        <v>002676</v>
      </c>
      <c r="C3401" t="s">
        <v>7145</v>
      </c>
      <c r="D3401" t="s">
        <v>1253</v>
      </c>
      <c r="F3401">
        <v>61314745</v>
      </c>
      <c r="G3401">
        <v>49663025</v>
      </c>
      <c r="H3401">
        <v>44981349</v>
      </c>
      <c r="I3401">
        <v>26011708</v>
      </c>
      <c r="P3401">
        <v>87</v>
      </c>
      <c r="Q3401" t="s">
        <v>7146</v>
      </c>
    </row>
    <row r="3402" spans="1:17" x14ac:dyDescent="0.3">
      <c r="A3402" t="s">
        <v>4729</v>
      </c>
      <c r="B3402" t="str">
        <f>"002677"</f>
        <v>002677</v>
      </c>
      <c r="C3402" t="s">
        <v>7147</v>
      </c>
      <c r="D3402" t="s">
        <v>3707</v>
      </c>
      <c r="F3402">
        <v>68391323</v>
      </c>
      <c r="G3402">
        <v>54276885</v>
      </c>
      <c r="H3402">
        <v>50926202</v>
      </c>
      <c r="I3402">
        <v>40767762</v>
      </c>
      <c r="P3402">
        <v>4534</v>
      </c>
      <c r="Q3402" t="s">
        <v>7148</v>
      </c>
    </row>
    <row r="3403" spans="1:17" x14ac:dyDescent="0.3">
      <c r="A3403" t="s">
        <v>4729</v>
      </c>
      <c r="B3403" t="str">
        <f>"002678"</f>
        <v>002678</v>
      </c>
      <c r="C3403" t="s">
        <v>7149</v>
      </c>
      <c r="D3403" t="s">
        <v>2931</v>
      </c>
      <c r="F3403">
        <v>97218553</v>
      </c>
      <c r="G3403">
        <v>82674763</v>
      </c>
      <c r="H3403">
        <v>97697687</v>
      </c>
      <c r="I3403">
        <v>97195587</v>
      </c>
      <c r="P3403">
        <v>113</v>
      </c>
      <c r="Q3403" t="s">
        <v>7150</v>
      </c>
    </row>
    <row r="3404" spans="1:17" x14ac:dyDescent="0.3">
      <c r="A3404" t="s">
        <v>4729</v>
      </c>
      <c r="B3404" t="str">
        <f>"002679"</f>
        <v>002679</v>
      </c>
      <c r="C3404" t="s">
        <v>7151</v>
      </c>
      <c r="D3404" t="s">
        <v>603</v>
      </c>
      <c r="F3404">
        <v>0</v>
      </c>
      <c r="G3404">
        <v>0</v>
      </c>
      <c r="P3404">
        <v>95</v>
      </c>
      <c r="Q3404" t="s">
        <v>7152</v>
      </c>
    </row>
    <row r="3405" spans="1:17" x14ac:dyDescent="0.3">
      <c r="A3405" t="s">
        <v>4729</v>
      </c>
      <c r="B3405" t="str">
        <f>"002680"</f>
        <v>002680</v>
      </c>
      <c r="C3405" t="s">
        <v>7153</v>
      </c>
      <c r="P3405">
        <v>221</v>
      </c>
      <c r="Q3405" t="s">
        <v>7154</v>
      </c>
    </row>
    <row r="3406" spans="1:17" x14ac:dyDescent="0.3">
      <c r="A3406" t="s">
        <v>4729</v>
      </c>
      <c r="B3406" t="str">
        <f>"002681"</f>
        <v>002681</v>
      </c>
      <c r="C3406" t="s">
        <v>7155</v>
      </c>
      <c r="D3406" t="s">
        <v>313</v>
      </c>
      <c r="F3406">
        <v>305833039</v>
      </c>
      <c r="G3406">
        <v>212282775</v>
      </c>
      <c r="H3406">
        <v>184555371</v>
      </c>
      <c r="I3406">
        <v>191730250</v>
      </c>
      <c r="P3406">
        <v>216</v>
      </c>
      <c r="Q3406" t="s">
        <v>7156</v>
      </c>
    </row>
    <row r="3407" spans="1:17" x14ac:dyDescent="0.3">
      <c r="A3407" t="s">
        <v>4729</v>
      </c>
      <c r="B3407" t="str">
        <f>"002682"</f>
        <v>002682</v>
      </c>
      <c r="C3407" t="s">
        <v>7157</v>
      </c>
      <c r="D3407" t="s">
        <v>2503</v>
      </c>
      <c r="F3407">
        <v>49337039</v>
      </c>
      <c r="G3407">
        <v>85523111</v>
      </c>
      <c r="H3407">
        <v>90767574</v>
      </c>
      <c r="I3407">
        <v>95309534</v>
      </c>
      <c r="P3407">
        <v>80</v>
      </c>
      <c r="Q3407" t="s">
        <v>7158</v>
      </c>
    </row>
    <row r="3408" spans="1:17" x14ac:dyDescent="0.3">
      <c r="A3408" t="s">
        <v>4729</v>
      </c>
      <c r="B3408" t="str">
        <f>"002683"</f>
        <v>002683</v>
      </c>
      <c r="C3408" t="s">
        <v>7159</v>
      </c>
      <c r="D3408" t="s">
        <v>2736</v>
      </c>
      <c r="F3408">
        <v>258523567</v>
      </c>
      <c r="G3408">
        <v>264081213</v>
      </c>
      <c r="H3408">
        <v>204674766</v>
      </c>
      <c r="I3408">
        <v>172785612</v>
      </c>
      <c r="P3408">
        <v>270</v>
      </c>
      <c r="Q3408" t="s">
        <v>7160</v>
      </c>
    </row>
    <row r="3409" spans="1:17" x14ac:dyDescent="0.3">
      <c r="A3409" t="s">
        <v>4729</v>
      </c>
      <c r="B3409" t="str">
        <f>"002684"</f>
        <v>002684</v>
      </c>
      <c r="C3409" t="s">
        <v>7161</v>
      </c>
      <c r="D3409" t="s">
        <v>2368</v>
      </c>
      <c r="F3409">
        <v>25685013</v>
      </c>
      <c r="G3409">
        <v>34498330</v>
      </c>
      <c r="H3409">
        <v>65526560</v>
      </c>
      <c r="I3409">
        <v>193437760</v>
      </c>
      <c r="J3409">
        <v>59144639</v>
      </c>
      <c r="P3409">
        <v>91</v>
      </c>
      <c r="Q3409" t="s">
        <v>7162</v>
      </c>
    </row>
    <row r="3410" spans="1:17" x14ac:dyDescent="0.3">
      <c r="A3410" t="s">
        <v>4729</v>
      </c>
      <c r="B3410" t="str">
        <f>"002685"</f>
        <v>002685</v>
      </c>
      <c r="C3410" t="s">
        <v>7163</v>
      </c>
      <c r="D3410" t="s">
        <v>2321</v>
      </c>
      <c r="F3410">
        <v>43615645</v>
      </c>
      <c r="G3410">
        <v>43578250</v>
      </c>
      <c r="H3410">
        <v>55368044</v>
      </c>
      <c r="I3410">
        <v>53638928</v>
      </c>
      <c r="P3410">
        <v>109</v>
      </c>
      <c r="Q3410" t="s">
        <v>7164</v>
      </c>
    </row>
    <row r="3411" spans="1:17" x14ac:dyDescent="0.3">
      <c r="A3411" t="s">
        <v>4729</v>
      </c>
      <c r="B3411" t="str">
        <f>"002686"</f>
        <v>002686</v>
      </c>
      <c r="C3411" t="s">
        <v>7165</v>
      </c>
      <c r="D3411" t="s">
        <v>988</v>
      </c>
      <c r="F3411">
        <v>100596710</v>
      </c>
      <c r="G3411">
        <v>81230201</v>
      </c>
      <c r="H3411">
        <v>94648488</v>
      </c>
      <c r="I3411">
        <v>80269067</v>
      </c>
      <c r="P3411">
        <v>78</v>
      </c>
      <c r="Q3411" t="s">
        <v>7166</v>
      </c>
    </row>
    <row r="3412" spans="1:17" x14ac:dyDescent="0.3">
      <c r="A3412" t="s">
        <v>4729</v>
      </c>
      <c r="B3412" t="str">
        <f>"002687"</f>
        <v>002687</v>
      </c>
      <c r="C3412" t="s">
        <v>7167</v>
      </c>
      <c r="D3412" t="s">
        <v>255</v>
      </c>
      <c r="F3412">
        <v>79759725</v>
      </c>
      <c r="G3412">
        <v>55093978</v>
      </c>
      <c r="H3412">
        <v>31910461</v>
      </c>
      <c r="I3412">
        <v>24419673</v>
      </c>
      <c r="P3412">
        <v>127</v>
      </c>
      <c r="Q3412" t="s">
        <v>7168</v>
      </c>
    </row>
    <row r="3413" spans="1:17" x14ac:dyDescent="0.3">
      <c r="A3413" t="s">
        <v>4729</v>
      </c>
      <c r="B3413" t="str">
        <f>"002688"</f>
        <v>002688</v>
      </c>
      <c r="C3413" t="s">
        <v>7169</v>
      </c>
      <c r="D3413" t="s">
        <v>453</v>
      </c>
      <c r="F3413">
        <v>72250508</v>
      </c>
      <c r="G3413">
        <v>66358028</v>
      </c>
      <c r="H3413">
        <v>60702589</v>
      </c>
      <c r="I3413">
        <v>40512065</v>
      </c>
      <c r="P3413">
        <v>167</v>
      </c>
      <c r="Q3413" t="s">
        <v>7170</v>
      </c>
    </row>
    <row r="3414" spans="1:17" x14ac:dyDescent="0.3">
      <c r="A3414" t="s">
        <v>4729</v>
      </c>
      <c r="B3414" t="str">
        <f>"002689"</f>
        <v>002689</v>
      </c>
      <c r="C3414" t="s">
        <v>7171</v>
      </c>
      <c r="D3414" t="s">
        <v>1691</v>
      </c>
      <c r="F3414">
        <v>34896958</v>
      </c>
      <c r="G3414">
        <v>33639135</v>
      </c>
      <c r="H3414">
        <v>45603274</v>
      </c>
      <c r="I3414">
        <v>43933017</v>
      </c>
      <c r="P3414">
        <v>87</v>
      </c>
      <c r="Q3414" t="s">
        <v>7172</v>
      </c>
    </row>
    <row r="3415" spans="1:17" x14ac:dyDescent="0.3">
      <c r="A3415" t="s">
        <v>4729</v>
      </c>
      <c r="B3415" t="str">
        <f>"002690"</f>
        <v>002690</v>
      </c>
      <c r="C3415" t="s">
        <v>7173</v>
      </c>
      <c r="D3415" t="s">
        <v>741</v>
      </c>
      <c r="F3415">
        <v>123433232</v>
      </c>
      <c r="G3415">
        <v>104305742</v>
      </c>
      <c r="H3415">
        <v>91946393</v>
      </c>
      <c r="I3415">
        <v>65790599</v>
      </c>
      <c r="P3415">
        <v>3633</v>
      </c>
      <c r="Q3415" t="s">
        <v>7174</v>
      </c>
    </row>
    <row r="3416" spans="1:17" x14ac:dyDescent="0.3">
      <c r="A3416" t="s">
        <v>4729</v>
      </c>
      <c r="B3416" t="str">
        <f>"002691"</f>
        <v>002691</v>
      </c>
      <c r="C3416" t="s">
        <v>7175</v>
      </c>
      <c r="D3416" t="s">
        <v>395</v>
      </c>
      <c r="F3416">
        <v>22263285</v>
      </c>
      <c r="G3416">
        <v>16787381</v>
      </c>
      <c r="H3416">
        <v>25580074</v>
      </c>
      <c r="I3416">
        <v>20397299</v>
      </c>
      <c r="P3416">
        <v>54</v>
      </c>
      <c r="Q3416" t="s">
        <v>7176</v>
      </c>
    </row>
    <row r="3417" spans="1:17" x14ac:dyDescent="0.3">
      <c r="A3417" t="s">
        <v>4729</v>
      </c>
      <c r="B3417" t="str">
        <f>"002692"</f>
        <v>002692</v>
      </c>
      <c r="C3417" t="s">
        <v>7177</v>
      </c>
      <c r="D3417" t="s">
        <v>1164</v>
      </c>
      <c r="F3417">
        <v>41494739</v>
      </c>
      <c r="G3417">
        <v>39343388</v>
      </c>
      <c r="H3417">
        <v>41880882</v>
      </c>
      <c r="I3417">
        <v>43285360</v>
      </c>
      <c r="P3417">
        <v>53</v>
      </c>
      <c r="Q3417" t="s">
        <v>7178</v>
      </c>
    </row>
    <row r="3418" spans="1:17" x14ac:dyDescent="0.3">
      <c r="A3418" t="s">
        <v>4729</v>
      </c>
      <c r="B3418" t="str">
        <f>"002693"</f>
        <v>002693</v>
      </c>
      <c r="C3418" t="s">
        <v>7179</v>
      </c>
      <c r="D3418" t="s">
        <v>1379</v>
      </c>
      <c r="F3418">
        <v>10619443</v>
      </c>
      <c r="G3418">
        <v>12176961</v>
      </c>
      <c r="H3418">
        <v>13140607</v>
      </c>
      <c r="I3418">
        <v>14531999</v>
      </c>
      <c r="P3418">
        <v>95</v>
      </c>
      <c r="Q3418" t="s">
        <v>7180</v>
      </c>
    </row>
    <row r="3419" spans="1:17" x14ac:dyDescent="0.3">
      <c r="A3419" t="s">
        <v>4729</v>
      </c>
      <c r="B3419" t="str">
        <f>"002694"</f>
        <v>002694</v>
      </c>
      <c r="C3419" t="s">
        <v>7181</v>
      </c>
      <c r="D3419" t="s">
        <v>3347</v>
      </c>
      <c r="F3419">
        <v>55162276</v>
      </c>
      <c r="G3419">
        <v>51683154</v>
      </c>
      <c r="H3419">
        <v>54441918</v>
      </c>
      <c r="I3419">
        <v>54473441</v>
      </c>
      <c r="P3419">
        <v>71</v>
      </c>
      <c r="Q3419" t="s">
        <v>7182</v>
      </c>
    </row>
    <row r="3420" spans="1:17" x14ac:dyDescent="0.3">
      <c r="A3420" t="s">
        <v>4729</v>
      </c>
      <c r="B3420" t="str">
        <f>"002695"</f>
        <v>002695</v>
      </c>
      <c r="C3420" t="s">
        <v>7183</v>
      </c>
      <c r="D3420" t="s">
        <v>2989</v>
      </c>
      <c r="F3420">
        <v>65164462</v>
      </c>
      <c r="G3420">
        <v>74725827</v>
      </c>
      <c r="H3420">
        <v>69249662</v>
      </c>
      <c r="I3420">
        <v>55714845</v>
      </c>
      <c r="P3420">
        <v>623</v>
      </c>
      <c r="Q3420" t="s">
        <v>7184</v>
      </c>
    </row>
    <row r="3421" spans="1:17" x14ac:dyDescent="0.3">
      <c r="A3421" t="s">
        <v>4729</v>
      </c>
      <c r="B3421" t="str">
        <f>"002696"</f>
        <v>002696</v>
      </c>
      <c r="C3421" t="s">
        <v>7185</v>
      </c>
      <c r="D3421" t="s">
        <v>587</v>
      </c>
      <c r="F3421">
        <v>4584730</v>
      </c>
      <c r="G3421">
        <v>0</v>
      </c>
      <c r="H3421">
        <v>35911213</v>
      </c>
      <c r="I3421">
        <v>20643999</v>
      </c>
      <c r="P3421">
        <v>93</v>
      </c>
      <c r="Q3421" t="s">
        <v>7186</v>
      </c>
    </row>
    <row r="3422" spans="1:17" x14ac:dyDescent="0.3">
      <c r="A3422" t="s">
        <v>4729</v>
      </c>
      <c r="B3422" t="str">
        <f>"002697"</f>
        <v>002697</v>
      </c>
      <c r="C3422" t="s">
        <v>7187</v>
      </c>
      <c r="D3422" t="s">
        <v>798</v>
      </c>
      <c r="F3422">
        <v>0</v>
      </c>
      <c r="G3422">
        <v>0</v>
      </c>
      <c r="P3422">
        <v>503</v>
      </c>
      <c r="Q3422" t="s">
        <v>7188</v>
      </c>
    </row>
    <row r="3423" spans="1:17" x14ac:dyDescent="0.3">
      <c r="A3423" t="s">
        <v>4729</v>
      </c>
      <c r="B3423" t="str">
        <f>"002698"</f>
        <v>002698</v>
      </c>
      <c r="C3423" t="s">
        <v>7189</v>
      </c>
      <c r="D3423" t="s">
        <v>2938</v>
      </c>
      <c r="F3423">
        <v>88753584</v>
      </c>
      <c r="G3423">
        <v>71605651</v>
      </c>
      <c r="H3423">
        <v>73317928</v>
      </c>
      <c r="I3423">
        <v>43793885</v>
      </c>
      <c r="P3423">
        <v>271</v>
      </c>
      <c r="Q3423" t="s">
        <v>7190</v>
      </c>
    </row>
    <row r="3424" spans="1:17" x14ac:dyDescent="0.3">
      <c r="A3424" t="s">
        <v>4729</v>
      </c>
      <c r="B3424" t="str">
        <f>"002699"</f>
        <v>002699</v>
      </c>
      <c r="C3424" t="s">
        <v>7191</v>
      </c>
      <c r="D3424" t="s">
        <v>113</v>
      </c>
      <c r="F3424">
        <v>34178651</v>
      </c>
      <c r="G3424">
        <v>31315939</v>
      </c>
      <c r="H3424">
        <v>42872131</v>
      </c>
      <c r="I3424">
        <v>29588301</v>
      </c>
      <c r="P3424">
        <v>157</v>
      </c>
      <c r="Q3424" t="s">
        <v>7192</v>
      </c>
    </row>
    <row r="3425" spans="1:17" x14ac:dyDescent="0.3">
      <c r="A3425" t="s">
        <v>4729</v>
      </c>
      <c r="B3425" t="str">
        <f>"002700"</f>
        <v>002700</v>
      </c>
      <c r="C3425" t="s">
        <v>7193</v>
      </c>
      <c r="D3425" t="s">
        <v>749</v>
      </c>
      <c r="F3425">
        <v>5236574</v>
      </c>
      <c r="G3425">
        <v>866471</v>
      </c>
      <c r="H3425">
        <v>4595508</v>
      </c>
      <c r="I3425">
        <v>1756302</v>
      </c>
      <c r="P3425">
        <v>53</v>
      </c>
      <c r="Q3425" t="s">
        <v>7194</v>
      </c>
    </row>
    <row r="3426" spans="1:17" x14ac:dyDescent="0.3">
      <c r="A3426" t="s">
        <v>4729</v>
      </c>
      <c r="B3426" t="str">
        <f>"002701"</f>
        <v>002701</v>
      </c>
      <c r="C3426" t="s">
        <v>7195</v>
      </c>
      <c r="D3426" t="s">
        <v>2373</v>
      </c>
      <c r="F3426">
        <v>50290738</v>
      </c>
      <c r="G3426">
        <v>62550200</v>
      </c>
      <c r="H3426">
        <v>97062809</v>
      </c>
      <c r="I3426">
        <v>93062849</v>
      </c>
      <c r="P3426">
        <v>1656</v>
      </c>
      <c r="Q3426" t="s">
        <v>7196</v>
      </c>
    </row>
    <row r="3427" spans="1:17" x14ac:dyDescent="0.3">
      <c r="A3427" t="s">
        <v>4729</v>
      </c>
      <c r="B3427" t="str">
        <f>"002702"</f>
        <v>002702</v>
      </c>
      <c r="C3427" t="s">
        <v>7197</v>
      </c>
      <c r="D3427" t="s">
        <v>2865</v>
      </c>
      <c r="F3427">
        <v>17582913</v>
      </c>
      <c r="G3427">
        <v>17841597</v>
      </c>
      <c r="H3427">
        <v>15261374</v>
      </c>
      <c r="I3427">
        <v>21547033</v>
      </c>
      <c r="P3427">
        <v>186</v>
      </c>
      <c r="Q3427" t="s">
        <v>7198</v>
      </c>
    </row>
    <row r="3428" spans="1:17" x14ac:dyDescent="0.3">
      <c r="A3428" t="s">
        <v>4729</v>
      </c>
      <c r="B3428" t="str">
        <f>"002703"</f>
        <v>002703</v>
      </c>
      <c r="C3428" t="s">
        <v>7199</v>
      </c>
      <c r="D3428" t="s">
        <v>348</v>
      </c>
      <c r="F3428">
        <v>80484535</v>
      </c>
      <c r="G3428">
        <v>66006925</v>
      </c>
      <c r="H3428">
        <v>61712824</v>
      </c>
      <c r="I3428">
        <v>66456611</v>
      </c>
      <c r="P3428">
        <v>76</v>
      </c>
      <c r="Q3428" t="s">
        <v>7200</v>
      </c>
    </row>
    <row r="3429" spans="1:17" x14ac:dyDescent="0.3">
      <c r="A3429" t="s">
        <v>4729</v>
      </c>
      <c r="B3429" t="str">
        <f>"002705"</f>
        <v>002705</v>
      </c>
      <c r="C3429" t="s">
        <v>7201</v>
      </c>
      <c r="D3429" t="s">
        <v>5799</v>
      </c>
      <c r="F3429">
        <v>442041972</v>
      </c>
      <c r="G3429">
        <v>393773804</v>
      </c>
      <c r="H3429">
        <v>334330634</v>
      </c>
      <c r="I3429">
        <v>274952882</v>
      </c>
      <c r="P3429">
        <v>1093</v>
      </c>
      <c r="Q3429" t="s">
        <v>7202</v>
      </c>
    </row>
    <row r="3430" spans="1:17" x14ac:dyDescent="0.3">
      <c r="A3430" t="s">
        <v>4729</v>
      </c>
      <c r="B3430" t="str">
        <f>"002706"</f>
        <v>002706</v>
      </c>
      <c r="C3430" t="s">
        <v>7203</v>
      </c>
      <c r="D3430" t="s">
        <v>657</v>
      </c>
      <c r="F3430">
        <v>327705486</v>
      </c>
      <c r="G3430">
        <v>274422182</v>
      </c>
      <c r="H3430">
        <v>176140893</v>
      </c>
      <c r="I3430">
        <v>139161365</v>
      </c>
      <c r="P3430">
        <v>763</v>
      </c>
      <c r="Q3430" t="s">
        <v>7204</v>
      </c>
    </row>
    <row r="3431" spans="1:17" x14ac:dyDescent="0.3">
      <c r="A3431" t="s">
        <v>4729</v>
      </c>
      <c r="B3431" t="str">
        <f>"002707"</f>
        <v>002707</v>
      </c>
      <c r="C3431" t="s">
        <v>7205</v>
      </c>
      <c r="D3431" t="s">
        <v>1120</v>
      </c>
      <c r="F3431">
        <v>0</v>
      </c>
      <c r="G3431">
        <v>0</v>
      </c>
      <c r="P3431">
        <v>295</v>
      </c>
      <c r="Q3431" t="s">
        <v>7206</v>
      </c>
    </row>
    <row r="3432" spans="1:17" x14ac:dyDescent="0.3">
      <c r="A3432" t="s">
        <v>4729</v>
      </c>
      <c r="B3432" t="str">
        <f>"002708"</f>
        <v>002708</v>
      </c>
      <c r="C3432" t="s">
        <v>7207</v>
      </c>
      <c r="D3432" t="s">
        <v>348</v>
      </c>
      <c r="F3432">
        <v>62897784</v>
      </c>
      <c r="G3432">
        <v>56054024</v>
      </c>
      <c r="H3432">
        <v>54017643</v>
      </c>
      <c r="I3432">
        <v>63243833</v>
      </c>
      <c r="P3432">
        <v>91</v>
      </c>
      <c r="Q3432" t="s">
        <v>7208</v>
      </c>
    </row>
    <row r="3433" spans="1:17" x14ac:dyDescent="0.3">
      <c r="A3433" t="s">
        <v>4729</v>
      </c>
      <c r="B3433" t="str">
        <f>"002709"</f>
        <v>002709</v>
      </c>
      <c r="C3433" t="s">
        <v>7209</v>
      </c>
      <c r="D3433" t="s">
        <v>1790</v>
      </c>
      <c r="F3433">
        <v>378171883</v>
      </c>
      <c r="G3433">
        <v>168356668</v>
      </c>
      <c r="H3433">
        <v>125898958</v>
      </c>
      <c r="I3433">
        <v>109513873</v>
      </c>
      <c r="P3433">
        <v>1069</v>
      </c>
      <c r="Q3433" t="s">
        <v>7210</v>
      </c>
    </row>
    <row r="3434" spans="1:17" x14ac:dyDescent="0.3">
      <c r="A3434" t="s">
        <v>4729</v>
      </c>
      <c r="B3434" t="str">
        <f>"002710"</f>
        <v>002710</v>
      </c>
      <c r="C3434" t="s">
        <v>7211</v>
      </c>
      <c r="D3434" t="s">
        <v>7212</v>
      </c>
      <c r="P3434">
        <v>8</v>
      </c>
      <c r="Q3434" t="s">
        <v>7213</v>
      </c>
    </row>
    <row r="3435" spans="1:17" x14ac:dyDescent="0.3">
      <c r="A3435" t="s">
        <v>4729</v>
      </c>
      <c r="B3435" t="str">
        <f>"002711"</f>
        <v>002711</v>
      </c>
      <c r="C3435" t="s">
        <v>7214</v>
      </c>
      <c r="G3435">
        <v>0</v>
      </c>
      <c r="H3435">
        <v>1468705</v>
      </c>
      <c r="I3435">
        <v>15397999</v>
      </c>
      <c r="P3435">
        <v>74</v>
      </c>
      <c r="Q3435" t="s">
        <v>7215</v>
      </c>
    </row>
    <row r="3436" spans="1:17" x14ac:dyDescent="0.3">
      <c r="A3436" t="s">
        <v>4729</v>
      </c>
      <c r="B3436" t="str">
        <f>"002712"</f>
        <v>002712</v>
      </c>
      <c r="C3436" t="s">
        <v>7216</v>
      </c>
      <c r="D3436" t="s">
        <v>207</v>
      </c>
      <c r="F3436">
        <v>20720704</v>
      </c>
      <c r="G3436">
        <v>21798032</v>
      </c>
      <c r="H3436">
        <v>12094151</v>
      </c>
      <c r="I3436">
        <v>13503919</v>
      </c>
      <c r="P3436">
        <v>107</v>
      </c>
      <c r="Q3436" t="s">
        <v>7217</v>
      </c>
    </row>
    <row r="3437" spans="1:17" x14ac:dyDescent="0.3">
      <c r="A3437" t="s">
        <v>4729</v>
      </c>
      <c r="B3437" t="str">
        <f>"002713"</f>
        <v>002713</v>
      </c>
      <c r="C3437" t="s">
        <v>7218</v>
      </c>
      <c r="D3437" t="s">
        <v>450</v>
      </c>
      <c r="F3437">
        <v>169161057</v>
      </c>
      <c r="G3437">
        <v>147716093</v>
      </c>
      <c r="H3437">
        <v>163742602</v>
      </c>
      <c r="I3437">
        <v>130039693</v>
      </c>
      <c r="P3437">
        <v>268</v>
      </c>
      <c r="Q3437" t="s">
        <v>7219</v>
      </c>
    </row>
    <row r="3438" spans="1:17" x14ac:dyDescent="0.3">
      <c r="A3438" t="s">
        <v>4729</v>
      </c>
      <c r="B3438" t="str">
        <f>"002714"</f>
        <v>002714</v>
      </c>
      <c r="C3438" t="s">
        <v>7220</v>
      </c>
      <c r="D3438" t="s">
        <v>1900</v>
      </c>
      <c r="F3438">
        <v>808149646</v>
      </c>
      <c r="G3438">
        <v>411871807</v>
      </c>
      <c r="H3438">
        <v>111516485</v>
      </c>
      <c r="I3438">
        <v>91211223</v>
      </c>
      <c r="P3438">
        <v>4953</v>
      </c>
      <c r="Q3438" t="s">
        <v>7221</v>
      </c>
    </row>
    <row r="3439" spans="1:17" x14ac:dyDescent="0.3">
      <c r="A3439" t="s">
        <v>4729</v>
      </c>
      <c r="B3439" t="str">
        <f>"002715"</f>
        <v>002715</v>
      </c>
      <c r="C3439" t="s">
        <v>7222</v>
      </c>
      <c r="D3439" t="s">
        <v>348</v>
      </c>
      <c r="F3439">
        <v>14495071</v>
      </c>
      <c r="G3439">
        <v>12857028</v>
      </c>
      <c r="H3439">
        <v>16410230</v>
      </c>
      <c r="I3439">
        <v>14476660</v>
      </c>
      <c r="P3439">
        <v>61</v>
      </c>
      <c r="Q3439" t="s">
        <v>7223</v>
      </c>
    </row>
    <row r="3440" spans="1:17" x14ac:dyDescent="0.3">
      <c r="A3440" t="s">
        <v>4729</v>
      </c>
      <c r="B3440" t="str">
        <f>"002716"</f>
        <v>002716</v>
      </c>
      <c r="C3440" t="s">
        <v>7224</v>
      </c>
      <c r="D3440" t="s">
        <v>2081</v>
      </c>
      <c r="F3440">
        <v>2851525</v>
      </c>
      <c r="G3440">
        <v>8186220</v>
      </c>
      <c r="H3440">
        <v>118096104</v>
      </c>
      <c r="I3440">
        <v>141843321</v>
      </c>
      <c r="J3440">
        <v>0</v>
      </c>
      <c r="K3440">
        <v>0</v>
      </c>
      <c r="P3440">
        <v>129</v>
      </c>
      <c r="Q3440" t="s">
        <v>7225</v>
      </c>
    </row>
    <row r="3441" spans="1:17" x14ac:dyDescent="0.3">
      <c r="A3441" t="s">
        <v>4729</v>
      </c>
      <c r="B3441" t="str">
        <f>"002717"</f>
        <v>002717</v>
      </c>
      <c r="C3441" t="s">
        <v>7226</v>
      </c>
      <c r="D3441" t="s">
        <v>2417</v>
      </c>
      <c r="F3441">
        <v>185633025</v>
      </c>
      <c r="G3441">
        <v>297589897</v>
      </c>
      <c r="H3441">
        <v>298059055</v>
      </c>
      <c r="I3441">
        <v>221931259</v>
      </c>
      <c r="P3441">
        <v>394</v>
      </c>
      <c r="Q3441" t="s">
        <v>7227</v>
      </c>
    </row>
    <row r="3442" spans="1:17" x14ac:dyDescent="0.3">
      <c r="A3442" t="s">
        <v>4729</v>
      </c>
      <c r="B3442" t="str">
        <f>"002718"</f>
        <v>002718</v>
      </c>
      <c r="C3442" t="s">
        <v>7228</v>
      </c>
      <c r="D3442" t="s">
        <v>722</v>
      </c>
      <c r="F3442">
        <v>39026046</v>
      </c>
      <c r="G3442">
        <v>28842058</v>
      </c>
      <c r="H3442">
        <v>32932019</v>
      </c>
      <c r="I3442">
        <v>34446690</v>
      </c>
      <c r="P3442">
        <v>170</v>
      </c>
      <c r="Q3442" t="s">
        <v>7229</v>
      </c>
    </row>
    <row r="3443" spans="1:17" x14ac:dyDescent="0.3">
      <c r="A3443" t="s">
        <v>4729</v>
      </c>
      <c r="B3443" t="str">
        <f>"002719"</f>
        <v>002719</v>
      </c>
      <c r="C3443" t="s">
        <v>7230</v>
      </c>
      <c r="D3443" t="s">
        <v>900</v>
      </c>
      <c r="F3443">
        <v>5187652</v>
      </c>
      <c r="G3443">
        <v>5251569</v>
      </c>
      <c r="H3443">
        <v>3262162</v>
      </c>
      <c r="I3443">
        <v>2470957</v>
      </c>
      <c r="P3443">
        <v>97</v>
      </c>
      <c r="Q3443" t="s">
        <v>7231</v>
      </c>
    </row>
    <row r="3444" spans="1:17" x14ac:dyDescent="0.3">
      <c r="A3444" t="s">
        <v>4729</v>
      </c>
      <c r="B3444" t="str">
        <f>"002720"</f>
        <v>002720</v>
      </c>
      <c r="C3444" t="s">
        <v>7232</v>
      </c>
      <c r="D3444" t="s">
        <v>2956</v>
      </c>
      <c r="P3444">
        <v>11</v>
      </c>
      <c r="Q3444" t="s">
        <v>7233</v>
      </c>
    </row>
    <row r="3445" spans="1:17" x14ac:dyDescent="0.3">
      <c r="A3445" t="s">
        <v>4729</v>
      </c>
      <c r="B3445" t="str">
        <f>"002721"</f>
        <v>002721</v>
      </c>
      <c r="C3445" t="s">
        <v>7234</v>
      </c>
      <c r="D3445" t="s">
        <v>1238</v>
      </c>
      <c r="F3445">
        <v>2815822</v>
      </c>
      <c r="G3445">
        <v>7630149</v>
      </c>
      <c r="H3445">
        <v>5884243</v>
      </c>
      <c r="I3445">
        <v>22756243</v>
      </c>
      <c r="P3445">
        <v>89</v>
      </c>
      <c r="Q3445" t="s">
        <v>7235</v>
      </c>
    </row>
    <row r="3446" spans="1:17" x14ac:dyDescent="0.3">
      <c r="A3446" t="s">
        <v>4729</v>
      </c>
      <c r="B3446" t="str">
        <f>"002722"</f>
        <v>002722</v>
      </c>
      <c r="C3446" t="s">
        <v>7236</v>
      </c>
      <c r="D3446" t="s">
        <v>366</v>
      </c>
      <c r="F3446">
        <v>24056006</v>
      </c>
      <c r="G3446">
        <v>18427643</v>
      </c>
      <c r="H3446">
        <v>17906762</v>
      </c>
      <c r="I3446">
        <v>18377808</v>
      </c>
      <c r="P3446">
        <v>102</v>
      </c>
      <c r="Q3446" t="s">
        <v>7237</v>
      </c>
    </row>
    <row r="3447" spans="1:17" x14ac:dyDescent="0.3">
      <c r="A3447" t="s">
        <v>4729</v>
      </c>
      <c r="B3447" t="str">
        <f>"002723"</f>
        <v>002723</v>
      </c>
      <c r="C3447" t="s">
        <v>7238</v>
      </c>
      <c r="D3447" t="s">
        <v>598</v>
      </c>
      <c r="F3447">
        <v>42554605</v>
      </c>
      <c r="G3447">
        <v>33584860</v>
      </c>
      <c r="H3447">
        <v>29774441</v>
      </c>
      <c r="I3447">
        <v>31017571</v>
      </c>
      <c r="P3447">
        <v>92</v>
      </c>
      <c r="Q3447" t="s">
        <v>7239</v>
      </c>
    </row>
    <row r="3448" spans="1:17" x14ac:dyDescent="0.3">
      <c r="A3448" t="s">
        <v>4729</v>
      </c>
      <c r="B3448" t="str">
        <f>"002724"</f>
        <v>002724</v>
      </c>
      <c r="C3448" t="s">
        <v>7240</v>
      </c>
      <c r="D3448" t="s">
        <v>651</v>
      </c>
      <c r="F3448">
        <v>99787201</v>
      </c>
      <c r="G3448">
        <v>86477231</v>
      </c>
      <c r="H3448">
        <v>78973111</v>
      </c>
      <c r="I3448">
        <v>85710947</v>
      </c>
      <c r="P3448">
        <v>141</v>
      </c>
      <c r="Q3448" t="s">
        <v>7241</v>
      </c>
    </row>
    <row r="3449" spans="1:17" x14ac:dyDescent="0.3">
      <c r="A3449" t="s">
        <v>4729</v>
      </c>
      <c r="B3449" t="str">
        <f>"002725"</f>
        <v>002725</v>
      </c>
      <c r="C3449" t="s">
        <v>7242</v>
      </c>
      <c r="D3449" t="s">
        <v>422</v>
      </c>
      <c r="F3449">
        <v>34460534</v>
      </c>
      <c r="G3449">
        <v>22581501</v>
      </c>
      <c r="H3449">
        <v>23087901</v>
      </c>
      <c r="I3449">
        <v>29612302</v>
      </c>
      <c r="P3449">
        <v>135</v>
      </c>
      <c r="Q3449" t="s">
        <v>7243</v>
      </c>
    </row>
    <row r="3450" spans="1:17" x14ac:dyDescent="0.3">
      <c r="A3450" t="s">
        <v>4729</v>
      </c>
      <c r="B3450" t="str">
        <f>"002726"</f>
        <v>002726</v>
      </c>
      <c r="C3450" t="s">
        <v>7244</v>
      </c>
      <c r="D3450" t="s">
        <v>170</v>
      </c>
      <c r="F3450">
        <v>8343349</v>
      </c>
      <c r="G3450">
        <v>4157208</v>
      </c>
      <c r="H3450">
        <v>4092415</v>
      </c>
      <c r="I3450">
        <v>2525979</v>
      </c>
      <c r="P3450">
        <v>1021</v>
      </c>
      <c r="Q3450" t="s">
        <v>7245</v>
      </c>
    </row>
    <row r="3451" spans="1:17" x14ac:dyDescent="0.3">
      <c r="A3451" t="s">
        <v>4729</v>
      </c>
      <c r="B3451" t="str">
        <f>"002727"</f>
        <v>002727</v>
      </c>
      <c r="C3451" t="s">
        <v>7246</v>
      </c>
      <c r="D3451" t="s">
        <v>1686</v>
      </c>
      <c r="F3451">
        <v>5390181</v>
      </c>
      <c r="G3451">
        <v>839486</v>
      </c>
      <c r="H3451">
        <v>238512</v>
      </c>
      <c r="I3451">
        <v>146389</v>
      </c>
      <c r="P3451">
        <v>1246</v>
      </c>
      <c r="Q3451" t="s">
        <v>7247</v>
      </c>
    </row>
    <row r="3452" spans="1:17" x14ac:dyDescent="0.3">
      <c r="A3452" t="s">
        <v>4729</v>
      </c>
      <c r="B3452" t="str">
        <f>"002728"</f>
        <v>002728</v>
      </c>
      <c r="C3452" t="s">
        <v>7248</v>
      </c>
      <c r="D3452" t="s">
        <v>188</v>
      </c>
      <c r="F3452">
        <v>37776609</v>
      </c>
      <c r="G3452">
        <v>36499458</v>
      </c>
      <c r="H3452">
        <v>44383033</v>
      </c>
      <c r="I3452">
        <v>46626177</v>
      </c>
      <c r="P3452">
        <v>286</v>
      </c>
      <c r="Q3452" t="s">
        <v>7249</v>
      </c>
    </row>
    <row r="3453" spans="1:17" x14ac:dyDescent="0.3">
      <c r="A3453" t="s">
        <v>4729</v>
      </c>
      <c r="B3453" t="str">
        <f>"002729"</f>
        <v>002729</v>
      </c>
      <c r="C3453" t="s">
        <v>7250</v>
      </c>
      <c r="D3453" t="s">
        <v>651</v>
      </c>
      <c r="F3453">
        <v>9997180</v>
      </c>
      <c r="G3453">
        <v>7853581</v>
      </c>
      <c r="H3453">
        <v>10453423</v>
      </c>
      <c r="I3453">
        <v>8230760</v>
      </c>
      <c r="P3453">
        <v>71</v>
      </c>
      <c r="Q3453" t="s">
        <v>7251</v>
      </c>
    </row>
    <row r="3454" spans="1:17" x14ac:dyDescent="0.3">
      <c r="A3454" t="s">
        <v>4729</v>
      </c>
      <c r="B3454" t="str">
        <f>"002730"</f>
        <v>002730</v>
      </c>
      <c r="C3454" t="s">
        <v>7252</v>
      </c>
      <c r="D3454" t="s">
        <v>395</v>
      </c>
      <c r="F3454">
        <v>38566632</v>
      </c>
      <c r="G3454">
        <v>36076825</v>
      </c>
      <c r="H3454">
        <v>39787933</v>
      </c>
      <c r="I3454">
        <v>39328528</v>
      </c>
      <c r="P3454">
        <v>82</v>
      </c>
      <c r="Q3454" t="s">
        <v>7253</v>
      </c>
    </row>
    <row r="3455" spans="1:17" x14ac:dyDescent="0.3">
      <c r="A3455" t="s">
        <v>4729</v>
      </c>
      <c r="B3455" t="str">
        <f>"002731"</f>
        <v>002731</v>
      </c>
      <c r="C3455" t="s">
        <v>7254</v>
      </c>
      <c r="D3455" t="s">
        <v>1238</v>
      </c>
      <c r="F3455">
        <v>1520987</v>
      </c>
      <c r="G3455">
        <v>1545489</v>
      </c>
      <c r="H3455">
        <v>1995559</v>
      </c>
      <c r="I3455">
        <v>1629616</v>
      </c>
      <c r="P3455">
        <v>81</v>
      </c>
      <c r="Q3455" t="s">
        <v>7255</v>
      </c>
    </row>
    <row r="3456" spans="1:17" x14ac:dyDescent="0.3">
      <c r="A3456" t="s">
        <v>4729</v>
      </c>
      <c r="B3456" t="str">
        <f>"002732"</f>
        <v>002732</v>
      </c>
      <c r="C3456" t="s">
        <v>7256</v>
      </c>
      <c r="D3456" t="s">
        <v>900</v>
      </c>
      <c r="F3456">
        <v>14265171</v>
      </c>
      <c r="G3456">
        <v>12396853</v>
      </c>
      <c r="H3456">
        <v>10981322</v>
      </c>
      <c r="I3456">
        <v>9557070</v>
      </c>
      <c r="P3456">
        <v>349</v>
      </c>
      <c r="Q3456" t="s">
        <v>7257</v>
      </c>
    </row>
    <row r="3457" spans="1:17" x14ac:dyDescent="0.3">
      <c r="A3457" t="s">
        <v>4729</v>
      </c>
      <c r="B3457" t="str">
        <f>"002733"</f>
        <v>002733</v>
      </c>
      <c r="C3457" t="s">
        <v>7258</v>
      </c>
      <c r="D3457" t="s">
        <v>555</v>
      </c>
      <c r="F3457">
        <v>95633910</v>
      </c>
      <c r="G3457">
        <v>65732357</v>
      </c>
      <c r="H3457">
        <v>52604283</v>
      </c>
      <c r="I3457">
        <v>33125097</v>
      </c>
      <c r="P3457">
        <v>236</v>
      </c>
      <c r="Q3457" t="s">
        <v>7259</v>
      </c>
    </row>
    <row r="3458" spans="1:17" x14ac:dyDescent="0.3">
      <c r="A3458" t="s">
        <v>4729</v>
      </c>
      <c r="B3458" t="str">
        <f>"002734"</f>
        <v>002734</v>
      </c>
      <c r="C3458" t="s">
        <v>7260</v>
      </c>
      <c r="D3458" t="s">
        <v>853</v>
      </c>
      <c r="F3458">
        <v>183613231</v>
      </c>
      <c r="G3458">
        <v>175124812</v>
      </c>
      <c r="H3458">
        <v>128273930</v>
      </c>
      <c r="I3458">
        <v>56886879</v>
      </c>
      <c r="P3458">
        <v>261</v>
      </c>
      <c r="Q3458" t="s">
        <v>7261</v>
      </c>
    </row>
    <row r="3459" spans="1:17" x14ac:dyDescent="0.3">
      <c r="A3459" t="s">
        <v>4729</v>
      </c>
      <c r="B3459" t="str">
        <f>"002735"</f>
        <v>002735</v>
      </c>
      <c r="C3459" t="s">
        <v>7262</v>
      </c>
      <c r="D3459" t="s">
        <v>485</v>
      </c>
      <c r="F3459">
        <v>19264452</v>
      </c>
      <c r="G3459">
        <v>17064194</v>
      </c>
      <c r="H3459">
        <v>14300903</v>
      </c>
      <c r="I3459">
        <v>6678318</v>
      </c>
      <c r="P3459">
        <v>71</v>
      </c>
      <c r="Q3459" t="s">
        <v>7263</v>
      </c>
    </row>
    <row r="3460" spans="1:17" x14ac:dyDescent="0.3">
      <c r="A3460" t="s">
        <v>4729</v>
      </c>
      <c r="B3460" t="str">
        <f>"002736"</f>
        <v>002736</v>
      </c>
      <c r="C3460" t="s">
        <v>7264</v>
      </c>
      <c r="D3460" t="s">
        <v>80</v>
      </c>
      <c r="P3460">
        <v>2389</v>
      </c>
      <c r="Q3460" t="s">
        <v>7265</v>
      </c>
    </row>
    <row r="3461" spans="1:17" x14ac:dyDescent="0.3">
      <c r="A3461" t="s">
        <v>4729</v>
      </c>
      <c r="B3461" t="str">
        <f>"002737"</f>
        <v>002737</v>
      </c>
      <c r="C3461" t="s">
        <v>7266</v>
      </c>
      <c r="D3461" t="s">
        <v>188</v>
      </c>
      <c r="F3461">
        <v>132065177</v>
      </c>
      <c r="G3461">
        <v>113563500</v>
      </c>
      <c r="H3461">
        <v>118251842</v>
      </c>
      <c r="I3461">
        <v>121913564</v>
      </c>
      <c r="P3461">
        <v>1117</v>
      </c>
      <c r="Q3461" t="s">
        <v>7267</v>
      </c>
    </row>
    <row r="3462" spans="1:17" x14ac:dyDescent="0.3">
      <c r="A3462" t="s">
        <v>4729</v>
      </c>
      <c r="B3462" t="str">
        <f>"002738"</f>
        <v>002738</v>
      </c>
      <c r="C3462" t="s">
        <v>7268</v>
      </c>
      <c r="D3462" t="s">
        <v>636</v>
      </c>
      <c r="F3462">
        <v>57983525</v>
      </c>
      <c r="G3462">
        <v>30934790</v>
      </c>
      <c r="H3462">
        <v>27577167</v>
      </c>
      <c r="I3462">
        <v>9978986</v>
      </c>
      <c r="P3462">
        <v>190</v>
      </c>
      <c r="Q3462" t="s">
        <v>7269</v>
      </c>
    </row>
    <row r="3463" spans="1:17" x14ac:dyDescent="0.3">
      <c r="A3463" t="s">
        <v>4729</v>
      </c>
      <c r="B3463" t="str">
        <f>"002739"</f>
        <v>002739</v>
      </c>
      <c r="C3463" t="s">
        <v>7270</v>
      </c>
      <c r="D3463" t="s">
        <v>2573</v>
      </c>
      <c r="F3463">
        <v>27107045</v>
      </c>
      <c r="G3463">
        <v>25058075</v>
      </c>
      <c r="H3463">
        <v>25568262</v>
      </c>
      <c r="P3463">
        <v>911</v>
      </c>
      <c r="Q3463" t="s">
        <v>7271</v>
      </c>
    </row>
    <row r="3464" spans="1:17" x14ac:dyDescent="0.3">
      <c r="A3464" t="s">
        <v>4729</v>
      </c>
      <c r="B3464" t="str">
        <f>"002740"</f>
        <v>002740</v>
      </c>
      <c r="C3464" t="s">
        <v>7272</v>
      </c>
      <c r="D3464" t="s">
        <v>1238</v>
      </c>
      <c r="F3464">
        <v>0</v>
      </c>
      <c r="G3464">
        <v>0</v>
      </c>
      <c r="P3464">
        <v>78</v>
      </c>
      <c r="Q3464" t="s">
        <v>7273</v>
      </c>
    </row>
    <row r="3465" spans="1:17" x14ac:dyDescent="0.3">
      <c r="A3465" t="s">
        <v>4729</v>
      </c>
      <c r="B3465" t="str">
        <f>"002741"</f>
        <v>002741</v>
      </c>
      <c r="C3465" t="s">
        <v>7274</v>
      </c>
      <c r="D3465" t="s">
        <v>2408</v>
      </c>
      <c r="F3465">
        <v>121009592</v>
      </c>
      <c r="G3465">
        <v>99819989</v>
      </c>
      <c r="H3465">
        <v>79757660</v>
      </c>
      <c r="I3465">
        <v>54999413</v>
      </c>
      <c r="P3465">
        <v>187</v>
      </c>
      <c r="Q3465" t="s">
        <v>7275</v>
      </c>
    </row>
    <row r="3466" spans="1:17" x14ac:dyDescent="0.3">
      <c r="A3466" t="s">
        <v>4729</v>
      </c>
      <c r="B3466" t="str">
        <f>"002742"</f>
        <v>002742</v>
      </c>
      <c r="C3466" t="s">
        <v>7276</v>
      </c>
      <c r="D3466" t="s">
        <v>3098</v>
      </c>
      <c r="F3466">
        <v>27500176</v>
      </c>
      <c r="G3466">
        <v>31825239</v>
      </c>
      <c r="H3466">
        <v>34100641</v>
      </c>
      <c r="I3466">
        <v>34045334</v>
      </c>
      <c r="P3466">
        <v>67</v>
      </c>
      <c r="Q3466" t="s">
        <v>7277</v>
      </c>
    </row>
    <row r="3467" spans="1:17" x14ac:dyDescent="0.3">
      <c r="A3467" t="s">
        <v>4729</v>
      </c>
      <c r="B3467" t="str">
        <f>"002743"</f>
        <v>002743</v>
      </c>
      <c r="C3467" t="s">
        <v>7278</v>
      </c>
      <c r="D3467" t="s">
        <v>978</v>
      </c>
      <c r="F3467">
        <v>200395641</v>
      </c>
      <c r="G3467">
        <v>142859963</v>
      </c>
      <c r="H3467">
        <v>145984946</v>
      </c>
      <c r="I3467">
        <v>117166552</v>
      </c>
      <c r="P3467">
        <v>77</v>
      </c>
      <c r="Q3467" t="s">
        <v>7279</v>
      </c>
    </row>
    <row r="3468" spans="1:17" x14ac:dyDescent="0.3">
      <c r="A3468" t="s">
        <v>4729</v>
      </c>
      <c r="B3468" t="str">
        <f>"002745"</f>
        <v>002745</v>
      </c>
      <c r="C3468" t="s">
        <v>7280</v>
      </c>
      <c r="D3468" t="s">
        <v>803</v>
      </c>
      <c r="F3468">
        <v>550147521</v>
      </c>
      <c r="G3468">
        <v>453257537</v>
      </c>
      <c r="H3468">
        <v>481039837</v>
      </c>
      <c r="I3468">
        <v>692112872</v>
      </c>
      <c r="P3468">
        <v>324</v>
      </c>
      <c r="Q3468" t="s">
        <v>7281</v>
      </c>
    </row>
    <row r="3469" spans="1:17" x14ac:dyDescent="0.3">
      <c r="A3469" t="s">
        <v>4729</v>
      </c>
      <c r="B3469" t="str">
        <f>"002746"</f>
        <v>002746</v>
      </c>
      <c r="C3469" t="s">
        <v>7282</v>
      </c>
      <c r="D3469" t="s">
        <v>6260</v>
      </c>
      <c r="F3469">
        <v>2405183</v>
      </c>
      <c r="G3469">
        <v>2924017</v>
      </c>
      <c r="H3469">
        <v>2555988</v>
      </c>
      <c r="I3469">
        <v>1796681</v>
      </c>
      <c r="P3469">
        <v>457</v>
      </c>
      <c r="Q3469" t="s">
        <v>7283</v>
      </c>
    </row>
    <row r="3470" spans="1:17" x14ac:dyDescent="0.3">
      <c r="A3470" t="s">
        <v>4729</v>
      </c>
      <c r="B3470" t="str">
        <f>"002747"</f>
        <v>002747</v>
      </c>
      <c r="C3470" t="s">
        <v>7284</v>
      </c>
      <c r="D3470" t="s">
        <v>2938</v>
      </c>
      <c r="F3470">
        <v>236544030</v>
      </c>
      <c r="G3470">
        <v>168744779</v>
      </c>
      <c r="H3470">
        <v>129305157</v>
      </c>
      <c r="I3470">
        <v>113393617</v>
      </c>
      <c r="P3470">
        <v>474</v>
      </c>
      <c r="Q3470" t="s">
        <v>7285</v>
      </c>
    </row>
    <row r="3471" spans="1:17" x14ac:dyDescent="0.3">
      <c r="A3471" t="s">
        <v>4729</v>
      </c>
      <c r="B3471" t="str">
        <f>"002748"</f>
        <v>002748</v>
      </c>
      <c r="C3471" t="s">
        <v>7286</v>
      </c>
      <c r="D3471" t="s">
        <v>175</v>
      </c>
      <c r="F3471">
        <v>15545429</v>
      </c>
      <c r="G3471">
        <v>10043720</v>
      </c>
      <c r="H3471">
        <v>5598495</v>
      </c>
      <c r="I3471">
        <v>4539941</v>
      </c>
      <c r="P3471">
        <v>77</v>
      </c>
      <c r="Q3471" t="s">
        <v>7287</v>
      </c>
    </row>
    <row r="3472" spans="1:17" x14ac:dyDescent="0.3">
      <c r="A3472" t="s">
        <v>4729</v>
      </c>
      <c r="B3472" t="str">
        <f>"002749"</f>
        <v>002749</v>
      </c>
      <c r="C3472" t="s">
        <v>7288</v>
      </c>
      <c r="D3472" t="s">
        <v>853</v>
      </c>
      <c r="F3472">
        <v>47692550</v>
      </c>
      <c r="G3472">
        <v>46863574</v>
      </c>
      <c r="H3472">
        <v>42213402</v>
      </c>
      <c r="I3472">
        <v>40701313</v>
      </c>
      <c r="P3472">
        <v>9783</v>
      </c>
      <c r="Q3472" t="s">
        <v>7289</v>
      </c>
    </row>
    <row r="3473" spans="1:17" x14ac:dyDescent="0.3">
      <c r="A3473" t="s">
        <v>4729</v>
      </c>
      <c r="B3473" t="str">
        <f>"002750"</f>
        <v>002750</v>
      </c>
      <c r="C3473" t="s">
        <v>7290</v>
      </c>
      <c r="D3473" t="s">
        <v>188</v>
      </c>
      <c r="F3473">
        <v>19587138</v>
      </c>
      <c r="G3473">
        <v>19599421</v>
      </c>
      <c r="H3473">
        <v>20683369</v>
      </c>
      <c r="I3473">
        <v>32298003</v>
      </c>
      <c r="P3473">
        <v>142</v>
      </c>
      <c r="Q3473" t="s">
        <v>7291</v>
      </c>
    </row>
    <row r="3474" spans="1:17" x14ac:dyDescent="0.3">
      <c r="A3474" t="s">
        <v>4729</v>
      </c>
      <c r="B3474" t="str">
        <f>"002751"</f>
        <v>002751</v>
      </c>
      <c r="C3474" t="s">
        <v>7292</v>
      </c>
      <c r="D3474" t="s">
        <v>1673</v>
      </c>
      <c r="F3474">
        <v>46331536</v>
      </c>
      <c r="G3474">
        <v>38349667</v>
      </c>
      <c r="H3474">
        <v>43974437</v>
      </c>
      <c r="I3474">
        <v>34616858</v>
      </c>
      <c r="P3474">
        <v>145</v>
      </c>
      <c r="Q3474" t="s">
        <v>7293</v>
      </c>
    </row>
    <row r="3475" spans="1:17" x14ac:dyDescent="0.3">
      <c r="A3475" t="s">
        <v>4729</v>
      </c>
      <c r="B3475" t="str">
        <f>"002752"</f>
        <v>002752</v>
      </c>
      <c r="C3475" t="s">
        <v>7294</v>
      </c>
      <c r="D3475" t="s">
        <v>2373</v>
      </c>
      <c r="F3475">
        <v>36672731</v>
      </c>
      <c r="G3475">
        <v>22010545</v>
      </c>
      <c r="H3475">
        <v>9775403</v>
      </c>
      <c r="P3475">
        <v>79</v>
      </c>
      <c r="Q3475" t="s">
        <v>7295</v>
      </c>
    </row>
    <row r="3476" spans="1:17" x14ac:dyDescent="0.3">
      <c r="A3476" t="s">
        <v>4729</v>
      </c>
      <c r="B3476" t="str">
        <f>"002753"</f>
        <v>002753</v>
      </c>
      <c r="C3476" t="s">
        <v>7296</v>
      </c>
      <c r="D3476" t="s">
        <v>3646</v>
      </c>
      <c r="F3476">
        <v>44618351</v>
      </c>
      <c r="G3476">
        <v>28581455</v>
      </c>
      <c r="H3476">
        <v>40413986</v>
      </c>
      <c r="I3476">
        <v>28279620</v>
      </c>
      <c r="P3476">
        <v>170</v>
      </c>
      <c r="Q3476" t="s">
        <v>7297</v>
      </c>
    </row>
    <row r="3477" spans="1:17" x14ac:dyDescent="0.3">
      <c r="A3477" t="s">
        <v>4729</v>
      </c>
      <c r="B3477" t="str">
        <f>"002755"</f>
        <v>002755</v>
      </c>
      <c r="C3477" t="s">
        <v>7298</v>
      </c>
      <c r="D3477" t="s">
        <v>143</v>
      </c>
      <c r="F3477">
        <v>324447403</v>
      </c>
      <c r="G3477">
        <v>255891402</v>
      </c>
      <c r="H3477">
        <v>310104048</v>
      </c>
      <c r="I3477">
        <v>290268336</v>
      </c>
      <c r="P3477">
        <v>307</v>
      </c>
      <c r="Q3477" t="s">
        <v>7299</v>
      </c>
    </row>
    <row r="3478" spans="1:17" x14ac:dyDescent="0.3">
      <c r="A3478" t="s">
        <v>4729</v>
      </c>
      <c r="B3478" t="str">
        <f>"002756"</f>
        <v>002756</v>
      </c>
      <c r="C3478" t="s">
        <v>7300</v>
      </c>
      <c r="D3478" t="s">
        <v>281</v>
      </c>
      <c r="F3478">
        <v>223071530</v>
      </c>
      <c r="G3478">
        <v>160699201</v>
      </c>
      <c r="H3478">
        <v>162384620</v>
      </c>
      <c r="I3478">
        <v>157076118</v>
      </c>
      <c r="P3478">
        <v>305</v>
      </c>
      <c r="Q3478" t="s">
        <v>7301</v>
      </c>
    </row>
    <row r="3479" spans="1:17" x14ac:dyDescent="0.3">
      <c r="A3479" t="s">
        <v>4729</v>
      </c>
      <c r="B3479" t="str">
        <f>"002757"</f>
        <v>002757</v>
      </c>
      <c r="C3479" t="s">
        <v>7302</v>
      </c>
      <c r="D3479" t="s">
        <v>741</v>
      </c>
      <c r="F3479">
        <v>126684225</v>
      </c>
      <c r="G3479">
        <v>95070292</v>
      </c>
      <c r="H3479">
        <v>61755468</v>
      </c>
      <c r="I3479">
        <v>44423173</v>
      </c>
      <c r="P3479">
        <v>267</v>
      </c>
      <c r="Q3479" t="s">
        <v>7303</v>
      </c>
    </row>
    <row r="3480" spans="1:17" x14ac:dyDescent="0.3">
      <c r="A3480" t="s">
        <v>4729</v>
      </c>
      <c r="B3480" t="str">
        <f>"002758"</f>
        <v>002758</v>
      </c>
      <c r="C3480" t="s">
        <v>7304</v>
      </c>
      <c r="D3480" t="s">
        <v>125</v>
      </c>
      <c r="F3480">
        <v>13546859</v>
      </c>
      <c r="G3480">
        <v>12569424</v>
      </c>
      <c r="H3480">
        <v>12631654</v>
      </c>
      <c r="I3480">
        <v>9040655</v>
      </c>
      <c r="P3480">
        <v>180</v>
      </c>
      <c r="Q3480" t="s">
        <v>7305</v>
      </c>
    </row>
    <row r="3481" spans="1:17" x14ac:dyDescent="0.3">
      <c r="A3481" t="s">
        <v>4729</v>
      </c>
      <c r="B3481" t="str">
        <f>"002759"</f>
        <v>002759</v>
      </c>
      <c r="C3481" t="s">
        <v>7306</v>
      </c>
      <c r="D3481" t="s">
        <v>1790</v>
      </c>
      <c r="F3481">
        <v>85230881</v>
      </c>
      <c r="G3481">
        <v>29449076</v>
      </c>
      <c r="H3481">
        <v>29947384</v>
      </c>
      <c r="I3481">
        <v>31568536</v>
      </c>
      <c r="P3481">
        <v>251</v>
      </c>
      <c r="Q3481" t="s">
        <v>7307</v>
      </c>
    </row>
    <row r="3482" spans="1:17" x14ac:dyDescent="0.3">
      <c r="A3482" t="s">
        <v>4729</v>
      </c>
      <c r="B3482" t="str">
        <f>"002760"</f>
        <v>002760</v>
      </c>
      <c r="C3482" t="s">
        <v>7308</v>
      </c>
      <c r="D3482" t="s">
        <v>404</v>
      </c>
      <c r="F3482">
        <v>37432823</v>
      </c>
      <c r="G3482">
        <v>31965867</v>
      </c>
      <c r="H3482">
        <v>21314434</v>
      </c>
      <c r="I3482">
        <v>13877513</v>
      </c>
      <c r="P3482">
        <v>72</v>
      </c>
      <c r="Q3482" t="s">
        <v>7309</v>
      </c>
    </row>
    <row r="3483" spans="1:17" x14ac:dyDescent="0.3">
      <c r="A3483" t="s">
        <v>4729</v>
      </c>
      <c r="B3483" t="str">
        <f>"002761"</f>
        <v>002761</v>
      </c>
      <c r="C3483" t="s">
        <v>7310</v>
      </c>
      <c r="D3483" t="s">
        <v>398</v>
      </c>
      <c r="F3483">
        <v>336041590</v>
      </c>
      <c r="G3483">
        <v>253886859</v>
      </c>
      <c r="H3483">
        <v>154236393</v>
      </c>
      <c r="I3483">
        <v>23969569</v>
      </c>
      <c r="P3483">
        <v>195</v>
      </c>
      <c r="Q3483" t="s">
        <v>7311</v>
      </c>
    </row>
    <row r="3484" spans="1:17" x14ac:dyDescent="0.3">
      <c r="A3484" t="s">
        <v>4729</v>
      </c>
      <c r="B3484" t="str">
        <f>"002762"</f>
        <v>002762</v>
      </c>
      <c r="C3484" t="s">
        <v>7312</v>
      </c>
      <c r="D3484" t="s">
        <v>255</v>
      </c>
      <c r="F3484">
        <v>14233425</v>
      </c>
      <c r="G3484">
        <v>13381860</v>
      </c>
      <c r="H3484">
        <v>13994536</v>
      </c>
      <c r="I3484">
        <v>16813871</v>
      </c>
      <c r="P3484">
        <v>128</v>
      </c>
      <c r="Q3484" t="s">
        <v>7313</v>
      </c>
    </row>
    <row r="3485" spans="1:17" x14ac:dyDescent="0.3">
      <c r="A3485" t="s">
        <v>4729</v>
      </c>
      <c r="B3485" t="str">
        <f>"002763"</f>
        <v>002763</v>
      </c>
      <c r="C3485" t="s">
        <v>7314</v>
      </c>
      <c r="D3485" t="s">
        <v>330</v>
      </c>
      <c r="F3485">
        <v>36436665</v>
      </c>
      <c r="G3485">
        <v>24088155</v>
      </c>
      <c r="H3485">
        <v>20172777</v>
      </c>
      <c r="I3485">
        <v>16832381</v>
      </c>
      <c r="P3485">
        <v>293</v>
      </c>
      <c r="Q3485" t="s">
        <v>7315</v>
      </c>
    </row>
    <row r="3486" spans="1:17" x14ac:dyDescent="0.3">
      <c r="A3486" t="s">
        <v>4729</v>
      </c>
      <c r="B3486" t="str">
        <f>"002765"</f>
        <v>002765</v>
      </c>
      <c r="C3486" t="s">
        <v>7316</v>
      </c>
      <c r="D3486" t="s">
        <v>1117</v>
      </c>
      <c r="F3486">
        <v>125888812</v>
      </c>
      <c r="G3486">
        <v>121519263</v>
      </c>
      <c r="H3486">
        <v>73101124</v>
      </c>
      <c r="I3486">
        <v>28086724</v>
      </c>
      <c r="P3486">
        <v>118</v>
      </c>
      <c r="Q3486" t="s">
        <v>7317</v>
      </c>
    </row>
    <row r="3487" spans="1:17" x14ac:dyDescent="0.3">
      <c r="A3487" t="s">
        <v>4729</v>
      </c>
      <c r="B3487" t="str">
        <f>"002766"</f>
        <v>002766</v>
      </c>
      <c r="C3487" t="s">
        <v>7318</v>
      </c>
      <c r="D3487" t="s">
        <v>1415</v>
      </c>
      <c r="F3487">
        <v>122947430</v>
      </c>
      <c r="G3487">
        <v>105653408</v>
      </c>
      <c r="H3487">
        <v>112410867</v>
      </c>
      <c r="I3487">
        <v>133672052</v>
      </c>
      <c r="J3487">
        <v>20843078</v>
      </c>
      <c r="K3487">
        <v>4640699</v>
      </c>
      <c r="P3487">
        <v>85</v>
      </c>
      <c r="Q3487" t="s">
        <v>7319</v>
      </c>
    </row>
    <row r="3488" spans="1:17" x14ac:dyDescent="0.3">
      <c r="A3488" t="s">
        <v>4729</v>
      </c>
      <c r="B3488" t="str">
        <f>"002767"</f>
        <v>002767</v>
      </c>
      <c r="C3488" t="s">
        <v>7320</v>
      </c>
      <c r="D3488" t="s">
        <v>2566</v>
      </c>
      <c r="F3488">
        <v>27904727</v>
      </c>
      <c r="G3488">
        <v>23538879</v>
      </c>
      <c r="H3488">
        <v>23087714</v>
      </c>
      <c r="I3488">
        <v>21281472</v>
      </c>
      <c r="P3488">
        <v>72</v>
      </c>
      <c r="Q3488" t="s">
        <v>7321</v>
      </c>
    </row>
    <row r="3489" spans="1:17" x14ac:dyDescent="0.3">
      <c r="A3489" t="s">
        <v>4729</v>
      </c>
      <c r="B3489" t="str">
        <f>"002768"</f>
        <v>002768</v>
      </c>
      <c r="C3489" t="s">
        <v>7322</v>
      </c>
      <c r="D3489" t="s">
        <v>341</v>
      </c>
      <c r="F3489">
        <v>280653115</v>
      </c>
      <c r="G3489">
        <v>230369928</v>
      </c>
      <c r="H3489">
        <v>165479922</v>
      </c>
      <c r="I3489">
        <v>108685031</v>
      </c>
      <c r="P3489">
        <v>595</v>
      </c>
      <c r="Q3489" t="s">
        <v>7323</v>
      </c>
    </row>
    <row r="3490" spans="1:17" x14ac:dyDescent="0.3">
      <c r="A3490" t="s">
        <v>4729</v>
      </c>
      <c r="B3490" t="str">
        <f>"002769"</f>
        <v>002769</v>
      </c>
      <c r="C3490" t="s">
        <v>7324</v>
      </c>
      <c r="D3490" t="s">
        <v>3125</v>
      </c>
      <c r="F3490">
        <v>14943261</v>
      </c>
      <c r="G3490">
        <v>15232416</v>
      </c>
      <c r="H3490">
        <v>17320824</v>
      </c>
      <c r="I3490">
        <v>12655614</v>
      </c>
      <c r="P3490">
        <v>96</v>
      </c>
      <c r="Q3490" t="s">
        <v>7325</v>
      </c>
    </row>
    <row r="3491" spans="1:17" x14ac:dyDescent="0.3">
      <c r="A3491" t="s">
        <v>4729</v>
      </c>
      <c r="B3491" t="str">
        <f>"002770"</f>
        <v>002770</v>
      </c>
      <c r="C3491" t="s">
        <v>7326</v>
      </c>
      <c r="D3491" t="s">
        <v>900</v>
      </c>
      <c r="F3491">
        <v>152072097</v>
      </c>
      <c r="G3491">
        <v>0</v>
      </c>
      <c r="P3491">
        <v>163</v>
      </c>
      <c r="Q3491" t="s">
        <v>7327</v>
      </c>
    </row>
    <row r="3492" spans="1:17" x14ac:dyDescent="0.3">
      <c r="A3492" t="s">
        <v>4729</v>
      </c>
      <c r="B3492" t="str">
        <f>"002771"</f>
        <v>002771</v>
      </c>
      <c r="C3492" t="s">
        <v>7328</v>
      </c>
      <c r="D3492" t="s">
        <v>316</v>
      </c>
      <c r="F3492">
        <v>38767444</v>
      </c>
      <c r="G3492">
        <v>45280419</v>
      </c>
      <c r="H3492">
        <v>48130614</v>
      </c>
      <c r="I3492">
        <v>49445993</v>
      </c>
      <c r="P3492">
        <v>95</v>
      </c>
      <c r="Q3492" t="s">
        <v>7329</v>
      </c>
    </row>
    <row r="3493" spans="1:17" x14ac:dyDescent="0.3">
      <c r="A3493" t="s">
        <v>4729</v>
      </c>
      <c r="B3493" t="str">
        <f>"002772"</f>
        <v>002772</v>
      </c>
      <c r="C3493" t="s">
        <v>7330</v>
      </c>
      <c r="D3493" t="s">
        <v>7331</v>
      </c>
      <c r="F3493">
        <v>7165056</v>
      </c>
      <c r="G3493">
        <v>7206552</v>
      </c>
      <c r="H3493">
        <v>3442430</v>
      </c>
      <c r="I3493">
        <v>3194098</v>
      </c>
      <c r="P3493">
        <v>202</v>
      </c>
      <c r="Q3493" t="s">
        <v>7332</v>
      </c>
    </row>
    <row r="3494" spans="1:17" x14ac:dyDescent="0.3">
      <c r="A3494" t="s">
        <v>4729</v>
      </c>
      <c r="B3494" t="str">
        <f>"002773"</f>
        <v>002773</v>
      </c>
      <c r="C3494" t="s">
        <v>7333</v>
      </c>
      <c r="D3494" t="s">
        <v>143</v>
      </c>
      <c r="F3494">
        <v>1008364892</v>
      </c>
      <c r="G3494">
        <v>1676067711</v>
      </c>
      <c r="H3494">
        <v>286942868</v>
      </c>
      <c r="I3494">
        <v>230365772</v>
      </c>
      <c r="P3494">
        <v>5281</v>
      </c>
      <c r="Q3494" t="s">
        <v>7334</v>
      </c>
    </row>
    <row r="3495" spans="1:17" x14ac:dyDescent="0.3">
      <c r="A3495" t="s">
        <v>4729</v>
      </c>
      <c r="B3495" t="str">
        <f>"002774"</f>
        <v>002774</v>
      </c>
      <c r="C3495" t="s">
        <v>7335</v>
      </c>
      <c r="D3495" t="s">
        <v>1691</v>
      </c>
      <c r="F3495">
        <v>38642366</v>
      </c>
      <c r="G3495">
        <v>27595594</v>
      </c>
      <c r="H3495">
        <v>26400229</v>
      </c>
      <c r="I3495">
        <v>26524149</v>
      </c>
      <c r="P3495">
        <v>79</v>
      </c>
      <c r="Q3495" t="s">
        <v>7336</v>
      </c>
    </row>
    <row r="3496" spans="1:17" x14ac:dyDescent="0.3">
      <c r="A3496" t="s">
        <v>4729</v>
      </c>
      <c r="B3496" t="str">
        <f>"002775"</f>
        <v>002775</v>
      </c>
      <c r="C3496" t="s">
        <v>7337</v>
      </c>
      <c r="D3496" t="s">
        <v>2417</v>
      </c>
      <c r="F3496">
        <v>59806547</v>
      </c>
      <c r="G3496">
        <v>79316028</v>
      </c>
      <c r="H3496">
        <v>23089941</v>
      </c>
      <c r="I3496">
        <v>10076905</v>
      </c>
      <c r="P3496">
        <v>218</v>
      </c>
      <c r="Q3496" t="s">
        <v>7338</v>
      </c>
    </row>
    <row r="3497" spans="1:17" x14ac:dyDescent="0.3">
      <c r="A3497" t="s">
        <v>4729</v>
      </c>
      <c r="B3497" t="str">
        <f>"002776"</f>
        <v>002776</v>
      </c>
      <c r="C3497" t="s">
        <v>7339</v>
      </c>
      <c r="D3497" t="s">
        <v>255</v>
      </c>
      <c r="G3497">
        <v>13905813</v>
      </c>
      <c r="H3497">
        <v>20769023</v>
      </c>
      <c r="I3497">
        <v>26290006</v>
      </c>
      <c r="P3497">
        <v>125</v>
      </c>
      <c r="Q3497" t="s">
        <v>7340</v>
      </c>
    </row>
    <row r="3498" spans="1:17" x14ac:dyDescent="0.3">
      <c r="A3498" t="s">
        <v>4729</v>
      </c>
      <c r="B3498" t="str">
        <f>"002777"</f>
        <v>002777</v>
      </c>
      <c r="C3498" t="s">
        <v>7341</v>
      </c>
      <c r="D3498" t="s">
        <v>316</v>
      </c>
      <c r="F3498">
        <v>164763611</v>
      </c>
      <c r="G3498">
        <v>153250099</v>
      </c>
      <c r="H3498">
        <v>85385784</v>
      </c>
      <c r="I3498">
        <v>44837071</v>
      </c>
      <c r="P3498">
        <v>372</v>
      </c>
      <c r="Q3498" t="s">
        <v>7342</v>
      </c>
    </row>
    <row r="3499" spans="1:17" x14ac:dyDescent="0.3">
      <c r="A3499" t="s">
        <v>4729</v>
      </c>
      <c r="B3499" t="str">
        <f>"002778"</f>
        <v>002778</v>
      </c>
      <c r="C3499" t="s">
        <v>7343</v>
      </c>
      <c r="D3499" t="s">
        <v>1617</v>
      </c>
      <c r="F3499">
        <v>26827365</v>
      </c>
      <c r="G3499">
        <v>26792909</v>
      </c>
      <c r="H3499">
        <v>21841325</v>
      </c>
      <c r="I3499">
        <v>20740060</v>
      </c>
      <c r="P3499">
        <v>75</v>
      </c>
      <c r="Q3499" t="s">
        <v>7344</v>
      </c>
    </row>
    <row r="3500" spans="1:17" x14ac:dyDescent="0.3">
      <c r="A3500" t="s">
        <v>4729</v>
      </c>
      <c r="B3500" t="str">
        <f>"002779"</f>
        <v>002779</v>
      </c>
      <c r="C3500" t="s">
        <v>7345</v>
      </c>
      <c r="D3500" t="s">
        <v>741</v>
      </c>
      <c r="F3500">
        <v>29911172</v>
      </c>
      <c r="G3500">
        <v>25994200</v>
      </c>
      <c r="H3500">
        <v>20711405</v>
      </c>
      <c r="I3500">
        <v>31162826</v>
      </c>
      <c r="P3500">
        <v>54</v>
      </c>
      <c r="Q3500" t="s">
        <v>7346</v>
      </c>
    </row>
    <row r="3501" spans="1:17" x14ac:dyDescent="0.3">
      <c r="A3501" t="s">
        <v>4729</v>
      </c>
      <c r="B3501" t="str">
        <f>"002780"</f>
        <v>002780</v>
      </c>
      <c r="C3501" t="s">
        <v>7347</v>
      </c>
      <c r="D3501" t="s">
        <v>3017</v>
      </c>
      <c r="F3501">
        <v>10917092</v>
      </c>
      <c r="G3501">
        <v>9721679</v>
      </c>
      <c r="H3501">
        <v>10872776</v>
      </c>
      <c r="I3501">
        <v>12268501</v>
      </c>
      <c r="P3501">
        <v>85</v>
      </c>
      <c r="Q3501" t="s">
        <v>7348</v>
      </c>
    </row>
    <row r="3502" spans="1:17" x14ac:dyDescent="0.3">
      <c r="A3502" t="s">
        <v>4729</v>
      </c>
      <c r="B3502" t="str">
        <f>"002781"</f>
        <v>002781</v>
      </c>
      <c r="C3502" t="s">
        <v>7349</v>
      </c>
      <c r="D3502" t="s">
        <v>450</v>
      </c>
      <c r="F3502">
        <v>40473483</v>
      </c>
      <c r="G3502">
        <v>81918552</v>
      </c>
      <c r="H3502">
        <v>128952280</v>
      </c>
      <c r="I3502">
        <v>22950738</v>
      </c>
      <c r="P3502">
        <v>68</v>
      </c>
      <c r="Q3502" t="s">
        <v>7350</v>
      </c>
    </row>
    <row r="3503" spans="1:17" x14ac:dyDescent="0.3">
      <c r="A3503" t="s">
        <v>4729</v>
      </c>
      <c r="B3503" t="str">
        <f>"002782"</f>
        <v>002782</v>
      </c>
      <c r="C3503" t="s">
        <v>7351</v>
      </c>
      <c r="D3503" t="s">
        <v>313</v>
      </c>
      <c r="F3503">
        <v>69618998</v>
      </c>
      <c r="G3503">
        <v>46152069</v>
      </c>
      <c r="H3503">
        <v>39676898</v>
      </c>
      <c r="I3503">
        <v>35878508</v>
      </c>
      <c r="P3503">
        <v>167</v>
      </c>
      <c r="Q3503" t="s">
        <v>7352</v>
      </c>
    </row>
    <row r="3504" spans="1:17" x14ac:dyDescent="0.3">
      <c r="A3504" t="s">
        <v>4729</v>
      </c>
      <c r="B3504" t="str">
        <f>"002783"</f>
        <v>002783</v>
      </c>
      <c r="C3504" t="s">
        <v>7353</v>
      </c>
      <c r="D3504" t="s">
        <v>2736</v>
      </c>
      <c r="F3504">
        <v>45486397</v>
      </c>
      <c r="G3504">
        <v>29972583</v>
      </c>
      <c r="H3504">
        <v>50858757</v>
      </c>
      <c r="I3504">
        <v>40032233</v>
      </c>
      <c r="P3504">
        <v>112</v>
      </c>
      <c r="Q3504" t="s">
        <v>7354</v>
      </c>
    </row>
    <row r="3505" spans="1:17" x14ac:dyDescent="0.3">
      <c r="A3505" t="s">
        <v>4729</v>
      </c>
      <c r="B3505" t="str">
        <f>"002785"</f>
        <v>002785</v>
      </c>
      <c r="C3505" t="s">
        <v>7355</v>
      </c>
      <c r="D3505" t="s">
        <v>722</v>
      </c>
      <c r="F3505">
        <v>0</v>
      </c>
      <c r="G3505">
        <v>0</v>
      </c>
      <c r="P3505">
        <v>57</v>
      </c>
      <c r="Q3505" t="s">
        <v>7356</v>
      </c>
    </row>
    <row r="3506" spans="1:17" x14ac:dyDescent="0.3">
      <c r="A3506" t="s">
        <v>4729</v>
      </c>
      <c r="B3506" t="str">
        <f>"002786"</f>
        <v>002786</v>
      </c>
      <c r="C3506" t="s">
        <v>7357</v>
      </c>
      <c r="D3506" t="s">
        <v>741</v>
      </c>
      <c r="F3506">
        <v>180824838</v>
      </c>
      <c r="G3506">
        <v>212636844</v>
      </c>
      <c r="H3506">
        <v>149353717</v>
      </c>
      <c r="I3506">
        <v>116135990</v>
      </c>
      <c r="P3506">
        <v>176</v>
      </c>
      <c r="Q3506" t="s">
        <v>7358</v>
      </c>
    </row>
    <row r="3507" spans="1:17" x14ac:dyDescent="0.3">
      <c r="A3507" t="s">
        <v>4729</v>
      </c>
      <c r="B3507" t="str">
        <f>"002787"</f>
        <v>002787</v>
      </c>
      <c r="C3507" t="s">
        <v>7359</v>
      </c>
      <c r="D3507" t="s">
        <v>2373</v>
      </c>
      <c r="F3507">
        <v>86014234</v>
      </c>
      <c r="G3507">
        <v>69542178</v>
      </c>
      <c r="H3507">
        <v>60615442</v>
      </c>
      <c r="I3507">
        <v>44698138</v>
      </c>
      <c r="P3507">
        <v>102</v>
      </c>
      <c r="Q3507" t="s">
        <v>7360</v>
      </c>
    </row>
    <row r="3508" spans="1:17" x14ac:dyDescent="0.3">
      <c r="A3508" t="s">
        <v>4729</v>
      </c>
      <c r="B3508" t="str">
        <f>"002788"</f>
        <v>002788</v>
      </c>
      <c r="C3508" t="s">
        <v>7361</v>
      </c>
      <c r="D3508" t="s">
        <v>125</v>
      </c>
      <c r="F3508">
        <v>2972163</v>
      </c>
      <c r="G3508">
        <v>3860574</v>
      </c>
      <c r="H3508">
        <v>5187537</v>
      </c>
      <c r="I3508">
        <v>2642688</v>
      </c>
      <c r="P3508">
        <v>162</v>
      </c>
      <c r="Q3508" t="s">
        <v>7362</v>
      </c>
    </row>
    <row r="3509" spans="1:17" x14ac:dyDescent="0.3">
      <c r="A3509" t="s">
        <v>4729</v>
      </c>
      <c r="B3509" t="str">
        <f>"002789"</f>
        <v>002789</v>
      </c>
      <c r="C3509" t="s">
        <v>7363</v>
      </c>
      <c r="D3509" t="s">
        <v>450</v>
      </c>
      <c r="F3509">
        <v>60617079</v>
      </c>
      <c r="G3509">
        <v>70992741</v>
      </c>
      <c r="H3509">
        <v>92009980</v>
      </c>
      <c r="I3509">
        <v>92361329</v>
      </c>
      <c r="P3509">
        <v>57</v>
      </c>
      <c r="Q3509" t="s">
        <v>7364</v>
      </c>
    </row>
    <row r="3510" spans="1:17" x14ac:dyDescent="0.3">
      <c r="A3510" t="s">
        <v>4729</v>
      </c>
      <c r="B3510" t="str">
        <f>"002790"</f>
        <v>002790</v>
      </c>
      <c r="C3510" t="s">
        <v>7365</v>
      </c>
      <c r="D3510" t="s">
        <v>2912</v>
      </c>
      <c r="F3510">
        <v>71518075</v>
      </c>
      <c r="G3510">
        <v>53557436</v>
      </c>
      <c r="H3510">
        <v>43458189</v>
      </c>
      <c r="I3510">
        <v>41021331</v>
      </c>
      <c r="P3510">
        <v>138</v>
      </c>
      <c r="Q3510" t="s">
        <v>7366</v>
      </c>
    </row>
    <row r="3511" spans="1:17" x14ac:dyDescent="0.3">
      <c r="A3511" t="s">
        <v>4729</v>
      </c>
      <c r="B3511" t="str">
        <f>"002791"</f>
        <v>002791</v>
      </c>
      <c r="C3511" t="s">
        <v>7367</v>
      </c>
      <c r="D3511" t="s">
        <v>722</v>
      </c>
      <c r="F3511">
        <v>310082575</v>
      </c>
      <c r="G3511">
        <v>267446818</v>
      </c>
      <c r="H3511">
        <v>253368808</v>
      </c>
      <c r="I3511">
        <v>183654685</v>
      </c>
      <c r="P3511">
        <v>554</v>
      </c>
      <c r="Q3511" t="s">
        <v>7368</v>
      </c>
    </row>
    <row r="3512" spans="1:17" x14ac:dyDescent="0.3">
      <c r="A3512" t="s">
        <v>4729</v>
      </c>
      <c r="B3512" t="str">
        <f>"002792"</f>
        <v>002792</v>
      </c>
      <c r="C3512" t="s">
        <v>7369</v>
      </c>
      <c r="D3512" t="s">
        <v>1019</v>
      </c>
      <c r="F3512">
        <v>103471607</v>
      </c>
      <c r="G3512">
        <v>115142596</v>
      </c>
      <c r="H3512">
        <v>133912593</v>
      </c>
      <c r="I3512">
        <v>115556457</v>
      </c>
      <c r="P3512">
        <v>343</v>
      </c>
      <c r="Q3512" t="s">
        <v>7370</v>
      </c>
    </row>
    <row r="3513" spans="1:17" x14ac:dyDescent="0.3">
      <c r="A3513" t="s">
        <v>4729</v>
      </c>
      <c r="B3513" t="str">
        <f>"002793"</f>
        <v>002793</v>
      </c>
      <c r="C3513" t="s">
        <v>7371</v>
      </c>
      <c r="D3513" t="s">
        <v>143</v>
      </c>
      <c r="F3513">
        <v>320945911</v>
      </c>
      <c r="G3513">
        <v>361267555</v>
      </c>
      <c r="H3513">
        <v>419994870</v>
      </c>
      <c r="I3513">
        <v>33353722</v>
      </c>
      <c r="P3513">
        <v>213</v>
      </c>
      <c r="Q3513" t="s">
        <v>7372</v>
      </c>
    </row>
    <row r="3514" spans="1:17" x14ac:dyDescent="0.3">
      <c r="A3514" t="s">
        <v>4729</v>
      </c>
      <c r="B3514" t="str">
        <f>"002795"</f>
        <v>002795</v>
      </c>
      <c r="C3514" t="s">
        <v>7373</v>
      </c>
      <c r="D3514" t="s">
        <v>274</v>
      </c>
      <c r="F3514">
        <v>18710677</v>
      </c>
      <c r="G3514">
        <v>14058335</v>
      </c>
      <c r="H3514">
        <v>18582996</v>
      </c>
      <c r="I3514">
        <v>16035711</v>
      </c>
      <c r="P3514">
        <v>73</v>
      </c>
      <c r="Q3514" t="s">
        <v>7374</v>
      </c>
    </row>
    <row r="3515" spans="1:17" x14ac:dyDescent="0.3">
      <c r="A3515" t="s">
        <v>4729</v>
      </c>
      <c r="B3515" t="str">
        <f>"002796"</f>
        <v>002796</v>
      </c>
      <c r="C3515" t="s">
        <v>7375</v>
      </c>
      <c r="D3515" t="s">
        <v>1691</v>
      </c>
      <c r="F3515">
        <v>66370172</v>
      </c>
      <c r="G3515">
        <v>75924286</v>
      </c>
      <c r="H3515">
        <v>81545724</v>
      </c>
      <c r="I3515">
        <v>46552814</v>
      </c>
      <c r="P3515">
        <v>248</v>
      </c>
      <c r="Q3515" t="s">
        <v>7376</v>
      </c>
    </row>
    <row r="3516" spans="1:17" x14ac:dyDescent="0.3">
      <c r="A3516" t="s">
        <v>4729</v>
      </c>
      <c r="B3516" t="str">
        <f>"002797"</f>
        <v>002797</v>
      </c>
      <c r="C3516" t="s">
        <v>7377</v>
      </c>
      <c r="D3516" t="s">
        <v>80</v>
      </c>
      <c r="P3516">
        <v>838</v>
      </c>
      <c r="Q3516" t="s">
        <v>7378</v>
      </c>
    </row>
    <row r="3517" spans="1:17" x14ac:dyDescent="0.3">
      <c r="A3517" t="s">
        <v>4729</v>
      </c>
      <c r="B3517" t="str">
        <f>"002798"</f>
        <v>002798</v>
      </c>
      <c r="C3517" t="s">
        <v>7379</v>
      </c>
      <c r="D3517" t="s">
        <v>178</v>
      </c>
      <c r="F3517">
        <v>250771751</v>
      </c>
      <c r="G3517">
        <v>245529934</v>
      </c>
      <c r="H3517">
        <v>238098682</v>
      </c>
      <c r="I3517">
        <v>170561161</v>
      </c>
      <c r="P3517">
        <v>374</v>
      </c>
      <c r="Q3517" t="s">
        <v>7380</v>
      </c>
    </row>
    <row r="3518" spans="1:17" x14ac:dyDescent="0.3">
      <c r="A3518" t="s">
        <v>4729</v>
      </c>
      <c r="B3518" t="str">
        <f>"002799"</f>
        <v>002799</v>
      </c>
      <c r="C3518" t="s">
        <v>7381</v>
      </c>
      <c r="D3518" t="s">
        <v>2165</v>
      </c>
      <c r="F3518">
        <v>52320363</v>
      </c>
      <c r="G3518">
        <v>31483643</v>
      </c>
      <c r="H3518">
        <v>24238894</v>
      </c>
      <c r="I3518">
        <v>16112861</v>
      </c>
      <c r="P3518">
        <v>109</v>
      </c>
      <c r="Q3518" t="s">
        <v>7382</v>
      </c>
    </row>
    <row r="3519" spans="1:17" x14ac:dyDescent="0.3">
      <c r="A3519" t="s">
        <v>4729</v>
      </c>
      <c r="B3519" t="str">
        <f>"002800"</f>
        <v>002800</v>
      </c>
      <c r="C3519" t="s">
        <v>7383</v>
      </c>
      <c r="D3519" t="s">
        <v>2503</v>
      </c>
      <c r="F3519">
        <v>220880</v>
      </c>
      <c r="G3519">
        <v>1189696</v>
      </c>
      <c r="H3519">
        <v>2503899</v>
      </c>
      <c r="I3519">
        <v>2387105</v>
      </c>
      <c r="P3519">
        <v>86</v>
      </c>
      <c r="Q3519" t="s">
        <v>7384</v>
      </c>
    </row>
    <row r="3520" spans="1:17" x14ac:dyDescent="0.3">
      <c r="A3520" t="s">
        <v>4729</v>
      </c>
      <c r="B3520" t="str">
        <f>"002801"</f>
        <v>002801</v>
      </c>
      <c r="C3520" t="s">
        <v>7385</v>
      </c>
      <c r="D3520" t="s">
        <v>1171</v>
      </c>
      <c r="F3520">
        <v>44412027</v>
      </c>
      <c r="G3520">
        <v>34159901</v>
      </c>
      <c r="H3520">
        <v>34624198</v>
      </c>
      <c r="I3520">
        <v>32663808</v>
      </c>
      <c r="P3520">
        <v>201</v>
      </c>
      <c r="Q3520" t="s">
        <v>7386</v>
      </c>
    </row>
    <row r="3521" spans="1:17" x14ac:dyDescent="0.3">
      <c r="A3521" t="s">
        <v>4729</v>
      </c>
      <c r="B3521" t="str">
        <f>"002802"</f>
        <v>002802</v>
      </c>
      <c r="C3521" t="s">
        <v>7387</v>
      </c>
      <c r="D3521" t="s">
        <v>386</v>
      </c>
      <c r="F3521">
        <v>27394336</v>
      </c>
      <c r="G3521">
        <v>23243672</v>
      </c>
      <c r="H3521">
        <v>23425009</v>
      </c>
      <c r="I3521">
        <v>25241234</v>
      </c>
      <c r="P3521">
        <v>102</v>
      </c>
      <c r="Q3521" t="s">
        <v>7388</v>
      </c>
    </row>
    <row r="3522" spans="1:17" x14ac:dyDescent="0.3">
      <c r="A3522" t="s">
        <v>4729</v>
      </c>
      <c r="B3522" t="str">
        <f>"002803"</f>
        <v>002803</v>
      </c>
      <c r="C3522" t="s">
        <v>7389</v>
      </c>
      <c r="D3522" t="s">
        <v>2020</v>
      </c>
      <c r="F3522">
        <v>126000911</v>
      </c>
      <c r="G3522">
        <v>80301177</v>
      </c>
      <c r="H3522">
        <v>63703539</v>
      </c>
      <c r="I3522">
        <v>34638981</v>
      </c>
      <c r="P3522">
        <v>601</v>
      </c>
      <c r="Q3522" t="s">
        <v>7390</v>
      </c>
    </row>
    <row r="3523" spans="1:17" x14ac:dyDescent="0.3">
      <c r="A3523" t="s">
        <v>4729</v>
      </c>
      <c r="B3523" t="str">
        <f>"002805"</f>
        <v>002805</v>
      </c>
      <c r="C3523" t="s">
        <v>7391</v>
      </c>
      <c r="D3523" t="s">
        <v>1233</v>
      </c>
      <c r="F3523">
        <v>9304414</v>
      </c>
      <c r="G3523">
        <v>10180792</v>
      </c>
      <c r="H3523">
        <v>3618916</v>
      </c>
      <c r="I3523">
        <v>5183730</v>
      </c>
      <c r="P3523">
        <v>113</v>
      </c>
      <c r="Q3523" t="s">
        <v>7392</v>
      </c>
    </row>
    <row r="3524" spans="1:17" x14ac:dyDescent="0.3">
      <c r="A3524" t="s">
        <v>4729</v>
      </c>
      <c r="B3524" t="str">
        <f>"002806"</f>
        <v>002806</v>
      </c>
      <c r="C3524" t="s">
        <v>7393</v>
      </c>
      <c r="D3524" t="s">
        <v>504</v>
      </c>
      <c r="F3524">
        <v>53697771</v>
      </c>
      <c r="G3524">
        <v>49883063</v>
      </c>
      <c r="H3524">
        <v>31967694</v>
      </c>
      <c r="I3524">
        <v>10565376</v>
      </c>
      <c r="P3524">
        <v>99</v>
      </c>
      <c r="Q3524" t="s">
        <v>7394</v>
      </c>
    </row>
    <row r="3525" spans="1:17" x14ac:dyDescent="0.3">
      <c r="A3525" t="s">
        <v>4729</v>
      </c>
      <c r="B3525" t="str">
        <f>"002807"</f>
        <v>002807</v>
      </c>
      <c r="C3525" t="s">
        <v>7395</v>
      </c>
      <c r="D3525" t="s">
        <v>1831</v>
      </c>
      <c r="P3525">
        <v>571</v>
      </c>
      <c r="Q3525" t="s">
        <v>7396</v>
      </c>
    </row>
    <row r="3526" spans="1:17" x14ac:dyDescent="0.3">
      <c r="A3526" t="s">
        <v>4729</v>
      </c>
      <c r="B3526" t="str">
        <f>"002808"</f>
        <v>002808</v>
      </c>
      <c r="C3526" t="s">
        <v>7397</v>
      </c>
      <c r="D3526" t="s">
        <v>164</v>
      </c>
      <c r="F3526">
        <v>19819858</v>
      </c>
      <c r="G3526">
        <v>20285068</v>
      </c>
      <c r="H3526">
        <v>14257020</v>
      </c>
      <c r="I3526">
        <v>14719202</v>
      </c>
      <c r="P3526">
        <v>73</v>
      </c>
      <c r="Q3526" t="s">
        <v>7398</v>
      </c>
    </row>
    <row r="3527" spans="1:17" x14ac:dyDescent="0.3">
      <c r="A3527" t="s">
        <v>4729</v>
      </c>
      <c r="B3527" t="str">
        <f>"002809"</f>
        <v>002809</v>
      </c>
      <c r="C3527" t="s">
        <v>7399</v>
      </c>
      <c r="D3527" t="s">
        <v>386</v>
      </c>
      <c r="F3527">
        <v>55219289</v>
      </c>
      <c r="G3527">
        <v>42782694</v>
      </c>
      <c r="H3527">
        <v>35815965</v>
      </c>
      <c r="I3527">
        <v>16271225</v>
      </c>
      <c r="P3527">
        <v>99</v>
      </c>
      <c r="Q3527" t="s">
        <v>7400</v>
      </c>
    </row>
    <row r="3528" spans="1:17" x14ac:dyDescent="0.3">
      <c r="A3528" t="s">
        <v>4729</v>
      </c>
      <c r="B3528" t="str">
        <f>"002810"</f>
        <v>002810</v>
      </c>
      <c r="C3528" t="s">
        <v>7401</v>
      </c>
      <c r="D3528" t="s">
        <v>386</v>
      </c>
      <c r="F3528">
        <v>70801392</v>
      </c>
      <c r="G3528">
        <v>58703197</v>
      </c>
      <c r="H3528">
        <v>45774297</v>
      </c>
      <c r="I3528">
        <v>35635709</v>
      </c>
      <c r="P3528">
        <v>421</v>
      </c>
      <c r="Q3528" t="s">
        <v>7402</v>
      </c>
    </row>
    <row r="3529" spans="1:17" x14ac:dyDescent="0.3">
      <c r="A3529" t="s">
        <v>4729</v>
      </c>
      <c r="B3529" t="str">
        <f>"002811"</f>
        <v>002811</v>
      </c>
      <c r="C3529" t="s">
        <v>7403</v>
      </c>
      <c r="D3529" t="s">
        <v>450</v>
      </c>
      <c r="F3529">
        <v>103604332</v>
      </c>
      <c r="G3529">
        <v>98141661</v>
      </c>
      <c r="H3529">
        <v>98050344</v>
      </c>
      <c r="I3529">
        <v>92429795</v>
      </c>
      <c r="P3529">
        <v>95</v>
      </c>
      <c r="Q3529" t="s">
        <v>7404</v>
      </c>
    </row>
    <row r="3530" spans="1:17" x14ac:dyDescent="0.3">
      <c r="A3530" t="s">
        <v>4729</v>
      </c>
      <c r="B3530" t="str">
        <f>"002812"</f>
        <v>002812</v>
      </c>
      <c r="C3530" t="s">
        <v>7405</v>
      </c>
      <c r="D3530" t="s">
        <v>1790</v>
      </c>
      <c r="F3530">
        <v>409178730</v>
      </c>
      <c r="G3530">
        <v>178243333</v>
      </c>
      <c r="H3530">
        <v>154913208</v>
      </c>
      <c r="I3530">
        <v>96649923</v>
      </c>
      <c r="P3530">
        <v>1583</v>
      </c>
      <c r="Q3530" t="s">
        <v>7406</v>
      </c>
    </row>
    <row r="3531" spans="1:17" x14ac:dyDescent="0.3">
      <c r="A3531" t="s">
        <v>4729</v>
      </c>
      <c r="B3531" t="str">
        <f>"002813"</f>
        <v>002813</v>
      </c>
      <c r="C3531" t="s">
        <v>7407</v>
      </c>
      <c r="D3531" t="s">
        <v>1415</v>
      </c>
      <c r="F3531">
        <v>17382527</v>
      </c>
      <c r="G3531">
        <v>30522102</v>
      </c>
      <c r="H3531">
        <v>79913640</v>
      </c>
      <c r="I3531">
        <v>61391945</v>
      </c>
      <c r="P3531">
        <v>113</v>
      </c>
      <c r="Q3531" t="s">
        <v>7408</v>
      </c>
    </row>
    <row r="3532" spans="1:17" x14ac:dyDescent="0.3">
      <c r="A3532" t="s">
        <v>4729</v>
      </c>
      <c r="B3532" t="str">
        <f>"002815"</f>
        <v>002815</v>
      </c>
      <c r="C3532" t="s">
        <v>7409</v>
      </c>
      <c r="D3532" t="s">
        <v>425</v>
      </c>
      <c r="F3532">
        <v>262274213</v>
      </c>
      <c r="G3532">
        <v>265928655</v>
      </c>
      <c r="H3532">
        <v>217757836</v>
      </c>
      <c r="I3532">
        <v>169851559</v>
      </c>
      <c r="P3532">
        <v>919</v>
      </c>
      <c r="Q3532" t="s">
        <v>7410</v>
      </c>
    </row>
    <row r="3533" spans="1:17" x14ac:dyDescent="0.3">
      <c r="A3533" t="s">
        <v>4729</v>
      </c>
      <c r="B3533" t="str">
        <f>"002816"</f>
        <v>002816</v>
      </c>
      <c r="C3533" t="s">
        <v>7411</v>
      </c>
      <c r="D3533" t="s">
        <v>741</v>
      </c>
      <c r="F3533">
        <v>10069129</v>
      </c>
      <c r="G3533">
        <v>8824975</v>
      </c>
      <c r="H3533">
        <v>15789028</v>
      </c>
      <c r="I3533">
        <v>15020005</v>
      </c>
      <c r="P3533">
        <v>46</v>
      </c>
      <c r="Q3533" t="s">
        <v>7412</v>
      </c>
    </row>
    <row r="3534" spans="1:17" x14ac:dyDescent="0.3">
      <c r="A3534" t="s">
        <v>4729</v>
      </c>
      <c r="B3534" t="str">
        <f>"002817"</f>
        <v>002817</v>
      </c>
      <c r="C3534" t="s">
        <v>7413</v>
      </c>
      <c r="D3534" t="s">
        <v>1077</v>
      </c>
      <c r="F3534">
        <v>13439132</v>
      </c>
      <c r="G3534">
        <v>9348495</v>
      </c>
      <c r="H3534">
        <v>12774859</v>
      </c>
      <c r="I3534">
        <v>13139291</v>
      </c>
      <c r="P3534">
        <v>126</v>
      </c>
      <c r="Q3534" t="s">
        <v>7414</v>
      </c>
    </row>
    <row r="3535" spans="1:17" x14ac:dyDescent="0.3">
      <c r="A3535" t="s">
        <v>4729</v>
      </c>
      <c r="B3535" t="str">
        <f>"002818"</f>
        <v>002818</v>
      </c>
      <c r="C3535" t="s">
        <v>7415</v>
      </c>
      <c r="D3535" t="s">
        <v>271</v>
      </c>
      <c r="F3535">
        <v>0</v>
      </c>
      <c r="G3535">
        <v>0</v>
      </c>
      <c r="P3535">
        <v>868</v>
      </c>
      <c r="Q3535" t="s">
        <v>7416</v>
      </c>
    </row>
    <row r="3536" spans="1:17" x14ac:dyDescent="0.3">
      <c r="A3536" t="s">
        <v>4729</v>
      </c>
      <c r="B3536" t="str">
        <f>"002819"</f>
        <v>002819</v>
      </c>
      <c r="C3536" t="s">
        <v>7417</v>
      </c>
      <c r="D3536" t="s">
        <v>2566</v>
      </c>
      <c r="F3536">
        <v>46817129</v>
      </c>
      <c r="G3536">
        <v>28340175</v>
      </c>
      <c r="H3536">
        <v>25974522</v>
      </c>
      <c r="I3536">
        <v>14908382</v>
      </c>
      <c r="P3536">
        <v>139</v>
      </c>
      <c r="Q3536" t="s">
        <v>7418</v>
      </c>
    </row>
    <row r="3537" spans="1:17" x14ac:dyDescent="0.3">
      <c r="A3537" t="s">
        <v>4729</v>
      </c>
      <c r="B3537" t="str">
        <f>"002820"</f>
        <v>002820</v>
      </c>
      <c r="C3537" t="s">
        <v>7419</v>
      </c>
      <c r="D3537" t="s">
        <v>2488</v>
      </c>
      <c r="F3537">
        <v>4802966</v>
      </c>
      <c r="G3537">
        <v>5204893</v>
      </c>
      <c r="H3537">
        <v>4764944</v>
      </c>
      <c r="I3537">
        <v>3994327</v>
      </c>
      <c r="P3537">
        <v>146</v>
      </c>
      <c r="Q3537" t="s">
        <v>7420</v>
      </c>
    </row>
    <row r="3538" spans="1:17" x14ac:dyDescent="0.3">
      <c r="A3538" t="s">
        <v>4729</v>
      </c>
      <c r="B3538" t="str">
        <f>"002821"</f>
        <v>002821</v>
      </c>
      <c r="C3538" t="s">
        <v>7421</v>
      </c>
      <c r="D3538" t="s">
        <v>1461</v>
      </c>
      <c r="F3538">
        <v>387478328</v>
      </c>
      <c r="G3538">
        <v>258934280</v>
      </c>
      <c r="H3538">
        <v>192521783</v>
      </c>
      <c r="I3538">
        <v>155177744</v>
      </c>
      <c r="P3538">
        <v>2408</v>
      </c>
      <c r="Q3538" t="s">
        <v>7422</v>
      </c>
    </row>
    <row r="3539" spans="1:17" x14ac:dyDescent="0.3">
      <c r="A3539" t="s">
        <v>4729</v>
      </c>
      <c r="B3539" t="str">
        <f>"002822"</f>
        <v>002822</v>
      </c>
      <c r="C3539" t="s">
        <v>7423</v>
      </c>
      <c r="D3539" t="s">
        <v>450</v>
      </c>
      <c r="F3539">
        <v>181414227</v>
      </c>
      <c r="G3539">
        <v>170003654</v>
      </c>
      <c r="H3539">
        <v>151820097</v>
      </c>
      <c r="I3539">
        <v>11952403</v>
      </c>
      <c r="P3539">
        <v>134</v>
      </c>
      <c r="Q3539" t="s">
        <v>7424</v>
      </c>
    </row>
    <row r="3540" spans="1:17" x14ac:dyDescent="0.3">
      <c r="A3540" t="s">
        <v>4729</v>
      </c>
      <c r="B3540" t="str">
        <f>"002823"</f>
        <v>002823</v>
      </c>
      <c r="C3540" t="s">
        <v>7425</v>
      </c>
      <c r="D3540" t="s">
        <v>1171</v>
      </c>
      <c r="F3540">
        <v>72228710</v>
      </c>
      <c r="G3540">
        <v>84957868</v>
      </c>
      <c r="H3540">
        <v>101233321</v>
      </c>
      <c r="I3540">
        <v>67360306</v>
      </c>
      <c r="P3540">
        <v>158</v>
      </c>
      <c r="Q3540" t="s">
        <v>7426</v>
      </c>
    </row>
    <row r="3541" spans="1:17" x14ac:dyDescent="0.3">
      <c r="A3541" t="s">
        <v>4729</v>
      </c>
      <c r="B3541" t="str">
        <f>"002824"</f>
        <v>002824</v>
      </c>
      <c r="C3541" t="s">
        <v>7427</v>
      </c>
      <c r="D3541" t="s">
        <v>504</v>
      </c>
      <c r="F3541">
        <v>101218547</v>
      </c>
      <c r="G3541">
        <v>65397173</v>
      </c>
      <c r="H3541">
        <v>55245528</v>
      </c>
      <c r="I3541">
        <v>32811202</v>
      </c>
      <c r="P3541">
        <v>169</v>
      </c>
      <c r="Q3541" t="s">
        <v>7428</v>
      </c>
    </row>
    <row r="3542" spans="1:17" x14ac:dyDescent="0.3">
      <c r="A3542" t="s">
        <v>4729</v>
      </c>
      <c r="B3542" t="str">
        <f>"002825"</f>
        <v>002825</v>
      </c>
      <c r="C3542" t="s">
        <v>7429</v>
      </c>
      <c r="D3542" t="s">
        <v>1192</v>
      </c>
      <c r="F3542">
        <v>85618855</v>
      </c>
      <c r="G3542">
        <v>59648287</v>
      </c>
      <c r="H3542">
        <v>50759188</v>
      </c>
      <c r="I3542">
        <v>37128462</v>
      </c>
      <c r="P3542">
        <v>100</v>
      </c>
      <c r="Q3542" t="s">
        <v>7430</v>
      </c>
    </row>
    <row r="3543" spans="1:17" x14ac:dyDescent="0.3">
      <c r="A3543" t="s">
        <v>4729</v>
      </c>
      <c r="B3543" t="str">
        <f>"002826"</f>
        <v>002826</v>
      </c>
      <c r="C3543" t="s">
        <v>7431</v>
      </c>
      <c r="D3543" t="s">
        <v>143</v>
      </c>
      <c r="F3543">
        <v>11390281</v>
      </c>
      <c r="G3543">
        <v>6847909</v>
      </c>
      <c r="H3543">
        <v>4996691</v>
      </c>
      <c r="I3543">
        <v>16408887</v>
      </c>
      <c r="P3543">
        <v>127</v>
      </c>
      <c r="Q3543" t="s">
        <v>7432</v>
      </c>
    </row>
    <row r="3544" spans="1:17" x14ac:dyDescent="0.3">
      <c r="A3544" t="s">
        <v>4729</v>
      </c>
      <c r="B3544" t="str">
        <f>"002827"</f>
        <v>002827</v>
      </c>
      <c r="C3544" t="s">
        <v>7433</v>
      </c>
      <c r="D3544" t="s">
        <v>2736</v>
      </c>
      <c r="F3544">
        <v>27600428</v>
      </c>
      <c r="G3544">
        <v>15436600</v>
      </c>
      <c r="H3544">
        <v>257018</v>
      </c>
      <c r="P3544">
        <v>89</v>
      </c>
      <c r="Q3544" t="s">
        <v>7434</v>
      </c>
    </row>
    <row r="3545" spans="1:17" x14ac:dyDescent="0.3">
      <c r="A3545" t="s">
        <v>4729</v>
      </c>
      <c r="B3545" t="str">
        <f>"002828"</f>
        <v>002828</v>
      </c>
      <c r="C3545" t="s">
        <v>7435</v>
      </c>
      <c r="D3545" t="s">
        <v>1762</v>
      </c>
      <c r="F3545">
        <v>44601671</v>
      </c>
      <c r="G3545">
        <v>20420493</v>
      </c>
      <c r="H3545">
        <v>23799015</v>
      </c>
      <c r="I3545">
        <v>13261249</v>
      </c>
      <c r="P3545">
        <v>73</v>
      </c>
      <c r="Q3545" t="s">
        <v>7436</v>
      </c>
    </row>
    <row r="3546" spans="1:17" x14ac:dyDescent="0.3">
      <c r="A3546" t="s">
        <v>4729</v>
      </c>
      <c r="B3546" t="str">
        <f>"002829"</f>
        <v>002829</v>
      </c>
      <c r="C3546" t="s">
        <v>7437</v>
      </c>
      <c r="D3546" t="s">
        <v>284</v>
      </c>
      <c r="F3546">
        <v>113823001</v>
      </c>
      <c r="G3546">
        <v>89883887</v>
      </c>
      <c r="H3546">
        <v>80870867</v>
      </c>
      <c r="I3546">
        <v>66366337</v>
      </c>
      <c r="P3546">
        <v>132</v>
      </c>
      <c r="Q3546" t="s">
        <v>7438</v>
      </c>
    </row>
    <row r="3547" spans="1:17" x14ac:dyDescent="0.3">
      <c r="A3547" t="s">
        <v>4729</v>
      </c>
      <c r="B3547" t="str">
        <f>"002830"</f>
        <v>002830</v>
      </c>
      <c r="C3547" t="s">
        <v>7439</v>
      </c>
      <c r="D3547" t="s">
        <v>450</v>
      </c>
      <c r="F3547">
        <v>12848524</v>
      </c>
      <c r="G3547">
        <v>12439544</v>
      </c>
      <c r="H3547">
        <v>16826480</v>
      </c>
      <c r="I3547">
        <v>17134326</v>
      </c>
      <c r="P3547">
        <v>77</v>
      </c>
      <c r="Q3547" t="s">
        <v>7440</v>
      </c>
    </row>
    <row r="3548" spans="1:17" x14ac:dyDescent="0.3">
      <c r="A3548" t="s">
        <v>4729</v>
      </c>
      <c r="B3548" t="str">
        <f>"002831"</f>
        <v>002831</v>
      </c>
      <c r="C3548" t="s">
        <v>7441</v>
      </c>
      <c r="D3548" t="s">
        <v>2165</v>
      </c>
      <c r="F3548">
        <v>586458563</v>
      </c>
      <c r="G3548">
        <v>496839901</v>
      </c>
      <c r="H3548">
        <v>435325955</v>
      </c>
      <c r="I3548">
        <v>315567242</v>
      </c>
      <c r="P3548">
        <v>663</v>
      </c>
      <c r="Q3548" t="s">
        <v>7442</v>
      </c>
    </row>
    <row r="3549" spans="1:17" x14ac:dyDescent="0.3">
      <c r="A3549" t="s">
        <v>4729</v>
      </c>
      <c r="B3549" t="str">
        <f>"002832"</f>
        <v>002832</v>
      </c>
      <c r="C3549" t="s">
        <v>7443</v>
      </c>
      <c r="D3549" t="s">
        <v>255</v>
      </c>
      <c r="F3549">
        <v>83388129</v>
      </c>
      <c r="G3549">
        <v>64804859</v>
      </c>
      <c r="H3549">
        <v>59105930</v>
      </c>
      <c r="I3549">
        <v>46325371</v>
      </c>
      <c r="P3549">
        <v>636</v>
      </c>
      <c r="Q3549" t="s">
        <v>7444</v>
      </c>
    </row>
    <row r="3550" spans="1:17" x14ac:dyDescent="0.3">
      <c r="A3550" t="s">
        <v>4729</v>
      </c>
      <c r="B3550" t="str">
        <f>"002833"</f>
        <v>002833</v>
      </c>
      <c r="C3550" t="s">
        <v>7445</v>
      </c>
      <c r="D3550" t="s">
        <v>741</v>
      </c>
      <c r="F3550">
        <v>98566531</v>
      </c>
      <c r="G3550">
        <v>65808735</v>
      </c>
      <c r="H3550">
        <v>49596255</v>
      </c>
      <c r="I3550">
        <v>34121976</v>
      </c>
      <c r="P3550">
        <v>2868</v>
      </c>
      <c r="Q3550" t="s">
        <v>7446</v>
      </c>
    </row>
    <row r="3551" spans="1:17" x14ac:dyDescent="0.3">
      <c r="A3551" t="s">
        <v>4729</v>
      </c>
      <c r="B3551" t="str">
        <f>"002835"</f>
        <v>002835</v>
      </c>
      <c r="C3551" t="s">
        <v>7447</v>
      </c>
      <c r="D3551" t="s">
        <v>2980</v>
      </c>
      <c r="F3551">
        <v>143760177</v>
      </c>
      <c r="G3551">
        <v>125611070</v>
      </c>
      <c r="H3551">
        <v>106113787</v>
      </c>
      <c r="I3551">
        <v>88095226</v>
      </c>
      <c r="P3551">
        <v>94</v>
      </c>
      <c r="Q3551" t="s">
        <v>7448</v>
      </c>
    </row>
    <row r="3552" spans="1:17" x14ac:dyDescent="0.3">
      <c r="A3552" t="s">
        <v>4729</v>
      </c>
      <c r="B3552" t="str">
        <f>"002836"</f>
        <v>002836</v>
      </c>
      <c r="C3552" t="s">
        <v>7449</v>
      </c>
      <c r="D3552" t="s">
        <v>2165</v>
      </c>
      <c r="F3552">
        <v>10371009</v>
      </c>
      <c r="G3552">
        <v>13448032</v>
      </c>
      <c r="H3552">
        <v>21524625</v>
      </c>
      <c r="I3552">
        <v>13896944</v>
      </c>
      <c r="P3552">
        <v>63</v>
      </c>
      <c r="Q3552" t="s">
        <v>7450</v>
      </c>
    </row>
    <row r="3553" spans="1:17" x14ac:dyDescent="0.3">
      <c r="A3553" t="s">
        <v>4729</v>
      </c>
      <c r="B3553" t="str">
        <f>"002837"</f>
        <v>002837</v>
      </c>
      <c r="C3553" t="s">
        <v>7451</v>
      </c>
      <c r="D3553" t="s">
        <v>741</v>
      </c>
      <c r="F3553">
        <v>150124947</v>
      </c>
      <c r="G3553">
        <v>115544767</v>
      </c>
      <c r="H3553">
        <v>88780290</v>
      </c>
      <c r="I3553">
        <v>58054324</v>
      </c>
      <c r="P3553">
        <v>396</v>
      </c>
      <c r="Q3553" t="s">
        <v>7452</v>
      </c>
    </row>
    <row r="3554" spans="1:17" x14ac:dyDescent="0.3">
      <c r="A3554" t="s">
        <v>4729</v>
      </c>
      <c r="B3554" t="str">
        <f>"002838"</f>
        <v>002838</v>
      </c>
      <c r="C3554" t="s">
        <v>7453</v>
      </c>
      <c r="D3554" t="s">
        <v>341</v>
      </c>
      <c r="F3554">
        <v>156384271</v>
      </c>
      <c r="G3554">
        <v>181691116</v>
      </c>
      <c r="H3554">
        <v>98911410</v>
      </c>
      <c r="I3554">
        <v>40358189</v>
      </c>
      <c r="P3554">
        <v>614</v>
      </c>
      <c r="Q3554" t="s">
        <v>7454</v>
      </c>
    </row>
    <row r="3555" spans="1:17" x14ac:dyDescent="0.3">
      <c r="A3555" t="s">
        <v>4729</v>
      </c>
      <c r="B3555" t="str">
        <f>"002839"</f>
        <v>002839</v>
      </c>
      <c r="C3555" t="s">
        <v>7455</v>
      </c>
      <c r="D3555" t="s">
        <v>1831</v>
      </c>
      <c r="P3555">
        <v>474</v>
      </c>
      <c r="Q3555" t="s">
        <v>7456</v>
      </c>
    </row>
    <row r="3556" spans="1:17" x14ac:dyDescent="0.3">
      <c r="A3556" t="s">
        <v>4729</v>
      </c>
      <c r="B3556" t="str">
        <f>"002840"</f>
        <v>002840</v>
      </c>
      <c r="C3556" t="s">
        <v>7457</v>
      </c>
      <c r="D3556" t="s">
        <v>170</v>
      </c>
      <c r="F3556">
        <v>22473043</v>
      </c>
      <c r="G3556">
        <v>22105366</v>
      </c>
      <c r="H3556">
        <v>33393846</v>
      </c>
      <c r="I3556">
        <v>16100636</v>
      </c>
      <c r="P3556">
        <v>600</v>
      </c>
      <c r="Q3556" t="s">
        <v>7458</v>
      </c>
    </row>
    <row r="3557" spans="1:17" x14ac:dyDescent="0.3">
      <c r="A3557" t="s">
        <v>4729</v>
      </c>
      <c r="B3557" t="str">
        <f>"002841"</f>
        <v>002841</v>
      </c>
      <c r="C3557" t="s">
        <v>7459</v>
      </c>
      <c r="D3557" t="s">
        <v>1285</v>
      </c>
      <c r="F3557">
        <v>1163313855</v>
      </c>
      <c r="G3557">
        <v>881423877</v>
      </c>
      <c r="H3557">
        <v>1001422821</v>
      </c>
      <c r="I3557">
        <v>787648091</v>
      </c>
      <c r="P3557">
        <v>3100</v>
      </c>
      <c r="Q3557" t="s">
        <v>7460</v>
      </c>
    </row>
    <row r="3558" spans="1:17" x14ac:dyDescent="0.3">
      <c r="A3558" t="s">
        <v>4729</v>
      </c>
      <c r="B3558" t="str">
        <f>"002842"</f>
        <v>002842</v>
      </c>
      <c r="C3558" t="s">
        <v>7461</v>
      </c>
      <c r="D3558" t="s">
        <v>1110</v>
      </c>
      <c r="F3558">
        <v>67535702</v>
      </c>
      <c r="G3558">
        <v>58634573</v>
      </c>
      <c r="H3558">
        <v>44831307</v>
      </c>
      <c r="I3558">
        <v>43098347</v>
      </c>
      <c r="P3558">
        <v>99</v>
      </c>
      <c r="Q3558" t="s">
        <v>7462</v>
      </c>
    </row>
    <row r="3559" spans="1:17" x14ac:dyDescent="0.3">
      <c r="A3559" t="s">
        <v>4729</v>
      </c>
      <c r="B3559" t="str">
        <f>"002843"</f>
        <v>002843</v>
      </c>
      <c r="C3559" t="s">
        <v>7463</v>
      </c>
      <c r="D3559" t="s">
        <v>274</v>
      </c>
      <c r="F3559">
        <v>27973534</v>
      </c>
      <c r="G3559">
        <v>14585276</v>
      </c>
      <c r="H3559">
        <v>14179485</v>
      </c>
      <c r="I3559">
        <v>11727442</v>
      </c>
      <c r="P3559">
        <v>74</v>
      </c>
      <c r="Q3559" t="s">
        <v>7464</v>
      </c>
    </row>
    <row r="3560" spans="1:17" x14ac:dyDescent="0.3">
      <c r="A3560" t="s">
        <v>4729</v>
      </c>
      <c r="B3560" t="str">
        <f>"002845"</f>
        <v>002845</v>
      </c>
      <c r="C3560" t="s">
        <v>7465</v>
      </c>
      <c r="D3560" t="s">
        <v>1117</v>
      </c>
      <c r="F3560">
        <v>386638062</v>
      </c>
      <c r="G3560">
        <v>305125680</v>
      </c>
      <c r="H3560">
        <v>213248486</v>
      </c>
      <c r="I3560">
        <v>98750169</v>
      </c>
      <c r="P3560">
        <v>222</v>
      </c>
      <c r="Q3560" t="s">
        <v>7466</v>
      </c>
    </row>
    <row r="3561" spans="1:17" x14ac:dyDescent="0.3">
      <c r="A3561" t="s">
        <v>4729</v>
      </c>
      <c r="B3561" t="str">
        <f>"002846"</f>
        <v>002846</v>
      </c>
      <c r="C3561" t="s">
        <v>7467</v>
      </c>
      <c r="D3561" t="s">
        <v>2373</v>
      </c>
      <c r="F3561">
        <v>65743846</v>
      </c>
      <c r="G3561">
        <v>37257824</v>
      </c>
      <c r="H3561">
        <v>30914049</v>
      </c>
      <c r="I3561">
        <v>18060375</v>
      </c>
      <c r="P3561">
        <v>109</v>
      </c>
      <c r="Q3561" t="s">
        <v>7468</v>
      </c>
    </row>
    <row r="3562" spans="1:17" x14ac:dyDescent="0.3">
      <c r="A3562" t="s">
        <v>4729</v>
      </c>
      <c r="B3562" t="str">
        <f>"002847"</f>
        <v>002847</v>
      </c>
      <c r="C3562" t="s">
        <v>7469</v>
      </c>
      <c r="D3562" t="s">
        <v>3194</v>
      </c>
      <c r="F3562">
        <v>55190165</v>
      </c>
      <c r="G3562">
        <v>51500758</v>
      </c>
      <c r="H3562">
        <v>26900715</v>
      </c>
      <c r="I3562">
        <v>23175422</v>
      </c>
      <c r="P3562">
        <v>742</v>
      </c>
      <c r="Q3562" t="s">
        <v>7470</v>
      </c>
    </row>
    <row r="3563" spans="1:17" x14ac:dyDescent="0.3">
      <c r="A3563" t="s">
        <v>4729</v>
      </c>
      <c r="B3563" t="str">
        <f>"002848"</f>
        <v>002848</v>
      </c>
      <c r="C3563" t="s">
        <v>7471</v>
      </c>
      <c r="D3563" t="s">
        <v>4467</v>
      </c>
      <c r="F3563">
        <v>47211845</v>
      </c>
      <c r="G3563">
        <v>51372603</v>
      </c>
      <c r="H3563">
        <v>42453976</v>
      </c>
      <c r="I3563">
        <v>54543180</v>
      </c>
      <c r="P3563">
        <v>189</v>
      </c>
      <c r="Q3563" t="s">
        <v>7472</v>
      </c>
    </row>
    <row r="3564" spans="1:17" x14ac:dyDescent="0.3">
      <c r="A3564" t="s">
        <v>4729</v>
      </c>
      <c r="B3564" t="str">
        <f>"002849"</f>
        <v>002849</v>
      </c>
      <c r="C3564" t="s">
        <v>7473</v>
      </c>
      <c r="D3564" t="s">
        <v>2566</v>
      </c>
      <c r="F3564">
        <v>54633824</v>
      </c>
      <c r="G3564">
        <v>51266524</v>
      </c>
      <c r="H3564">
        <v>48898455</v>
      </c>
      <c r="I3564">
        <v>41092869</v>
      </c>
      <c r="P3564">
        <v>176</v>
      </c>
      <c r="Q3564" t="s">
        <v>7474</v>
      </c>
    </row>
    <row r="3565" spans="1:17" x14ac:dyDescent="0.3">
      <c r="A3565" t="s">
        <v>4729</v>
      </c>
      <c r="B3565" t="str">
        <f>"002850"</f>
        <v>002850</v>
      </c>
      <c r="C3565" t="s">
        <v>7475</v>
      </c>
      <c r="D3565" t="s">
        <v>359</v>
      </c>
      <c r="F3565">
        <v>275231985</v>
      </c>
      <c r="G3565">
        <v>132411721</v>
      </c>
      <c r="H3565">
        <v>130127338</v>
      </c>
      <c r="I3565">
        <v>107200368</v>
      </c>
      <c r="P3565">
        <v>381</v>
      </c>
      <c r="Q3565" t="s">
        <v>7476</v>
      </c>
    </row>
    <row r="3566" spans="1:17" x14ac:dyDescent="0.3">
      <c r="A3566" t="s">
        <v>4729</v>
      </c>
      <c r="B3566" t="str">
        <f>"002851"</f>
        <v>002851</v>
      </c>
      <c r="C3566" t="s">
        <v>7477</v>
      </c>
      <c r="D3566" t="s">
        <v>880</v>
      </c>
      <c r="F3566">
        <v>460674223</v>
      </c>
      <c r="G3566">
        <v>367923417</v>
      </c>
      <c r="H3566">
        <v>335469544</v>
      </c>
      <c r="I3566">
        <v>251890222</v>
      </c>
      <c r="P3566">
        <v>565</v>
      </c>
      <c r="Q3566" t="s">
        <v>7478</v>
      </c>
    </row>
    <row r="3567" spans="1:17" x14ac:dyDescent="0.3">
      <c r="A3567" t="s">
        <v>4729</v>
      </c>
      <c r="B3567" t="str">
        <f>"002852"</f>
        <v>002852</v>
      </c>
      <c r="C3567" t="s">
        <v>7479</v>
      </c>
      <c r="D3567" t="s">
        <v>306</v>
      </c>
      <c r="F3567">
        <v>5763963</v>
      </c>
      <c r="G3567">
        <v>4932661</v>
      </c>
      <c r="H3567">
        <v>3765608</v>
      </c>
      <c r="I3567">
        <v>3113450</v>
      </c>
      <c r="P3567">
        <v>141</v>
      </c>
      <c r="Q3567" t="s">
        <v>7480</v>
      </c>
    </row>
    <row r="3568" spans="1:17" x14ac:dyDescent="0.3">
      <c r="A3568" t="s">
        <v>4729</v>
      </c>
      <c r="B3568" t="str">
        <f>"002853"</f>
        <v>002853</v>
      </c>
      <c r="C3568" t="s">
        <v>7481</v>
      </c>
      <c r="D3568" t="s">
        <v>2664</v>
      </c>
      <c r="F3568">
        <v>51630060</v>
      </c>
      <c r="G3568">
        <v>45870147</v>
      </c>
      <c r="H3568">
        <v>37353727</v>
      </c>
      <c r="I3568">
        <v>35847259</v>
      </c>
      <c r="P3568">
        <v>379</v>
      </c>
      <c r="Q3568" t="s">
        <v>7482</v>
      </c>
    </row>
    <row r="3569" spans="1:17" x14ac:dyDescent="0.3">
      <c r="A3569" t="s">
        <v>4729</v>
      </c>
      <c r="B3569" t="str">
        <f>"002855"</f>
        <v>002855</v>
      </c>
      <c r="C3569" t="s">
        <v>7483</v>
      </c>
      <c r="D3569" t="s">
        <v>313</v>
      </c>
      <c r="F3569">
        <v>92406049</v>
      </c>
      <c r="G3569">
        <v>81878814</v>
      </c>
      <c r="H3569">
        <v>89127081</v>
      </c>
      <c r="I3569">
        <v>71227486</v>
      </c>
      <c r="P3569">
        <v>138</v>
      </c>
      <c r="Q3569" t="s">
        <v>7484</v>
      </c>
    </row>
    <row r="3570" spans="1:17" x14ac:dyDescent="0.3">
      <c r="A3570" t="s">
        <v>4729</v>
      </c>
      <c r="B3570" t="str">
        <f>"002856"</f>
        <v>002856</v>
      </c>
      <c r="C3570" t="s">
        <v>7485</v>
      </c>
      <c r="D3570" t="s">
        <v>450</v>
      </c>
      <c r="F3570">
        <v>0</v>
      </c>
      <c r="G3570">
        <v>0</v>
      </c>
      <c r="P3570">
        <v>51</v>
      </c>
      <c r="Q3570" t="s">
        <v>7486</v>
      </c>
    </row>
    <row r="3571" spans="1:17" x14ac:dyDescent="0.3">
      <c r="A3571" t="s">
        <v>4729</v>
      </c>
      <c r="B3571" t="str">
        <f>"002857"</f>
        <v>002857</v>
      </c>
      <c r="C3571" t="s">
        <v>7487</v>
      </c>
      <c r="D3571" t="s">
        <v>2180</v>
      </c>
      <c r="F3571">
        <v>14880004</v>
      </c>
      <c r="G3571">
        <v>15746579</v>
      </c>
      <c r="H3571">
        <v>15025814</v>
      </c>
      <c r="I3571">
        <v>13636853</v>
      </c>
      <c r="P3571">
        <v>45</v>
      </c>
      <c r="Q3571" t="s">
        <v>7488</v>
      </c>
    </row>
    <row r="3572" spans="1:17" x14ac:dyDescent="0.3">
      <c r="A3572" t="s">
        <v>4729</v>
      </c>
      <c r="B3572" t="str">
        <f>"002858"</f>
        <v>002858</v>
      </c>
      <c r="C3572" t="s">
        <v>7489</v>
      </c>
      <c r="D3572" t="s">
        <v>327</v>
      </c>
      <c r="F3572">
        <v>14404304</v>
      </c>
      <c r="G3572">
        <v>14609645</v>
      </c>
      <c r="H3572">
        <v>19060364</v>
      </c>
      <c r="I3572">
        <v>15505015</v>
      </c>
      <c r="P3572">
        <v>75</v>
      </c>
      <c r="Q3572" t="s">
        <v>7490</v>
      </c>
    </row>
    <row r="3573" spans="1:17" x14ac:dyDescent="0.3">
      <c r="A3573" t="s">
        <v>4729</v>
      </c>
      <c r="B3573" t="str">
        <f>"002859"</f>
        <v>002859</v>
      </c>
      <c r="C3573" t="s">
        <v>7491</v>
      </c>
      <c r="D3573" t="s">
        <v>651</v>
      </c>
      <c r="F3573">
        <v>110697776</v>
      </c>
      <c r="G3573">
        <v>78161650</v>
      </c>
      <c r="H3573">
        <v>70822661</v>
      </c>
      <c r="I3573">
        <v>63765048</v>
      </c>
      <c r="P3573">
        <v>2969</v>
      </c>
      <c r="Q3573" t="s">
        <v>7492</v>
      </c>
    </row>
    <row r="3574" spans="1:17" x14ac:dyDescent="0.3">
      <c r="A3574" t="s">
        <v>4729</v>
      </c>
      <c r="B3574" t="str">
        <f>"002860"</f>
        <v>002860</v>
      </c>
      <c r="C3574" t="s">
        <v>7493</v>
      </c>
      <c r="D3574" t="s">
        <v>1253</v>
      </c>
      <c r="F3574">
        <v>49191759</v>
      </c>
      <c r="G3574">
        <v>37177728</v>
      </c>
      <c r="H3574">
        <v>31499731</v>
      </c>
      <c r="I3574">
        <v>19569242</v>
      </c>
      <c r="P3574">
        <v>249</v>
      </c>
      <c r="Q3574" t="s">
        <v>7494</v>
      </c>
    </row>
    <row r="3575" spans="1:17" x14ac:dyDescent="0.3">
      <c r="A3575" t="s">
        <v>4729</v>
      </c>
      <c r="B3575" t="str">
        <f>"002861"</f>
        <v>002861</v>
      </c>
      <c r="C3575" t="s">
        <v>7495</v>
      </c>
      <c r="D3575" t="s">
        <v>313</v>
      </c>
      <c r="F3575">
        <v>89929594</v>
      </c>
      <c r="G3575">
        <v>82851416</v>
      </c>
      <c r="H3575">
        <v>56278994</v>
      </c>
      <c r="I3575">
        <v>43674011</v>
      </c>
      <c r="P3575">
        <v>155</v>
      </c>
      <c r="Q3575" t="s">
        <v>7496</v>
      </c>
    </row>
    <row r="3576" spans="1:17" x14ac:dyDescent="0.3">
      <c r="A3576" t="s">
        <v>4729</v>
      </c>
      <c r="B3576" t="str">
        <f>"002862"</f>
        <v>002862</v>
      </c>
      <c r="C3576" t="s">
        <v>7497</v>
      </c>
      <c r="D3576" t="s">
        <v>2931</v>
      </c>
      <c r="F3576">
        <v>10521095</v>
      </c>
      <c r="G3576">
        <v>11325579</v>
      </c>
      <c r="H3576">
        <v>12173036</v>
      </c>
      <c r="I3576">
        <v>11088455</v>
      </c>
      <c r="P3576">
        <v>66</v>
      </c>
      <c r="Q3576" t="s">
        <v>7498</v>
      </c>
    </row>
    <row r="3577" spans="1:17" x14ac:dyDescent="0.3">
      <c r="A3577" t="s">
        <v>4729</v>
      </c>
      <c r="B3577" t="str">
        <f>"002863"</f>
        <v>002863</v>
      </c>
      <c r="C3577" t="s">
        <v>7499</v>
      </c>
      <c r="D3577" t="s">
        <v>422</v>
      </c>
      <c r="F3577">
        <v>152834146</v>
      </c>
      <c r="G3577">
        <v>87027555</v>
      </c>
      <c r="H3577">
        <v>82165478</v>
      </c>
      <c r="I3577">
        <v>86460846</v>
      </c>
      <c r="P3577">
        <v>104</v>
      </c>
      <c r="Q3577" t="s">
        <v>7500</v>
      </c>
    </row>
    <row r="3578" spans="1:17" x14ac:dyDescent="0.3">
      <c r="A3578" t="s">
        <v>4729</v>
      </c>
      <c r="B3578" t="str">
        <f>"002864"</f>
        <v>002864</v>
      </c>
      <c r="C3578" t="s">
        <v>7501</v>
      </c>
      <c r="D3578" t="s">
        <v>188</v>
      </c>
      <c r="F3578">
        <v>14026427</v>
      </c>
      <c r="G3578">
        <v>12970834</v>
      </c>
      <c r="H3578">
        <v>13078072</v>
      </c>
      <c r="I3578">
        <v>8290622</v>
      </c>
      <c r="P3578">
        <v>184</v>
      </c>
      <c r="Q3578" t="s">
        <v>7502</v>
      </c>
    </row>
    <row r="3579" spans="1:17" x14ac:dyDescent="0.3">
      <c r="A3579" t="s">
        <v>4729</v>
      </c>
      <c r="B3579" t="str">
        <f>"002865"</f>
        <v>002865</v>
      </c>
      <c r="C3579" t="s">
        <v>7503</v>
      </c>
      <c r="D3579" t="s">
        <v>191</v>
      </c>
      <c r="F3579">
        <v>123422979</v>
      </c>
      <c r="G3579">
        <v>53321941</v>
      </c>
      <c r="H3579">
        <v>47898140</v>
      </c>
      <c r="I3579">
        <v>36895056</v>
      </c>
      <c r="P3579">
        <v>111</v>
      </c>
      <c r="Q3579" t="s">
        <v>7504</v>
      </c>
    </row>
    <row r="3580" spans="1:17" x14ac:dyDescent="0.3">
      <c r="A3580" t="s">
        <v>4729</v>
      </c>
      <c r="B3580" t="str">
        <f>"002866"</f>
        <v>002866</v>
      </c>
      <c r="C3580" t="s">
        <v>7505</v>
      </c>
      <c r="D3580" t="s">
        <v>313</v>
      </c>
      <c r="F3580">
        <v>84132869</v>
      </c>
      <c r="G3580">
        <v>57816302</v>
      </c>
      <c r="H3580">
        <v>53042963</v>
      </c>
      <c r="I3580">
        <v>38474433</v>
      </c>
      <c r="P3580">
        <v>161</v>
      </c>
      <c r="Q3580" t="s">
        <v>7506</v>
      </c>
    </row>
    <row r="3581" spans="1:17" x14ac:dyDescent="0.3">
      <c r="A3581" t="s">
        <v>4729</v>
      </c>
      <c r="B3581" t="str">
        <f>"002867"</f>
        <v>002867</v>
      </c>
      <c r="C3581" t="s">
        <v>7507</v>
      </c>
      <c r="D3581" t="s">
        <v>1238</v>
      </c>
      <c r="F3581">
        <v>13715601</v>
      </c>
      <c r="G3581">
        <v>12622367</v>
      </c>
      <c r="H3581">
        <v>13312065</v>
      </c>
      <c r="I3581">
        <v>9592478</v>
      </c>
      <c r="P3581">
        <v>1633</v>
      </c>
      <c r="Q3581" t="s">
        <v>7508</v>
      </c>
    </row>
    <row r="3582" spans="1:17" x14ac:dyDescent="0.3">
      <c r="A3582" t="s">
        <v>4729</v>
      </c>
      <c r="B3582" t="str">
        <f>"002868"</f>
        <v>002868</v>
      </c>
      <c r="C3582" t="s">
        <v>7509</v>
      </c>
      <c r="D3582" t="s">
        <v>453</v>
      </c>
      <c r="F3582">
        <v>24821183</v>
      </c>
      <c r="G3582">
        <v>19913134</v>
      </c>
      <c r="H3582">
        <v>18549954</v>
      </c>
      <c r="I3582">
        <v>14566625</v>
      </c>
      <c r="P3582">
        <v>88</v>
      </c>
      <c r="Q3582" t="s">
        <v>7510</v>
      </c>
    </row>
    <row r="3583" spans="1:17" x14ac:dyDescent="0.3">
      <c r="A3583" t="s">
        <v>4729</v>
      </c>
      <c r="B3583" t="str">
        <f>"002869"</f>
        <v>002869</v>
      </c>
      <c r="C3583" t="s">
        <v>7511</v>
      </c>
      <c r="D3583" t="s">
        <v>651</v>
      </c>
      <c r="F3583">
        <v>82932772</v>
      </c>
      <c r="G3583">
        <v>124204675</v>
      </c>
      <c r="H3583">
        <v>100683954</v>
      </c>
      <c r="I3583">
        <v>73280084</v>
      </c>
      <c r="P3583">
        <v>600</v>
      </c>
      <c r="Q3583" t="s">
        <v>7512</v>
      </c>
    </row>
    <row r="3584" spans="1:17" x14ac:dyDescent="0.3">
      <c r="A3584" t="s">
        <v>4729</v>
      </c>
      <c r="B3584" t="str">
        <f>"002870"</f>
        <v>002870</v>
      </c>
      <c r="C3584" t="s">
        <v>7513</v>
      </c>
      <c r="D3584" t="s">
        <v>2566</v>
      </c>
      <c r="F3584">
        <v>235175325</v>
      </c>
      <c r="G3584">
        <v>39869122</v>
      </c>
      <c r="H3584">
        <v>38693160</v>
      </c>
      <c r="I3584">
        <v>50219372</v>
      </c>
      <c r="P3584">
        <v>91</v>
      </c>
      <c r="Q3584" t="s">
        <v>7514</v>
      </c>
    </row>
    <row r="3585" spans="1:17" x14ac:dyDescent="0.3">
      <c r="A3585" t="s">
        <v>4729</v>
      </c>
      <c r="B3585" t="str">
        <f>"002871"</f>
        <v>002871</v>
      </c>
      <c r="C3585" t="s">
        <v>7515</v>
      </c>
      <c r="D3585" t="s">
        <v>274</v>
      </c>
      <c r="F3585">
        <v>24196054</v>
      </c>
      <c r="G3585">
        <v>21237920</v>
      </c>
      <c r="H3585">
        <v>21350294</v>
      </c>
      <c r="I3585">
        <v>11117282</v>
      </c>
      <c r="P3585">
        <v>66</v>
      </c>
      <c r="Q3585" t="s">
        <v>7516</v>
      </c>
    </row>
    <row r="3586" spans="1:17" x14ac:dyDescent="0.3">
      <c r="A3586" t="s">
        <v>4729</v>
      </c>
      <c r="B3586" t="str">
        <f>"002872"</f>
        <v>002872</v>
      </c>
      <c r="C3586" t="s">
        <v>7517</v>
      </c>
      <c r="D3586" t="s">
        <v>125</v>
      </c>
      <c r="F3586">
        <v>29243734</v>
      </c>
      <c r="G3586">
        <v>22456265</v>
      </c>
      <c r="H3586">
        <v>36286834</v>
      </c>
      <c r="I3586">
        <v>39782372</v>
      </c>
      <c r="P3586">
        <v>69</v>
      </c>
      <c r="Q3586" t="s">
        <v>7518</v>
      </c>
    </row>
    <row r="3587" spans="1:17" x14ac:dyDescent="0.3">
      <c r="A3587" t="s">
        <v>4729</v>
      </c>
      <c r="B3587" t="str">
        <f>"002873"</f>
        <v>002873</v>
      </c>
      <c r="C3587" t="s">
        <v>7519</v>
      </c>
      <c r="D3587" t="s">
        <v>188</v>
      </c>
      <c r="F3587">
        <v>20376605</v>
      </c>
      <c r="G3587">
        <v>13295295</v>
      </c>
      <c r="H3587">
        <v>21100566</v>
      </c>
      <c r="I3587">
        <v>31833436</v>
      </c>
      <c r="P3587">
        <v>166</v>
      </c>
      <c r="Q3587" t="s">
        <v>7520</v>
      </c>
    </row>
    <row r="3588" spans="1:17" x14ac:dyDescent="0.3">
      <c r="A3588" t="s">
        <v>4729</v>
      </c>
      <c r="B3588" t="str">
        <f>"002875"</f>
        <v>002875</v>
      </c>
      <c r="C3588" t="s">
        <v>7521</v>
      </c>
      <c r="D3588" t="s">
        <v>255</v>
      </c>
      <c r="F3588">
        <v>34684756</v>
      </c>
      <c r="G3588">
        <v>31858607</v>
      </c>
      <c r="H3588">
        <v>35600971</v>
      </c>
      <c r="I3588">
        <v>26347930</v>
      </c>
      <c r="P3588">
        <v>92</v>
      </c>
      <c r="Q3588" t="s">
        <v>7522</v>
      </c>
    </row>
    <row r="3589" spans="1:17" x14ac:dyDescent="0.3">
      <c r="A3589" t="s">
        <v>4729</v>
      </c>
      <c r="B3589" t="str">
        <f>"002876"</f>
        <v>002876</v>
      </c>
      <c r="C3589" t="s">
        <v>7523</v>
      </c>
      <c r="D3589" t="s">
        <v>1117</v>
      </c>
      <c r="F3589">
        <v>103255424</v>
      </c>
      <c r="G3589">
        <v>87390897</v>
      </c>
      <c r="H3589">
        <v>54168072</v>
      </c>
      <c r="I3589">
        <v>50047795</v>
      </c>
      <c r="P3589">
        <v>214</v>
      </c>
      <c r="Q3589" t="s">
        <v>7524</v>
      </c>
    </row>
    <row r="3590" spans="1:17" x14ac:dyDescent="0.3">
      <c r="A3590" t="s">
        <v>4729</v>
      </c>
      <c r="B3590" t="str">
        <f>"002877"</f>
        <v>002877</v>
      </c>
      <c r="C3590" t="s">
        <v>7525</v>
      </c>
      <c r="D3590" t="s">
        <v>274</v>
      </c>
      <c r="F3590">
        <v>27829443</v>
      </c>
      <c r="G3590">
        <v>22189286</v>
      </c>
      <c r="H3590">
        <v>16733586</v>
      </c>
      <c r="I3590">
        <v>13191769</v>
      </c>
      <c r="P3590">
        <v>100</v>
      </c>
      <c r="Q3590" t="s">
        <v>7526</v>
      </c>
    </row>
    <row r="3591" spans="1:17" x14ac:dyDescent="0.3">
      <c r="A3591" t="s">
        <v>4729</v>
      </c>
      <c r="B3591" t="str">
        <f>"002878"</f>
        <v>002878</v>
      </c>
      <c r="C3591" t="s">
        <v>7527</v>
      </c>
      <c r="D3591" t="s">
        <v>1673</v>
      </c>
      <c r="F3591">
        <v>99967598</v>
      </c>
      <c r="G3591">
        <v>86849035</v>
      </c>
      <c r="H3591">
        <v>61773575</v>
      </c>
      <c r="I3591">
        <v>36134117</v>
      </c>
      <c r="P3591">
        <v>345</v>
      </c>
      <c r="Q3591" t="s">
        <v>7528</v>
      </c>
    </row>
    <row r="3592" spans="1:17" x14ac:dyDescent="0.3">
      <c r="A3592" t="s">
        <v>4729</v>
      </c>
      <c r="B3592" t="str">
        <f>"002879"</f>
        <v>002879</v>
      </c>
      <c r="C3592" t="s">
        <v>7529</v>
      </c>
      <c r="D3592" t="s">
        <v>1164</v>
      </c>
      <c r="F3592">
        <v>76693277</v>
      </c>
      <c r="G3592">
        <v>61350273</v>
      </c>
      <c r="H3592">
        <v>52582941</v>
      </c>
      <c r="I3592">
        <v>39869103</v>
      </c>
      <c r="P3592">
        <v>266</v>
      </c>
      <c r="Q3592" t="s">
        <v>7530</v>
      </c>
    </row>
    <row r="3593" spans="1:17" x14ac:dyDescent="0.3">
      <c r="A3593" t="s">
        <v>4729</v>
      </c>
      <c r="B3593" t="str">
        <f>"002880"</f>
        <v>002880</v>
      </c>
      <c r="C3593" t="s">
        <v>7531</v>
      </c>
      <c r="D3593" t="s">
        <v>378</v>
      </c>
      <c r="F3593">
        <v>47586103</v>
      </c>
      <c r="G3593">
        <v>45096658</v>
      </c>
      <c r="H3593">
        <v>40164874</v>
      </c>
      <c r="I3593">
        <v>23701572</v>
      </c>
      <c r="P3593">
        <v>214</v>
      </c>
      <c r="Q3593" t="s">
        <v>7532</v>
      </c>
    </row>
    <row r="3594" spans="1:17" x14ac:dyDescent="0.3">
      <c r="A3594" t="s">
        <v>4729</v>
      </c>
      <c r="B3594" t="str">
        <f>"002881"</f>
        <v>002881</v>
      </c>
      <c r="C3594" t="s">
        <v>7533</v>
      </c>
      <c r="D3594" t="s">
        <v>313</v>
      </c>
      <c r="F3594">
        <v>169190196</v>
      </c>
      <c r="G3594">
        <v>141047837</v>
      </c>
      <c r="H3594">
        <v>85179798</v>
      </c>
      <c r="I3594">
        <v>55103629</v>
      </c>
      <c r="P3594">
        <v>240</v>
      </c>
      <c r="Q3594" t="s">
        <v>7534</v>
      </c>
    </row>
    <row r="3595" spans="1:17" x14ac:dyDescent="0.3">
      <c r="A3595" t="s">
        <v>4729</v>
      </c>
      <c r="B3595" t="str">
        <f>"002882"</f>
        <v>002882</v>
      </c>
      <c r="C3595" t="s">
        <v>7535</v>
      </c>
      <c r="D3595" t="s">
        <v>1164</v>
      </c>
      <c r="F3595">
        <v>7575281</v>
      </c>
      <c r="G3595">
        <v>4010700</v>
      </c>
      <c r="H3595">
        <v>5801272</v>
      </c>
      <c r="I3595">
        <v>3580147</v>
      </c>
      <c r="P3595">
        <v>118</v>
      </c>
      <c r="Q3595" t="s">
        <v>7536</v>
      </c>
    </row>
    <row r="3596" spans="1:17" x14ac:dyDescent="0.3">
      <c r="A3596" t="s">
        <v>4729</v>
      </c>
      <c r="B3596" t="str">
        <f>"002883"</f>
        <v>002883</v>
      </c>
      <c r="C3596" t="s">
        <v>7537</v>
      </c>
      <c r="D3596" t="s">
        <v>1272</v>
      </c>
      <c r="F3596">
        <v>30703345</v>
      </c>
      <c r="G3596">
        <v>23246101</v>
      </c>
      <c r="H3596">
        <v>17442329</v>
      </c>
      <c r="I3596">
        <v>14016140</v>
      </c>
      <c r="P3596">
        <v>102</v>
      </c>
      <c r="Q3596" t="s">
        <v>7538</v>
      </c>
    </row>
    <row r="3597" spans="1:17" x14ac:dyDescent="0.3">
      <c r="A3597" t="s">
        <v>4729</v>
      </c>
      <c r="B3597" t="str">
        <f>"002884"</f>
        <v>002884</v>
      </c>
      <c r="C3597" t="s">
        <v>7539</v>
      </c>
      <c r="D3597" t="s">
        <v>560</v>
      </c>
      <c r="F3597">
        <v>64238426</v>
      </c>
      <c r="G3597">
        <v>46612560</v>
      </c>
      <c r="H3597">
        <v>36111808</v>
      </c>
      <c r="I3597">
        <v>39217086</v>
      </c>
      <c r="P3597">
        <v>995</v>
      </c>
      <c r="Q3597" t="s">
        <v>7540</v>
      </c>
    </row>
    <row r="3598" spans="1:17" x14ac:dyDescent="0.3">
      <c r="A3598" t="s">
        <v>4729</v>
      </c>
      <c r="B3598" t="str">
        <f>"002885"</f>
        <v>002885</v>
      </c>
      <c r="C3598" t="s">
        <v>7541</v>
      </c>
      <c r="D3598" t="s">
        <v>313</v>
      </c>
      <c r="F3598">
        <v>90727237</v>
      </c>
      <c r="G3598">
        <v>65048600</v>
      </c>
      <c r="H3598">
        <v>57046767</v>
      </c>
      <c r="I3598">
        <v>61506626</v>
      </c>
      <c r="P3598">
        <v>199</v>
      </c>
      <c r="Q3598" t="s">
        <v>7542</v>
      </c>
    </row>
    <row r="3599" spans="1:17" x14ac:dyDescent="0.3">
      <c r="A3599" t="s">
        <v>4729</v>
      </c>
      <c r="B3599" t="str">
        <f>"002886"</f>
        <v>002886</v>
      </c>
      <c r="C3599" t="s">
        <v>7543</v>
      </c>
      <c r="D3599" t="s">
        <v>341</v>
      </c>
      <c r="F3599">
        <v>75137963</v>
      </c>
      <c r="G3599">
        <v>55746355</v>
      </c>
      <c r="H3599">
        <v>42179314</v>
      </c>
      <c r="I3599">
        <v>32066346</v>
      </c>
      <c r="P3599">
        <v>190</v>
      </c>
      <c r="Q3599" t="s">
        <v>7544</v>
      </c>
    </row>
    <row r="3600" spans="1:17" x14ac:dyDescent="0.3">
      <c r="A3600" t="s">
        <v>4729</v>
      </c>
      <c r="B3600" t="str">
        <f>"002887"</f>
        <v>002887</v>
      </c>
      <c r="C3600" t="s">
        <v>7545</v>
      </c>
      <c r="D3600" t="s">
        <v>3575</v>
      </c>
      <c r="F3600">
        <v>29985743</v>
      </c>
      <c r="G3600">
        <v>32511999</v>
      </c>
      <c r="H3600">
        <v>23318776</v>
      </c>
      <c r="I3600">
        <v>23549571</v>
      </c>
      <c r="P3600">
        <v>167</v>
      </c>
      <c r="Q3600" t="s">
        <v>7546</v>
      </c>
    </row>
    <row r="3601" spans="1:17" x14ac:dyDescent="0.3">
      <c r="A3601" t="s">
        <v>4729</v>
      </c>
      <c r="B3601" t="str">
        <f>"002888"</f>
        <v>002888</v>
      </c>
      <c r="C3601" t="s">
        <v>7547</v>
      </c>
      <c r="D3601" t="s">
        <v>3526</v>
      </c>
      <c r="F3601">
        <v>19330729</v>
      </c>
      <c r="G3601">
        <v>21273970</v>
      </c>
      <c r="H3601">
        <v>21799348</v>
      </c>
      <c r="I3601">
        <v>21452866</v>
      </c>
      <c r="P3601">
        <v>80</v>
      </c>
      <c r="Q3601" t="s">
        <v>7548</v>
      </c>
    </row>
    <row r="3602" spans="1:17" x14ac:dyDescent="0.3">
      <c r="A3602" t="s">
        <v>4729</v>
      </c>
      <c r="B3602" t="str">
        <f>"002889"</f>
        <v>002889</v>
      </c>
      <c r="C3602" t="s">
        <v>7549</v>
      </c>
      <c r="D3602" t="s">
        <v>3125</v>
      </c>
      <c r="F3602">
        <v>9296670</v>
      </c>
      <c r="G3602">
        <v>8415882</v>
      </c>
      <c r="H3602">
        <v>7440537</v>
      </c>
      <c r="P3602">
        <v>122</v>
      </c>
      <c r="Q3602" t="s">
        <v>7550</v>
      </c>
    </row>
    <row r="3603" spans="1:17" x14ac:dyDescent="0.3">
      <c r="A3603" t="s">
        <v>4729</v>
      </c>
      <c r="B3603" t="str">
        <f>"002890"</f>
        <v>002890</v>
      </c>
      <c r="C3603" t="s">
        <v>7551</v>
      </c>
      <c r="D3603" t="s">
        <v>1985</v>
      </c>
      <c r="F3603">
        <v>13752655</v>
      </c>
      <c r="G3603">
        <v>12491556</v>
      </c>
      <c r="H3603">
        <v>9147646</v>
      </c>
      <c r="I3603">
        <v>7532216</v>
      </c>
      <c r="P3603">
        <v>70</v>
      </c>
      <c r="Q3603" t="s">
        <v>7552</v>
      </c>
    </row>
    <row r="3604" spans="1:17" x14ac:dyDescent="0.3">
      <c r="A3604" t="s">
        <v>4729</v>
      </c>
      <c r="B3604" t="str">
        <f>"002891"</f>
        <v>002891</v>
      </c>
      <c r="C3604" t="s">
        <v>7553</v>
      </c>
      <c r="D3604" t="s">
        <v>7554</v>
      </c>
      <c r="F3604">
        <v>41288461</v>
      </c>
      <c r="G3604">
        <v>34608279</v>
      </c>
      <c r="H3604">
        <v>22918706</v>
      </c>
      <c r="I3604">
        <v>40822041</v>
      </c>
      <c r="P3604">
        <v>649</v>
      </c>
      <c r="Q3604" t="s">
        <v>7555</v>
      </c>
    </row>
    <row r="3605" spans="1:17" x14ac:dyDescent="0.3">
      <c r="A3605" t="s">
        <v>4729</v>
      </c>
      <c r="B3605" t="str">
        <f>"002892"</f>
        <v>002892</v>
      </c>
      <c r="C3605" t="s">
        <v>7556</v>
      </c>
      <c r="D3605" t="s">
        <v>1171</v>
      </c>
      <c r="F3605">
        <v>56751751</v>
      </c>
      <c r="G3605">
        <v>44243802</v>
      </c>
      <c r="H3605">
        <v>32975648</v>
      </c>
      <c r="I3605">
        <v>29899429</v>
      </c>
      <c r="P3605">
        <v>145</v>
      </c>
      <c r="Q3605" t="s">
        <v>7557</v>
      </c>
    </row>
    <row r="3606" spans="1:17" x14ac:dyDescent="0.3">
      <c r="A3606" t="s">
        <v>4729</v>
      </c>
      <c r="B3606" t="str">
        <f>"002893"</f>
        <v>002893</v>
      </c>
      <c r="C3606" t="s">
        <v>7558</v>
      </c>
      <c r="D3606" t="s">
        <v>351</v>
      </c>
      <c r="F3606">
        <v>11681124</v>
      </c>
      <c r="G3606">
        <v>8800359</v>
      </c>
      <c r="H3606">
        <v>10308749</v>
      </c>
      <c r="I3606">
        <v>4502851</v>
      </c>
      <c r="P3606">
        <v>92</v>
      </c>
      <c r="Q3606" t="s">
        <v>7559</v>
      </c>
    </row>
    <row r="3607" spans="1:17" x14ac:dyDescent="0.3">
      <c r="A3607" t="s">
        <v>4729</v>
      </c>
      <c r="B3607" t="str">
        <f>"002895"</f>
        <v>002895</v>
      </c>
      <c r="C3607" t="s">
        <v>7560</v>
      </c>
      <c r="D3607" t="s">
        <v>183</v>
      </c>
      <c r="F3607">
        <v>38709364</v>
      </c>
      <c r="G3607">
        <v>32584915</v>
      </c>
      <c r="H3607">
        <v>32579753</v>
      </c>
      <c r="I3607">
        <v>16418883</v>
      </c>
      <c r="P3607">
        <v>148</v>
      </c>
      <c r="Q3607" t="s">
        <v>7561</v>
      </c>
    </row>
    <row r="3608" spans="1:17" x14ac:dyDescent="0.3">
      <c r="A3608" t="s">
        <v>4729</v>
      </c>
      <c r="B3608" t="str">
        <f>"002896"</f>
        <v>002896</v>
      </c>
      <c r="C3608" t="s">
        <v>7562</v>
      </c>
      <c r="D3608" t="s">
        <v>274</v>
      </c>
      <c r="F3608">
        <v>52197406</v>
      </c>
      <c r="G3608">
        <v>38872774</v>
      </c>
      <c r="H3608">
        <v>33484704</v>
      </c>
      <c r="I3608">
        <v>27040775</v>
      </c>
      <c r="P3608">
        <v>137</v>
      </c>
      <c r="Q3608" t="s">
        <v>7563</v>
      </c>
    </row>
    <row r="3609" spans="1:17" x14ac:dyDescent="0.3">
      <c r="A3609" t="s">
        <v>4729</v>
      </c>
      <c r="B3609" t="str">
        <f>"002897"</f>
        <v>002897</v>
      </c>
      <c r="C3609" t="s">
        <v>7564</v>
      </c>
      <c r="D3609" t="s">
        <v>1019</v>
      </c>
      <c r="F3609">
        <v>203153490</v>
      </c>
      <c r="G3609">
        <v>188409779</v>
      </c>
      <c r="H3609">
        <v>144862937</v>
      </c>
      <c r="I3609">
        <v>84124150</v>
      </c>
      <c r="P3609">
        <v>234</v>
      </c>
      <c r="Q3609" t="s">
        <v>7565</v>
      </c>
    </row>
    <row r="3610" spans="1:17" x14ac:dyDescent="0.3">
      <c r="A3610" t="s">
        <v>4729</v>
      </c>
      <c r="B3610" t="str">
        <f>"002898"</f>
        <v>002898</v>
      </c>
      <c r="C3610" t="s">
        <v>7566</v>
      </c>
      <c r="D3610" t="s">
        <v>143</v>
      </c>
      <c r="F3610">
        <v>21411579</v>
      </c>
      <c r="G3610">
        <v>25672571</v>
      </c>
      <c r="H3610">
        <v>17581723</v>
      </c>
      <c r="I3610">
        <v>16238479</v>
      </c>
      <c r="P3610">
        <v>90</v>
      </c>
      <c r="Q3610" t="s">
        <v>7567</v>
      </c>
    </row>
    <row r="3611" spans="1:17" x14ac:dyDescent="0.3">
      <c r="A3611" t="s">
        <v>4729</v>
      </c>
      <c r="B3611" t="str">
        <f>"002899"</f>
        <v>002899</v>
      </c>
      <c r="C3611" t="s">
        <v>7568</v>
      </c>
      <c r="D3611" t="s">
        <v>2931</v>
      </c>
      <c r="F3611">
        <v>46605469</v>
      </c>
      <c r="G3611">
        <v>69327949</v>
      </c>
      <c r="H3611">
        <v>73392101</v>
      </c>
      <c r="I3611">
        <v>36229550</v>
      </c>
      <c r="P3611">
        <v>65</v>
      </c>
      <c r="Q3611" t="s">
        <v>7569</v>
      </c>
    </row>
    <row r="3612" spans="1:17" x14ac:dyDescent="0.3">
      <c r="A3612" t="s">
        <v>4729</v>
      </c>
      <c r="B3612" t="str">
        <f>"002900"</f>
        <v>002900</v>
      </c>
      <c r="C3612" t="s">
        <v>7570</v>
      </c>
      <c r="D3612" t="s">
        <v>143</v>
      </c>
      <c r="F3612">
        <v>99921817</v>
      </c>
      <c r="G3612">
        <v>112019204</v>
      </c>
      <c r="H3612">
        <v>112448442</v>
      </c>
      <c r="I3612">
        <v>79006367</v>
      </c>
      <c r="P3612">
        <v>196</v>
      </c>
      <c r="Q3612" t="s">
        <v>7571</v>
      </c>
    </row>
    <row r="3613" spans="1:17" x14ac:dyDescent="0.3">
      <c r="A3613" t="s">
        <v>4729</v>
      </c>
      <c r="B3613" t="str">
        <f>"002901"</f>
        <v>002901</v>
      </c>
      <c r="C3613" t="s">
        <v>7572</v>
      </c>
      <c r="D3613" t="s">
        <v>1077</v>
      </c>
      <c r="F3613">
        <v>167067163</v>
      </c>
      <c r="G3613">
        <v>128023696</v>
      </c>
      <c r="H3613">
        <v>100377356</v>
      </c>
      <c r="I3613">
        <v>64809984</v>
      </c>
      <c r="P3613">
        <v>1702</v>
      </c>
      <c r="Q3613" t="s">
        <v>7573</v>
      </c>
    </row>
    <row r="3614" spans="1:17" x14ac:dyDescent="0.3">
      <c r="A3614" t="s">
        <v>4729</v>
      </c>
      <c r="B3614" t="str">
        <f>"002902"</f>
        <v>002902</v>
      </c>
      <c r="C3614" t="s">
        <v>7574</v>
      </c>
      <c r="D3614" t="s">
        <v>1019</v>
      </c>
      <c r="F3614">
        <v>96068143</v>
      </c>
      <c r="G3614">
        <v>81409826</v>
      </c>
      <c r="H3614">
        <v>78395233</v>
      </c>
      <c r="I3614">
        <v>65006787</v>
      </c>
      <c r="P3614">
        <v>216</v>
      </c>
      <c r="Q3614" t="s">
        <v>7575</v>
      </c>
    </row>
    <row r="3615" spans="1:17" x14ac:dyDescent="0.3">
      <c r="A3615" t="s">
        <v>4729</v>
      </c>
      <c r="B3615" t="str">
        <f>"002903"</f>
        <v>002903</v>
      </c>
      <c r="C3615" t="s">
        <v>7576</v>
      </c>
      <c r="D3615" t="s">
        <v>2321</v>
      </c>
      <c r="F3615">
        <v>33579699</v>
      </c>
      <c r="G3615">
        <v>29421739</v>
      </c>
      <c r="H3615">
        <v>14872418</v>
      </c>
      <c r="I3615">
        <v>15910161</v>
      </c>
      <c r="P3615">
        <v>143</v>
      </c>
      <c r="Q3615" t="s">
        <v>7577</v>
      </c>
    </row>
    <row r="3616" spans="1:17" x14ac:dyDescent="0.3">
      <c r="A3616" t="s">
        <v>4729</v>
      </c>
      <c r="B3616" t="str">
        <f>"002905"</f>
        <v>002905</v>
      </c>
      <c r="C3616" t="s">
        <v>7578</v>
      </c>
      <c r="D3616" t="s">
        <v>2573</v>
      </c>
      <c r="F3616">
        <v>0</v>
      </c>
      <c r="G3616">
        <v>0</v>
      </c>
      <c r="H3616">
        <v>11636805</v>
      </c>
      <c r="I3616">
        <v>14963116</v>
      </c>
      <c r="P3616">
        <v>133</v>
      </c>
      <c r="Q3616" t="s">
        <v>7579</v>
      </c>
    </row>
    <row r="3617" spans="1:17" x14ac:dyDescent="0.3">
      <c r="A3617" t="s">
        <v>4729</v>
      </c>
      <c r="B3617" t="str">
        <f>"002906"</f>
        <v>002906</v>
      </c>
      <c r="C3617" t="s">
        <v>7580</v>
      </c>
      <c r="D3617" t="s">
        <v>1415</v>
      </c>
      <c r="F3617">
        <v>347427229</v>
      </c>
      <c r="G3617">
        <v>285792859</v>
      </c>
      <c r="H3617">
        <v>313000219</v>
      </c>
      <c r="I3617">
        <v>362544741</v>
      </c>
      <c r="P3617">
        <v>228</v>
      </c>
      <c r="Q3617" t="s">
        <v>7581</v>
      </c>
    </row>
    <row r="3618" spans="1:17" x14ac:dyDescent="0.3">
      <c r="A3618" t="s">
        <v>4729</v>
      </c>
      <c r="B3618" t="str">
        <f>"002907"</f>
        <v>002907</v>
      </c>
      <c r="C3618" t="s">
        <v>7582</v>
      </c>
      <c r="D3618" t="s">
        <v>188</v>
      </c>
      <c r="F3618">
        <v>41721911</v>
      </c>
      <c r="G3618">
        <v>36477595</v>
      </c>
      <c r="H3618">
        <v>25557657</v>
      </c>
      <c r="I3618">
        <v>15216234</v>
      </c>
      <c r="P3618">
        <v>286</v>
      </c>
      <c r="Q3618" t="s">
        <v>7583</v>
      </c>
    </row>
    <row r="3619" spans="1:17" x14ac:dyDescent="0.3">
      <c r="A3619" t="s">
        <v>4729</v>
      </c>
      <c r="B3619" t="str">
        <f>"002908"</f>
        <v>002908</v>
      </c>
      <c r="C3619" t="s">
        <v>7584</v>
      </c>
      <c r="D3619" t="s">
        <v>786</v>
      </c>
      <c r="F3619">
        <v>73037833</v>
      </c>
      <c r="G3619">
        <v>71088709</v>
      </c>
      <c r="H3619">
        <v>64798093</v>
      </c>
      <c r="I3619">
        <v>56349931</v>
      </c>
      <c r="P3619">
        <v>126</v>
      </c>
      <c r="Q3619" t="s">
        <v>7585</v>
      </c>
    </row>
    <row r="3620" spans="1:17" x14ac:dyDescent="0.3">
      <c r="A3620" t="s">
        <v>4729</v>
      </c>
      <c r="B3620" t="str">
        <f>"002909"</f>
        <v>002909</v>
      </c>
      <c r="C3620" t="s">
        <v>7586</v>
      </c>
      <c r="D3620" t="s">
        <v>1205</v>
      </c>
      <c r="F3620">
        <v>69219212</v>
      </c>
      <c r="G3620">
        <v>52951891</v>
      </c>
      <c r="H3620">
        <v>37763495</v>
      </c>
      <c r="I3620">
        <v>34736879</v>
      </c>
      <c r="P3620">
        <v>87</v>
      </c>
      <c r="Q3620" t="s">
        <v>7587</v>
      </c>
    </row>
    <row r="3621" spans="1:17" x14ac:dyDescent="0.3">
      <c r="A3621" t="s">
        <v>4729</v>
      </c>
      <c r="B3621" t="str">
        <f>"002910"</f>
        <v>002910</v>
      </c>
      <c r="C3621" t="s">
        <v>7588</v>
      </c>
      <c r="D3621" t="s">
        <v>900</v>
      </c>
      <c r="F3621">
        <v>9246922</v>
      </c>
      <c r="G3621">
        <v>9103148</v>
      </c>
      <c r="H3621">
        <v>9461944</v>
      </c>
      <c r="I3621">
        <v>4371585</v>
      </c>
      <c r="P3621">
        <v>147</v>
      </c>
      <c r="Q3621" t="s">
        <v>7589</v>
      </c>
    </row>
    <row r="3622" spans="1:17" x14ac:dyDescent="0.3">
      <c r="A3622" t="s">
        <v>4729</v>
      </c>
      <c r="B3622" t="str">
        <f>"002911"</f>
        <v>002911</v>
      </c>
      <c r="C3622" t="s">
        <v>7590</v>
      </c>
      <c r="D3622" t="s">
        <v>749</v>
      </c>
      <c r="F3622">
        <v>300968020</v>
      </c>
      <c r="G3622">
        <v>147525350</v>
      </c>
      <c r="H3622">
        <v>31471364</v>
      </c>
      <c r="I3622">
        <v>6025088</v>
      </c>
      <c r="P3622">
        <v>183</v>
      </c>
      <c r="Q3622" t="s">
        <v>7591</v>
      </c>
    </row>
    <row r="3623" spans="1:17" x14ac:dyDescent="0.3">
      <c r="A3623" t="s">
        <v>4729</v>
      </c>
      <c r="B3623" t="str">
        <f>"002912"</f>
        <v>002912</v>
      </c>
      <c r="C3623" t="s">
        <v>7592</v>
      </c>
      <c r="D3623" t="s">
        <v>236</v>
      </c>
      <c r="F3623">
        <v>207904275</v>
      </c>
      <c r="G3623">
        <v>236829853</v>
      </c>
      <c r="H3623">
        <v>216757152</v>
      </c>
      <c r="I3623">
        <v>167089812</v>
      </c>
      <c r="P3623">
        <v>586</v>
      </c>
      <c r="Q3623" t="s">
        <v>7593</v>
      </c>
    </row>
    <row r="3624" spans="1:17" x14ac:dyDescent="0.3">
      <c r="A3624" t="s">
        <v>4729</v>
      </c>
      <c r="B3624" t="str">
        <f>"002913"</f>
        <v>002913</v>
      </c>
      <c r="C3624" t="s">
        <v>7594</v>
      </c>
      <c r="D3624" t="s">
        <v>425</v>
      </c>
      <c r="F3624">
        <v>218638679</v>
      </c>
      <c r="G3624">
        <v>127174149</v>
      </c>
      <c r="H3624">
        <v>89484289</v>
      </c>
      <c r="I3624">
        <v>87321812</v>
      </c>
      <c r="P3624">
        <v>205</v>
      </c>
      <c r="Q3624" t="s">
        <v>7595</v>
      </c>
    </row>
    <row r="3625" spans="1:17" x14ac:dyDescent="0.3">
      <c r="A3625" t="s">
        <v>4729</v>
      </c>
      <c r="B3625" t="str">
        <f>"002915"</f>
        <v>002915</v>
      </c>
      <c r="C3625" t="s">
        <v>7596</v>
      </c>
      <c r="D3625" t="s">
        <v>375</v>
      </c>
      <c r="F3625">
        <v>35671461</v>
      </c>
      <c r="G3625">
        <v>24699076</v>
      </c>
      <c r="H3625">
        <v>22900865</v>
      </c>
      <c r="I3625">
        <v>21639815</v>
      </c>
      <c r="P3625">
        <v>90</v>
      </c>
      <c r="Q3625" t="s">
        <v>7597</v>
      </c>
    </row>
    <row r="3626" spans="1:17" x14ac:dyDescent="0.3">
      <c r="A3626" t="s">
        <v>4729</v>
      </c>
      <c r="B3626" t="str">
        <f>"002916"</f>
        <v>002916</v>
      </c>
      <c r="C3626" t="s">
        <v>7598</v>
      </c>
      <c r="D3626" t="s">
        <v>425</v>
      </c>
      <c r="F3626">
        <v>782424443</v>
      </c>
      <c r="G3626">
        <v>644674982</v>
      </c>
      <c r="H3626">
        <v>536539804</v>
      </c>
      <c r="I3626">
        <v>346658701</v>
      </c>
      <c r="P3626">
        <v>2552</v>
      </c>
      <c r="Q3626" t="s">
        <v>7599</v>
      </c>
    </row>
    <row r="3627" spans="1:17" x14ac:dyDescent="0.3">
      <c r="A3627" t="s">
        <v>4729</v>
      </c>
      <c r="B3627" t="str">
        <f>"002917"</f>
        <v>002917</v>
      </c>
      <c r="C3627" t="s">
        <v>7600</v>
      </c>
      <c r="D3627" t="s">
        <v>2736</v>
      </c>
      <c r="F3627">
        <v>56240781</v>
      </c>
      <c r="G3627">
        <v>45208865</v>
      </c>
      <c r="H3627">
        <v>33516470</v>
      </c>
      <c r="I3627">
        <v>28771636</v>
      </c>
      <c r="P3627">
        <v>67</v>
      </c>
      <c r="Q3627" t="s">
        <v>7601</v>
      </c>
    </row>
    <row r="3628" spans="1:17" x14ac:dyDescent="0.3">
      <c r="A3628" t="s">
        <v>4729</v>
      </c>
      <c r="B3628" t="str">
        <f>"002918"</f>
        <v>002918</v>
      </c>
      <c r="C3628" t="s">
        <v>7602</v>
      </c>
      <c r="D3628" t="s">
        <v>178</v>
      </c>
      <c r="F3628">
        <v>265327559</v>
      </c>
      <c r="G3628">
        <v>185823986</v>
      </c>
      <c r="H3628">
        <v>144179300</v>
      </c>
      <c r="I3628">
        <v>119110393</v>
      </c>
      <c r="P3628">
        <v>529</v>
      </c>
      <c r="Q3628" t="s">
        <v>7603</v>
      </c>
    </row>
    <row r="3629" spans="1:17" x14ac:dyDescent="0.3">
      <c r="A3629" t="s">
        <v>4729</v>
      </c>
      <c r="B3629" t="str">
        <f>"002919"</f>
        <v>002919</v>
      </c>
      <c r="C3629" t="s">
        <v>7604</v>
      </c>
      <c r="D3629" t="s">
        <v>569</v>
      </c>
      <c r="F3629">
        <v>98507663</v>
      </c>
      <c r="G3629">
        <v>46269566</v>
      </c>
      <c r="H3629">
        <v>15530763</v>
      </c>
      <c r="I3629">
        <v>14978269</v>
      </c>
      <c r="P3629">
        <v>146</v>
      </c>
      <c r="Q3629" t="s">
        <v>7605</v>
      </c>
    </row>
    <row r="3630" spans="1:17" x14ac:dyDescent="0.3">
      <c r="A3630" t="s">
        <v>4729</v>
      </c>
      <c r="B3630" t="str">
        <f>"002920"</f>
        <v>002920</v>
      </c>
      <c r="C3630" t="s">
        <v>7606</v>
      </c>
      <c r="D3630" t="s">
        <v>945</v>
      </c>
      <c r="F3630">
        <v>977434891</v>
      </c>
      <c r="G3630">
        <v>701129644</v>
      </c>
      <c r="H3630">
        <v>637240596</v>
      </c>
      <c r="I3630">
        <v>523856812</v>
      </c>
      <c r="P3630">
        <v>688</v>
      </c>
      <c r="Q3630" t="s">
        <v>7607</v>
      </c>
    </row>
    <row r="3631" spans="1:17" x14ac:dyDescent="0.3">
      <c r="A3631" t="s">
        <v>4729</v>
      </c>
      <c r="B3631" t="str">
        <f>"002921"</f>
        <v>002921</v>
      </c>
      <c r="C3631" t="s">
        <v>7608</v>
      </c>
      <c r="D3631" t="s">
        <v>985</v>
      </c>
      <c r="F3631">
        <v>27786639</v>
      </c>
      <c r="G3631">
        <v>24675923</v>
      </c>
      <c r="H3631">
        <v>20126323</v>
      </c>
      <c r="I3631">
        <v>17090121</v>
      </c>
      <c r="P3631">
        <v>95</v>
      </c>
      <c r="Q3631" t="s">
        <v>7609</v>
      </c>
    </row>
    <row r="3632" spans="1:17" x14ac:dyDescent="0.3">
      <c r="A3632" t="s">
        <v>4729</v>
      </c>
      <c r="B3632" t="str">
        <f>"002922"</f>
        <v>002922</v>
      </c>
      <c r="C3632" t="s">
        <v>7610</v>
      </c>
      <c r="D3632" t="s">
        <v>651</v>
      </c>
      <c r="F3632">
        <v>90961293</v>
      </c>
      <c r="G3632">
        <v>66319067</v>
      </c>
      <c r="H3632">
        <v>61982284</v>
      </c>
      <c r="I3632">
        <v>53734830</v>
      </c>
      <c r="P3632">
        <v>170</v>
      </c>
      <c r="Q3632" t="s">
        <v>7611</v>
      </c>
    </row>
    <row r="3633" spans="1:17" x14ac:dyDescent="0.3">
      <c r="A3633" t="s">
        <v>4729</v>
      </c>
      <c r="B3633" t="str">
        <f>"002923"</f>
        <v>002923</v>
      </c>
      <c r="C3633" t="s">
        <v>7612</v>
      </c>
      <c r="D3633" t="s">
        <v>143</v>
      </c>
      <c r="F3633">
        <v>92139638</v>
      </c>
      <c r="G3633">
        <v>102465688</v>
      </c>
      <c r="H3633">
        <v>114541214</v>
      </c>
      <c r="I3633">
        <v>66023228</v>
      </c>
      <c r="P3633">
        <v>165</v>
      </c>
      <c r="Q3633" t="s">
        <v>7613</v>
      </c>
    </row>
    <row r="3634" spans="1:17" x14ac:dyDescent="0.3">
      <c r="A3634" t="s">
        <v>4729</v>
      </c>
      <c r="B3634" t="str">
        <f>"002925"</f>
        <v>002925</v>
      </c>
      <c r="C3634" t="s">
        <v>7614</v>
      </c>
      <c r="D3634" t="s">
        <v>313</v>
      </c>
      <c r="F3634">
        <v>379592765</v>
      </c>
      <c r="G3634">
        <v>303921226</v>
      </c>
      <c r="H3634">
        <v>269510479</v>
      </c>
      <c r="I3634">
        <v>197390728</v>
      </c>
      <c r="P3634">
        <v>1061</v>
      </c>
      <c r="Q3634" t="s">
        <v>7615</v>
      </c>
    </row>
    <row r="3635" spans="1:17" x14ac:dyDescent="0.3">
      <c r="A3635" t="s">
        <v>4729</v>
      </c>
      <c r="B3635" t="str">
        <f>"002926"</f>
        <v>002926</v>
      </c>
      <c r="C3635" t="s">
        <v>7616</v>
      </c>
      <c r="D3635" t="s">
        <v>80</v>
      </c>
      <c r="P3635">
        <v>921</v>
      </c>
      <c r="Q3635" t="s">
        <v>7617</v>
      </c>
    </row>
    <row r="3636" spans="1:17" x14ac:dyDescent="0.3">
      <c r="A3636" t="s">
        <v>4729</v>
      </c>
      <c r="B3636" t="str">
        <f>"002927"</f>
        <v>002927</v>
      </c>
      <c r="C3636" t="s">
        <v>7618</v>
      </c>
      <c r="D3636" t="s">
        <v>657</v>
      </c>
      <c r="F3636">
        <v>47153798</v>
      </c>
      <c r="G3636">
        <v>34518173</v>
      </c>
      <c r="H3636">
        <v>30356305</v>
      </c>
      <c r="I3636">
        <v>19923715</v>
      </c>
      <c r="P3636">
        <v>117</v>
      </c>
      <c r="Q3636" t="s">
        <v>7619</v>
      </c>
    </row>
    <row r="3637" spans="1:17" x14ac:dyDescent="0.3">
      <c r="A3637" t="s">
        <v>4729</v>
      </c>
      <c r="B3637" t="str">
        <f>"002928"</f>
        <v>002928</v>
      </c>
      <c r="C3637" t="s">
        <v>7620</v>
      </c>
      <c r="D3637" t="s">
        <v>77</v>
      </c>
      <c r="F3637">
        <v>21472067</v>
      </c>
      <c r="G3637">
        <v>20305492</v>
      </c>
      <c r="H3637">
        <v>5653433</v>
      </c>
      <c r="I3637">
        <v>440957</v>
      </c>
      <c r="P3637">
        <v>333</v>
      </c>
      <c r="Q3637" t="s">
        <v>7621</v>
      </c>
    </row>
    <row r="3638" spans="1:17" x14ac:dyDescent="0.3">
      <c r="A3638" t="s">
        <v>4729</v>
      </c>
      <c r="B3638" t="str">
        <f>"002929"</f>
        <v>002929</v>
      </c>
      <c r="C3638" t="s">
        <v>7622</v>
      </c>
      <c r="D3638" t="s">
        <v>654</v>
      </c>
      <c r="F3638">
        <v>275991188</v>
      </c>
      <c r="G3638">
        <v>165396528</v>
      </c>
      <c r="H3638">
        <v>117995643</v>
      </c>
      <c r="I3638">
        <v>110388843</v>
      </c>
      <c r="J3638">
        <v>88030736</v>
      </c>
      <c r="P3638">
        <v>270</v>
      </c>
      <c r="Q3638" t="s">
        <v>7623</v>
      </c>
    </row>
    <row r="3639" spans="1:17" x14ac:dyDescent="0.3">
      <c r="A3639" t="s">
        <v>4729</v>
      </c>
      <c r="B3639" t="str">
        <f>"002930"</f>
        <v>002930</v>
      </c>
      <c r="C3639" t="s">
        <v>7624</v>
      </c>
      <c r="D3639" t="s">
        <v>1592</v>
      </c>
      <c r="F3639">
        <v>15374680</v>
      </c>
      <c r="G3639">
        <v>3669268</v>
      </c>
      <c r="H3639">
        <v>3005220</v>
      </c>
      <c r="I3639">
        <v>901058</v>
      </c>
      <c r="J3639">
        <v>1919243</v>
      </c>
      <c r="P3639">
        <v>160</v>
      </c>
      <c r="Q3639" t="s">
        <v>7625</v>
      </c>
    </row>
    <row r="3640" spans="1:17" x14ac:dyDescent="0.3">
      <c r="A3640" t="s">
        <v>4729</v>
      </c>
      <c r="B3640" t="str">
        <f>"002931"</f>
        <v>002931</v>
      </c>
      <c r="C3640" t="s">
        <v>7626</v>
      </c>
      <c r="D3640" t="s">
        <v>274</v>
      </c>
      <c r="F3640">
        <v>43774437</v>
      </c>
      <c r="G3640">
        <v>32964578</v>
      </c>
      <c r="H3640">
        <v>20984256</v>
      </c>
      <c r="I3640">
        <v>16017917</v>
      </c>
      <c r="J3640">
        <v>9198392</v>
      </c>
      <c r="P3640">
        <v>107</v>
      </c>
      <c r="Q3640" t="s">
        <v>7627</v>
      </c>
    </row>
    <row r="3641" spans="1:17" x14ac:dyDescent="0.3">
      <c r="A3641" t="s">
        <v>4729</v>
      </c>
      <c r="B3641" t="str">
        <f>"002932"</f>
        <v>002932</v>
      </c>
      <c r="C3641" t="s">
        <v>7628</v>
      </c>
      <c r="D3641" t="s">
        <v>1305</v>
      </c>
      <c r="F3641">
        <v>132744888</v>
      </c>
      <c r="G3641">
        <v>69931601</v>
      </c>
      <c r="H3641">
        <v>36955856</v>
      </c>
      <c r="I3641">
        <v>27103503</v>
      </c>
      <c r="P3641">
        <v>423</v>
      </c>
      <c r="Q3641" t="s">
        <v>7629</v>
      </c>
    </row>
    <row r="3642" spans="1:17" x14ac:dyDescent="0.3">
      <c r="A3642" t="s">
        <v>4729</v>
      </c>
      <c r="B3642" t="str">
        <f>"002933"</f>
        <v>002933</v>
      </c>
      <c r="C3642" t="s">
        <v>7630</v>
      </c>
      <c r="D3642" t="s">
        <v>98</v>
      </c>
      <c r="F3642">
        <v>40674606</v>
      </c>
      <c r="G3642">
        <v>42505321</v>
      </c>
      <c r="H3642">
        <v>21237933</v>
      </c>
      <c r="I3642">
        <v>22522518</v>
      </c>
      <c r="J3642">
        <v>23761662</v>
      </c>
      <c r="K3642">
        <v>11938979</v>
      </c>
      <c r="L3642">
        <v>9381403</v>
      </c>
      <c r="P3642">
        <v>314</v>
      </c>
      <c r="Q3642" t="s">
        <v>7631</v>
      </c>
    </row>
    <row r="3643" spans="1:17" x14ac:dyDescent="0.3">
      <c r="A3643" t="s">
        <v>4729</v>
      </c>
      <c r="B3643" t="str">
        <f>"002935"</f>
        <v>002935</v>
      </c>
      <c r="C3643" t="s">
        <v>7632</v>
      </c>
      <c r="D3643" t="s">
        <v>1136</v>
      </c>
      <c r="F3643">
        <v>85166087</v>
      </c>
      <c r="G3643">
        <v>80797792</v>
      </c>
      <c r="H3643">
        <v>70988891</v>
      </c>
      <c r="I3643">
        <v>65569663</v>
      </c>
      <c r="J3643">
        <v>59493827</v>
      </c>
      <c r="P3643">
        <v>203</v>
      </c>
      <c r="Q3643" t="s">
        <v>7633</v>
      </c>
    </row>
    <row r="3644" spans="1:17" x14ac:dyDescent="0.3">
      <c r="A3644" t="s">
        <v>4729</v>
      </c>
      <c r="B3644" t="str">
        <f>"002936"</f>
        <v>002936</v>
      </c>
      <c r="C3644" t="s">
        <v>7634</v>
      </c>
      <c r="D3644" t="s">
        <v>1842</v>
      </c>
      <c r="P3644">
        <v>469</v>
      </c>
      <c r="Q3644" t="s">
        <v>7635</v>
      </c>
    </row>
    <row r="3645" spans="1:17" x14ac:dyDescent="0.3">
      <c r="A3645" t="s">
        <v>4729</v>
      </c>
      <c r="B3645" t="str">
        <f>"002937"</f>
        <v>002937</v>
      </c>
      <c r="C3645" t="s">
        <v>7636</v>
      </c>
      <c r="D3645" t="s">
        <v>313</v>
      </c>
      <c r="F3645">
        <v>56636048</v>
      </c>
      <c r="G3645">
        <v>48278088</v>
      </c>
      <c r="H3645">
        <v>53320921</v>
      </c>
      <c r="I3645">
        <v>43094297</v>
      </c>
      <c r="J3645">
        <v>38858332</v>
      </c>
      <c r="K3645">
        <v>30907605</v>
      </c>
      <c r="L3645">
        <v>29467900</v>
      </c>
      <c r="P3645">
        <v>209</v>
      </c>
      <c r="Q3645" t="s">
        <v>7637</v>
      </c>
    </row>
    <row r="3646" spans="1:17" x14ac:dyDescent="0.3">
      <c r="A3646" t="s">
        <v>4729</v>
      </c>
      <c r="B3646" t="str">
        <f>"002938"</f>
        <v>002938</v>
      </c>
      <c r="C3646" t="s">
        <v>7638</v>
      </c>
      <c r="D3646" t="s">
        <v>425</v>
      </c>
      <c r="F3646">
        <v>1571790763</v>
      </c>
      <c r="G3646">
        <v>1259009463</v>
      </c>
      <c r="H3646">
        <v>1351748073</v>
      </c>
      <c r="I3646">
        <v>1222879846</v>
      </c>
      <c r="P3646">
        <v>961</v>
      </c>
      <c r="Q3646" t="s">
        <v>7639</v>
      </c>
    </row>
    <row r="3647" spans="1:17" x14ac:dyDescent="0.3">
      <c r="A3647" t="s">
        <v>4729</v>
      </c>
      <c r="B3647" t="str">
        <f>"002939"</f>
        <v>002939</v>
      </c>
      <c r="C3647" t="s">
        <v>7640</v>
      </c>
      <c r="D3647" t="s">
        <v>80</v>
      </c>
      <c r="P3647">
        <v>832</v>
      </c>
      <c r="Q3647" t="s">
        <v>7641</v>
      </c>
    </row>
    <row r="3648" spans="1:17" x14ac:dyDescent="0.3">
      <c r="A3648" t="s">
        <v>4729</v>
      </c>
      <c r="B3648" t="str">
        <f>"002940"</f>
        <v>002940</v>
      </c>
      <c r="C3648" t="s">
        <v>7642</v>
      </c>
      <c r="D3648" t="s">
        <v>143</v>
      </c>
      <c r="F3648">
        <v>52553078</v>
      </c>
      <c r="G3648">
        <v>43877078</v>
      </c>
      <c r="H3648">
        <v>37347141</v>
      </c>
      <c r="I3648">
        <v>46209487</v>
      </c>
      <c r="P3648">
        <v>148</v>
      </c>
      <c r="Q3648" t="s">
        <v>7643</v>
      </c>
    </row>
    <row r="3649" spans="1:17" x14ac:dyDescent="0.3">
      <c r="A3649" t="s">
        <v>4729</v>
      </c>
      <c r="B3649" t="str">
        <f>"002941"</f>
        <v>002941</v>
      </c>
      <c r="C3649" t="s">
        <v>7644</v>
      </c>
      <c r="D3649" t="s">
        <v>101</v>
      </c>
      <c r="F3649">
        <v>15490247</v>
      </c>
      <c r="G3649">
        <v>13343033</v>
      </c>
      <c r="H3649">
        <v>14718593</v>
      </c>
      <c r="I3649">
        <v>9305235</v>
      </c>
      <c r="J3649">
        <v>6211540</v>
      </c>
      <c r="K3649">
        <v>7210480</v>
      </c>
      <c r="L3649">
        <v>8807531</v>
      </c>
      <c r="P3649">
        <v>145</v>
      </c>
      <c r="Q3649" t="s">
        <v>7645</v>
      </c>
    </row>
    <row r="3650" spans="1:17" x14ac:dyDescent="0.3">
      <c r="A3650" t="s">
        <v>4729</v>
      </c>
      <c r="B3650" t="str">
        <f>"002942"</f>
        <v>002942</v>
      </c>
      <c r="C3650" t="s">
        <v>7646</v>
      </c>
      <c r="D3650" t="s">
        <v>853</v>
      </c>
      <c r="F3650">
        <v>75722820</v>
      </c>
      <c r="G3650">
        <v>62380049</v>
      </c>
      <c r="H3650">
        <v>50259192</v>
      </c>
      <c r="I3650">
        <v>48262745</v>
      </c>
      <c r="P3650">
        <v>414</v>
      </c>
      <c r="Q3650" t="s">
        <v>7647</v>
      </c>
    </row>
    <row r="3651" spans="1:17" x14ac:dyDescent="0.3">
      <c r="A3651" t="s">
        <v>4729</v>
      </c>
      <c r="B3651" t="str">
        <f>"002943"</f>
        <v>002943</v>
      </c>
      <c r="C3651" t="s">
        <v>7648</v>
      </c>
      <c r="D3651" t="s">
        <v>2321</v>
      </c>
      <c r="F3651">
        <v>26206331</v>
      </c>
      <c r="G3651">
        <v>21992460</v>
      </c>
      <c r="H3651">
        <v>23445594</v>
      </c>
      <c r="I3651">
        <v>19736887</v>
      </c>
      <c r="J3651">
        <v>14566950</v>
      </c>
      <c r="K3651">
        <v>7995853</v>
      </c>
      <c r="L3651">
        <v>6451946</v>
      </c>
      <c r="P3651">
        <v>74</v>
      </c>
      <c r="Q3651" t="s">
        <v>7649</v>
      </c>
    </row>
    <row r="3652" spans="1:17" x14ac:dyDescent="0.3">
      <c r="A3652" t="s">
        <v>4729</v>
      </c>
      <c r="B3652" t="str">
        <f>"002945"</f>
        <v>002945</v>
      </c>
      <c r="C3652" t="s">
        <v>7650</v>
      </c>
      <c r="D3652" t="s">
        <v>80</v>
      </c>
      <c r="P3652">
        <v>913</v>
      </c>
      <c r="Q3652" t="s">
        <v>7651</v>
      </c>
    </row>
    <row r="3653" spans="1:17" x14ac:dyDescent="0.3">
      <c r="A3653" t="s">
        <v>4729</v>
      </c>
      <c r="B3653" t="str">
        <f>"002946"</f>
        <v>002946</v>
      </c>
      <c r="C3653" t="s">
        <v>7652</v>
      </c>
      <c r="D3653" t="s">
        <v>900</v>
      </c>
      <c r="F3653">
        <v>40258679</v>
      </c>
      <c r="G3653">
        <v>34634252</v>
      </c>
      <c r="H3653">
        <v>27631938</v>
      </c>
      <c r="I3653">
        <v>30912891</v>
      </c>
      <c r="J3653">
        <v>26327873</v>
      </c>
      <c r="K3653">
        <v>20858041</v>
      </c>
      <c r="L3653">
        <v>11687528</v>
      </c>
      <c r="P3653">
        <v>342</v>
      </c>
      <c r="Q3653" t="s">
        <v>7653</v>
      </c>
    </row>
    <row r="3654" spans="1:17" x14ac:dyDescent="0.3">
      <c r="A3654" t="s">
        <v>4729</v>
      </c>
      <c r="B3654" t="str">
        <f>"002947"</f>
        <v>002947</v>
      </c>
      <c r="C3654" t="s">
        <v>7654</v>
      </c>
      <c r="D3654" t="s">
        <v>313</v>
      </c>
      <c r="F3654">
        <v>55143356</v>
      </c>
      <c r="G3654">
        <v>37719723</v>
      </c>
      <c r="H3654">
        <v>30144433</v>
      </c>
      <c r="I3654">
        <v>25620201</v>
      </c>
      <c r="P3654">
        <v>266</v>
      </c>
      <c r="Q3654" t="s">
        <v>7655</v>
      </c>
    </row>
    <row r="3655" spans="1:17" x14ac:dyDescent="0.3">
      <c r="A3655" t="s">
        <v>4729</v>
      </c>
      <c r="B3655" t="str">
        <f>"002948"</f>
        <v>002948</v>
      </c>
      <c r="C3655" t="s">
        <v>7656</v>
      </c>
      <c r="D3655" t="s">
        <v>1842</v>
      </c>
      <c r="P3655">
        <v>458</v>
      </c>
      <c r="Q3655" t="s">
        <v>7657</v>
      </c>
    </row>
    <row r="3656" spans="1:17" x14ac:dyDescent="0.3">
      <c r="A3656" t="s">
        <v>4729</v>
      </c>
      <c r="B3656" t="str">
        <f>"002949"</f>
        <v>002949</v>
      </c>
      <c r="C3656" t="s">
        <v>7658</v>
      </c>
      <c r="D3656" t="s">
        <v>1272</v>
      </c>
      <c r="F3656">
        <v>97344247</v>
      </c>
      <c r="G3656">
        <v>72894657</v>
      </c>
      <c r="H3656">
        <v>52563209</v>
      </c>
      <c r="I3656">
        <v>35650026</v>
      </c>
      <c r="J3656">
        <v>23254301</v>
      </c>
      <c r="K3656">
        <v>19603217</v>
      </c>
      <c r="L3656">
        <v>20426214</v>
      </c>
      <c r="P3656">
        <v>158</v>
      </c>
      <c r="Q3656" t="s">
        <v>7659</v>
      </c>
    </row>
    <row r="3657" spans="1:17" x14ac:dyDescent="0.3">
      <c r="A3657" t="s">
        <v>4729</v>
      </c>
      <c r="B3657" t="str">
        <f>"002950"</f>
        <v>002950</v>
      </c>
      <c r="C3657" t="s">
        <v>7660</v>
      </c>
      <c r="D3657" t="s">
        <v>1077</v>
      </c>
      <c r="F3657">
        <v>94577732</v>
      </c>
      <c r="G3657">
        <v>118126623</v>
      </c>
      <c r="H3657">
        <v>59712943</v>
      </c>
      <c r="I3657">
        <v>49738691</v>
      </c>
      <c r="J3657">
        <v>45411849</v>
      </c>
      <c r="K3657">
        <v>38374801</v>
      </c>
      <c r="L3657">
        <v>34387189</v>
      </c>
      <c r="P3657">
        <v>1080</v>
      </c>
      <c r="Q3657" t="s">
        <v>7661</v>
      </c>
    </row>
    <row r="3658" spans="1:17" x14ac:dyDescent="0.3">
      <c r="A3658" t="s">
        <v>4729</v>
      </c>
      <c r="B3658" t="str">
        <f>"002951"</f>
        <v>002951</v>
      </c>
      <c r="C3658" t="s">
        <v>7662</v>
      </c>
      <c r="D3658" t="s">
        <v>2165</v>
      </c>
      <c r="F3658">
        <v>10435261</v>
      </c>
      <c r="G3658">
        <v>11005254</v>
      </c>
      <c r="H3658">
        <v>12235250</v>
      </c>
      <c r="I3658">
        <v>16225860</v>
      </c>
      <c r="J3658">
        <v>11484595</v>
      </c>
      <c r="K3658">
        <v>8431902</v>
      </c>
      <c r="P3658">
        <v>93</v>
      </c>
      <c r="Q3658" t="s">
        <v>7663</v>
      </c>
    </row>
    <row r="3659" spans="1:17" x14ac:dyDescent="0.3">
      <c r="A3659" t="s">
        <v>4729</v>
      </c>
      <c r="B3659" t="str">
        <f>"002952"</f>
        <v>002952</v>
      </c>
      <c r="C3659" t="s">
        <v>7664</v>
      </c>
      <c r="D3659" t="s">
        <v>1117</v>
      </c>
      <c r="F3659">
        <v>22023971</v>
      </c>
      <c r="G3659">
        <v>16310572</v>
      </c>
      <c r="H3659">
        <v>16566103</v>
      </c>
      <c r="I3659">
        <v>15949982</v>
      </c>
      <c r="J3659">
        <v>17631174</v>
      </c>
      <c r="K3659">
        <v>14926875</v>
      </c>
      <c r="P3659">
        <v>79</v>
      </c>
      <c r="Q3659" t="s">
        <v>7665</v>
      </c>
    </row>
    <row r="3660" spans="1:17" x14ac:dyDescent="0.3">
      <c r="A3660" t="s">
        <v>4729</v>
      </c>
      <c r="B3660" t="str">
        <f>"002953"</f>
        <v>002953</v>
      </c>
      <c r="C3660" t="s">
        <v>7666</v>
      </c>
      <c r="D3660" t="s">
        <v>1164</v>
      </c>
      <c r="F3660">
        <v>105193680</v>
      </c>
      <c r="G3660">
        <v>56804462</v>
      </c>
      <c r="H3660">
        <v>46886581</v>
      </c>
      <c r="I3660">
        <v>49621049</v>
      </c>
      <c r="J3660">
        <v>40492496</v>
      </c>
      <c r="K3660">
        <v>27899546</v>
      </c>
      <c r="P3660">
        <v>99</v>
      </c>
      <c r="Q3660" t="s">
        <v>7667</v>
      </c>
    </row>
    <row r="3661" spans="1:17" x14ac:dyDescent="0.3">
      <c r="A3661" t="s">
        <v>4729</v>
      </c>
      <c r="B3661" t="str">
        <f>"002955"</f>
        <v>002955</v>
      </c>
      <c r="C3661" t="s">
        <v>7668</v>
      </c>
      <c r="D3661" t="s">
        <v>1117</v>
      </c>
      <c r="F3661">
        <v>248053187</v>
      </c>
      <c r="G3661">
        <v>190976532</v>
      </c>
      <c r="H3661">
        <v>174414229</v>
      </c>
      <c r="I3661">
        <v>173137520</v>
      </c>
      <c r="J3661">
        <v>133008254</v>
      </c>
      <c r="K3661">
        <v>111561920</v>
      </c>
      <c r="P3661">
        <v>167</v>
      </c>
      <c r="Q3661" t="s">
        <v>7669</v>
      </c>
    </row>
    <row r="3662" spans="1:17" x14ac:dyDescent="0.3">
      <c r="A3662" t="s">
        <v>4729</v>
      </c>
      <c r="B3662" t="str">
        <f>"002956"</f>
        <v>002956</v>
      </c>
      <c r="C3662" t="s">
        <v>7670</v>
      </c>
      <c r="D3662" t="s">
        <v>2488</v>
      </c>
      <c r="F3662">
        <v>4736371</v>
      </c>
      <c r="G3662">
        <v>4631248</v>
      </c>
      <c r="H3662">
        <v>4943914</v>
      </c>
      <c r="I3662">
        <v>3240327</v>
      </c>
      <c r="J3662">
        <v>2437309</v>
      </c>
      <c r="K3662">
        <v>1897971</v>
      </c>
      <c r="P3662">
        <v>281</v>
      </c>
      <c r="Q3662" t="s">
        <v>7671</v>
      </c>
    </row>
    <row r="3663" spans="1:17" x14ac:dyDescent="0.3">
      <c r="A3663" t="s">
        <v>4729</v>
      </c>
      <c r="B3663" t="str">
        <f>"002957"</f>
        <v>002957</v>
      </c>
      <c r="C3663" t="s">
        <v>7672</v>
      </c>
      <c r="D3663" t="s">
        <v>2432</v>
      </c>
      <c r="F3663">
        <v>371023602</v>
      </c>
      <c r="G3663">
        <v>230020444</v>
      </c>
      <c r="H3663">
        <v>233969752</v>
      </c>
      <c r="I3663">
        <v>227845311</v>
      </c>
      <c r="J3663">
        <v>165399627</v>
      </c>
      <c r="K3663">
        <v>138340398</v>
      </c>
      <c r="P3663">
        <v>182</v>
      </c>
      <c r="Q3663" t="s">
        <v>7673</v>
      </c>
    </row>
    <row r="3664" spans="1:17" x14ac:dyDescent="0.3">
      <c r="A3664" t="s">
        <v>4729</v>
      </c>
      <c r="B3664" t="str">
        <f>"002958"</f>
        <v>002958</v>
      </c>
      <c r="C3664" t="s">
        <v>7674</v>
      </c>
      <c r="D3664" t="s">
        <v>1831</v>
      </c>
      <c r="P3664">
        <v>416</v>
      </c>
      <c r="Q3664" t="s">
        <v>7675</v>
      </c>
    </row>
    <row r="3665" spans="1:17" x14ac:dyDescent="0.3">
      <c r="A3665" t="s">
        <v>4729</v>
      </c>
      <c r="B3665" t="str">
        <f>"002959"</f>
        <v>002959</v>
      </c>
      <c r="C3665" t="s">
        <v>7676</v>
      </c>
      <c r="D3665" t="s">
        <v>5799</v>
      </c>
      <c r="F3665">
        <v>129887969</v>
      </c>
      <c r="G3665">
        <v>105241506</v>
      </c>
      <c r="H3665">
        <v>76515243</v>
      </c>
      <c r="I3665">
        <v>47392453</v>
      </c>
      <c r="J3665">
        <v>25076790</v>
      </c>
      <c r="K3665">
        <v>16533333</v>
      </c>
      <c r="P3665">
        <v>1479</v>
      </c>
      <c r="Q3665" t="s">
        <v>7677</v>
      </c>
    </row>
    <row r="3666" spans="1:17" x14ac:dyDescent="0.3">
      <c r="A3666" t="s">
        <v>4729</v>
      </c>
      <c r="B3666" t="str">
        <f>"002960"</f>
        <v>002960</v>
      </c>
      <c r="C3666" t="s">
        <v>7678</v>
      </c>
      <c r="D3666" t="s">
        <v>1691</v>
      </c>
      <c r="F3666">
        <v>186238039</v>
      </c>
      <c r="G3666">
        <v>137840142</v>
      </c>
      <c r="H3666">
        <v>116105112</v>
      </c>
      <c r="I3666">
        <v>92770874</v>
      </c>
      <c r="J3666">
        <v>66339464</v>
      </c>
      <c r="K3666">
        <v>52211816</v>
      </c>
      <c r="P3666">
        <v>391</v>
      </c>
      <c r="Q3666" t="s">
        <v>7679</v>
      </c>
    </row>
    <row r="3667" spans="1:17" x14ac:dyDescent="0.3">
      <c r="A3667" t="s">
        <v>4729</v>
      </c>
      <c r="B3667" t="str">
        <f>"002961"</f>
        <v>002961</v>
      </c>
      <c r="C3667" t="s">
        <v>7680</v>
      </c>
      <c r="D3667" t="s">
        <v>1847</v>
      </c>
      <c r="P3667">
        <v>123</v>
      </c>
      <c r="Q3667" t="s">
        <v>7681</v>
      </c>
    </row>
    <row r="3668" spans="1:17" x14ac:dyDescent="0.3">
      <c r="A3668" t="s">
        <v>4729</v>
      </c>
      <c r="B3668" t="str">
        <f>"002962"</f>
        <v>002962</v>
      </c>
      <c r="C3668" t="s">
        <v>7682</v>
      </c>
      <c r="D3668" t="s">
        <v>164</v>
      </c>
      <c r="F3668">
        <v>39909146</v>
      </c>
      <c r="G3668">
        <v>35047056</v>
      </c>
      <c r="H3668">
        <v>35197824</v>
      </c>
      <c r="I3668">
        <v>28069809</v>
      </c>
      <c r="J3668">
        <v>28946672</v>
      </c>
      <c r="K3668">
        <v>22773175</v>
      </c>
      <c r="P3668">
        <v>137</v>
      </c>
      <c r="Q3668" t="s">
        <v>7683</v>
      </c>
    </row>
    <row r="3669" spans="1:17" x14ac:dyDescent="0.3">
      <c r="A3669" t="s">
        <v>4729</v>
      </c>
      <c r="B3669" t="str">
        <f>"002963"</f>
        <v>002963</v>
      </c>
      <c r="C3669" t="s">
        <v>7684</v>
      </c>
      <c r="D3669" t="s">
        <v>450</v>
      </c>
      <c r="F3669">
        <v>49638440</v>
      </c>
      <c r="G3669">
        <v>29516704</v>
      </c>
      <c r="H3669">
        <v>23212823</v>
      </c>
      <c r="I3669">
        <v>9951978</v>
      </c>
      <c r="J3669">
        <v>8011642</v>
      </c>
      <c r="K3669">
        <v>6700728</v>
      </c>
      <c r="P3669">
        <v>75</v>
      </c>
      <c r="Q3669" t="s">
        <v>7685</v>
      </c>
    </row>
    <row r="3670" spans="1:17" x14ac:dyDescent="0.3">
      <c r="A3670" t="s">
        <v>4729</v>
      </c>
      <c r="B3670" t="str">
        <f>"002965"</f>
        <v>002965</v>
      </c>
      <c r="C3670" t="s">
        <v>7686</v>
      </c>
      <c r="D3670" t="s">
        <v>274</v>
      </c>
      <c r="F3670">
        <v>95510580</v>
      </c>
      <c r="G3670">
        <v>76083501</v>
      </c>
      <c r="H3670">
        <v>54765109</v>
      </c>
      <c r="I3670">
        <v>46334619</v>
      </c>
      <c r="J3670">
        <v>43160096</v>
      </c>
      <c r="K3670">
        <v>34210500</v>
      </c>
      <c r="P3670">
        <v>400</v>
      </c>
      <c r="Q3670" t="s">
        <v>7687</v>
      </c>
    </row>
    <row r="3671" spans="1:17" x14ac:dyDescent="0.3">
      <c r="A3671" t="s">
        <v>4729</v>
      </c>
      <c r="B3671" t="str">
        <f>"002966"</f>
        <v>002966</v>
      </c>
      <c r="C3671" t="s">
        <v>7688</v>
      </c>
      <c r="D3671" t="s">
        <v>1842</v>
      </c>
      <c r="P3671">
        <v>365</v>
      </c>
      <c r="Q3671" t="s">
        <v>7689</v>
      </c>
    </row>
    <row r="3672" spans="1:17" x14ac:dyDescent="0.3">
      <c r="A3672" t="s">
        <v>4729</v>
      </c>
      <c r="B3672" t="str">
        <f>"002967"</f>
        <v>002967</v>
      </c>
      <c r="C3672" t="s">
        <v>7690</v>
      </c>
      <c r="D3672" t="s">
        <v>2510</v>
      </c>
      <c r="F3672">
        <v>223092846</v>
      </c>
      <c r="G3672">
        <v>201757840</v>
      </c>
      <c r="H3672">
        <v>181405159</v>
      </c>
      <c r="I3672">
        <v>127661282</v>
      </c>
      <c r="J3672">
        <v>102181830</v>
      </c>
      <c r="K3672">
        <v>69846111</v>
      </c>
      <c r="P3672">
        <v>236</v>
      </c>
      <c r="Q3672" t="s">
        <v>7691</v>
      </c>
    </row>
    <row r="3673" spans="1:17" x14ac:dyDescent="0.3">
      <c r="A3673" t="s">
        <v>4729</v>
      </c>
      <c r="B3673" t="str">
        <f>"002968"</f>
        <v>002968</v>
      </c>
      <c r="C3673" t="s">
        <v>7692</v>
      </c>
      <c r="D3673" t="s">
        <v>2975</v>
      </c>
      <c r="F3673">
        <v>0</v>
      </c>
      <c r="G3673">
        <v>0</v>
      </c>
      <c r="H3673">
        <v>0</v>
      </c>
      <c r="I3673">
        <v>0</v>
      </c>
      <c r="J3673">
        <v>0</v>
      </c>
      <c r="P3673">
        <v>234</v>
      </c>
      <c r="Q3673" t="s">
        <v>7693</v>
      </c>
    </row>
    <row r="3674" spans="1:17" x14ac:dyDescent="0.3">
      <c r="A3674" t="s">
        <v>4729</v>
      </c>
      <c r="B3674" t="str">
        <f>"002969"</f>
        <v>002969</v>
      </c>
      <c r="C3674" t="s">
        <v>7694</v>
      </c>
      <c r="D3674" t="s">
        <v>2373</v>
      </c>
      <c r="F3674">
        <v>8219850</v>
      </c>
      <c r="G3674">
        <v>6463022</v>
      </c>
      <c r="H3674">
        <v>5253243</v>
      </c>
      <c r="I3674">
        <v>4050252</v>
      </c>
      <c r="J3674">
        <v>2723720</v>
      </c>
      <c r="K3674">
        <v>1612624</v>
      </c>
      <c r="P3674">
        <v>78</v>
      </c>
      <c r="Q3674" t="s">
        <v>7695</v>
      </c>
    </row>
    <row r="3675" spans="1:17" x14ac:dyDescent="0.3">
      <c r="A3675" t="s">
        <v>4729</v>
      </c>
      <c r="B3675" t="str">
        <f>"002970"</f>
        <v>002970</v>
      </c>
      <c r="C3675" t="s">
        <v>7696</v>
      </c>
      <c r="D3675" t="s">
        <v>236</v>
      </c>
      <c r="F3675">
        <v>268124698</v>
      </c>
      <c r="G3675">
        <v>211119296</v>
      </c>
      <c r="H3675">
        <v>169824470</v>
      </c>
      <c r="I3675">
        <v>123435866</v>
      </c>
      <c r="J3675">
        <v>98878023</v>
      </c>
      <c r="K3675">
        <v>66237573</v>
      </c>
      <c r="P3675">
        <v>563</v>
      </c>
      <c r="Q3675" t="s">
        <v>7697</v>
      </c>
    </row>
    <row r="3676" spans="1:17" x14ac:dyDescent="0.3">
      <c r="A3676" t="s">
        <v>4729</v>
      </c>
      <c r="B3676" t="str">
        <f>"002971"</f>
        <v>002971</v>
      </c>
      <c r="C3676" t="s">
        <v>7698</v>
      </c>
      <c r="D3676" t="s">
        <v>386</v>
      </c>
      <c r="F3676">
        <v>21595535</v>
      </c>
      <c r="G3676">
        <v>18900803</v>
      </c>
      <c r="H3676">
        <v>18298174</v>
      </c>
      <c r="I3676">
        <v>17593369</v>
      </c>
      <c r="J3676">
        <v>16978930</v>
      </c>
      <c r="K3676">
        <v>11882259</v>
      </c>
      <c r="P3676">
        <v>70</v>
      </c>
      <c r="Q3676" t="s">
        <v>7699</v>
      </c>
    </row>
    <row r="3677" spans="1:17" x14ac:dyDescent="0.3">
      <c r="A3677" t="s">
        <v>4729</v>
      </c>
      <c r="B3677" t="str">
        <f>"002972"</f>
        <v>002972</v>
      </c>
      <c r="C3677" t="s">
        <v>7700</v>
      </c>
      <c r="D3677" t="s">
        <v>1012</v>
      </c>
      <c r="F3677">
        <v>40061904</v>
      </c>
      <c r="G3677">
        <v>31448756</v>
      </c>
      <c r="H3677">
        <v>19399710</v>
      </c>
      <c r="I3677">
        <v>14692963</v>
      </c>
      <c r="J3677">
        <v>12642325</v>
      </c>
      <c r="K3677">
        <v>11713139</v>
      </c>
      <c r="P3677">
        <v>188</v>
      </c>
      <c r="Q3677" t="s">
        <v>7701</v>
      </c>
    </row>
    <row r="3678" spans="1:17" x14ac:dyDescent="0.3">
      <c r="A3678" t="s">
        <v>4729</v>
      </c>
      <c r="B3678" t="str">
        <f>"002973"</f>
        <v>002973</v>
      </c>
      <c r="C3678" t="s">
        <v>7702</v>
      </c>
      <c r="D3678" t="s">
        <v>499</v>
      </c>
      <c r="F3678">
        <v>11522882</v>
      </c>
      <c r="G3678">
        <v>3133036</v>
      </c>
      <c r="P3678">
        <v>212</v>
      </c>
      <c r="Q3678" t="s">
        <v>7703</v>
      </c>
    </row>
    <row r="3679" spans="1:17" x14ac:dyDescent="0.3">
      <c r="A3679" t="s">
        <v>4729</v>
      </c>
      <c r="B3679" t="str">
        <f>"002975"</f>
        <v>002975</v>
      </c>
      <c r="C3679" t="s">
        <v>7704</v>
      </c>
      <c r="D3679" t="s">
        <v>2432</v>
      </c>
      <c r="F3679">
        <v>141301997</v>
      </c>
      <c r="G3679">
        <v>126147502</v>
      </c>
      <c r="H3679">
        <v>98369751</v>
      </c>
      <c r="I3679">
        <v>74896090</v>
      </c>
      <c r="J3679">
        <v>63782378</v>
      </c>
      <c r="K3679">
        <v>34874605</v>
      </c>
      <c r="P3679">
        <v>293</v>
      </c>
      <c r="Q3679" t="s">
        <v>7705</v>
      </c>
    </row>
    <row r="3680" spans="1:17" x14ac:dyDescent="0.3">
      <c r="A3680" t="s">
        <v>4729</v>
      </c>
      <c r="B3680" t="str">
        <f>"002976"</f>
        <v>002976</v>
      </c>
      <c r="C3680" t="s">
        <v>7706</v>
      </c>
      <c r="D3680" t="s">
        <v>313</v>
      </c>
      <c r="F3680">
        <v>42895540</v>
      </c>
      <c r="G3680">
        <v>30164319</v>
      </c>
      <c r="H3680">
        <v>24377286</v>
      </c>
      <c r="I3680">
        <v>24002842</v>
      </c>
      <c r="J3680">
        <v>22249900</v>
      </c>
      <c r="K3680">
        <v>18689042</v>
      </c>
      <c r="P3680">
        <v>104</v>
      </c>
      <c r="Q3680" t="s">
        <v>7707</v>
      </c>
    </row>
    <row r="3681" spans="1:17" x14ac:dyDescent="0.3">
      <c r="A3681" t="s">
        <v>4729</v>
      </c>
      <c r="B3681" t="str">
        <f>"002977"</f>
        <v>002977</v>
      </c>
      <c r="C3681" t="s">
        <v>7708</v>
      </c>
      <c r="D3681" t="s">
        <v>1136</v>
      </c>
      <c r="F3681">
        <v>9526927</v>
      </c>
      <c r="G3681">
        <v>11421920</v>
      </c>
      <c r="H3681">
        <v>8609412</v>
      </c>
      <c r="I3681">
        <v>9039201</v>
      </c>
      <c r="J3681">
        <v>8038019</v>
      </c>
      <c r="P3681">
        <v>126</v>
      </c>
      <c r="Q3681" t="s">
        <v>7709</v>
      </c>
    </row>
    <row r="3682" spans="1:17" x14ac:dyDescent="0.3">
      <c r="A3682" t="s">
        <v>4729</v>
      </c>
      <c r="B3682" t="str">
        <f>"002978"</f>
        <v>002978</v>
      </c>
      <c r="C3682" t="s">
        <v>7710</v>
      </c>
      <c r="D3682" t="s">
        <v>636</v>
      </c>
      <c r="F3682">
        <v>77705136</v>
      </c>
      <c r="G3682">
        <v>52607716</v>
      </c>
      <c r="H3682">
        <v>41284083</v>
      </c>
      <c r="I3682">
        <v>36195693</v>
      </c>
      <c r="J3682">
        <v>38899218</v>
      </c>
      <c r="P3682">
        <v>229</v>
      </c>
      <c r="Q3682" t="s">
        <v>7711</v>
      </c>
    </row>
    <row r="3683" spans="1:17" x14ac:dyDescent="0.3">
      <c r="A3683" t="s">
        <v>4729</v>
      </c>
      <c r="B3683" t="str">
        <f>"002979"</f>
        <v>002979</v>
      </c>
      <c r="C3683" t="s">
        <v>7712</v>
      </c>
      <c r="D3683" t="s">
        <v>2938</v>
      </c>
      <c r="F3683">
        <v>135726047</v>
      </c>
      <c r="G3683">
        <v>87458198</v>
      </c>
      <c r="H3683">
        <v>66061093</v>
      </c>
      <c r="I3683">
        <v>59840316</v>
      </c>
      <c r="J3683">
        <v>53472152</v>
      </c>
      <c r="P3683">
        <v>196</v>
      </c>
      <c r="Q3683" t="s">
        <v>7713</v>
      </c>
    </row>
    <row r="3684" spans="1:17" x14ac:dyDescent="0.3">
      <c r="A3684" t="s">
        <v>4729</v>
      </c>
      <c r="B3684" t="str">
        <f>"002980"</f>
        <v>002980</v>
      </c>
      <c r="C3684" t="s">
        <v>7714</v>
      </c>
      <c r="D3684" t="s">
        <v>2180</v>
      </c>
      <c r="F3684">
        <v>58311199</v>
      </c>
      <c r="G3684">
        <v>47167611</v>
      </c>
      <c r="H3684">
        <v>37300630</v>
      </c>
      <c r="I3684">
        <v>36976811</v>
      </c>
      <c r="J3684">
        <v>35359389</v>
      </c>
      <c r="P3684">
        <v>154</v>
      </c>
      <c r="Q3684" t="s">
        <v>7715</v>
      </c>
    </row>
    <row r="3685" spans="1:17" x14ac:dyDescent="0.3">
      <c r="A3685" t="s">
        <v>4729</v>
      </c>
      <c r="B3685" t="str">
        <f>"002981"</f>
        <v>002981</v>
      </c>
      <c r="C3685" t="s">
        <v>7716</v>
      </c>
      <c r="D3685" t="s">
        <v>313</v>
      </c>
      <c r="F3685">
        <v>56927119</v>
      </c>
      <c r="G3685">
        <v>38665294</v>
      </c>
      <c r="H3685">
        <v>34540679</v>
      </c>
      <c r="I3685">
        <v>28949733</v>
      </c>
      <c r="J3685">
        <v>21156441</v>
      </c>
      <c r="K3685">
        <v>16644210</v>
      </c>
      <c r="P3685">
        <v>73</v>
      </c>
      <c r="Q3685" t="s">
        <v>7717</v>
      </c>
    </row>
    <row r="3686" spans="1:17" x14ac:dyDescent="0.3">
      <c r="A3686" t="s">
        <v>4729</v>
      </c>
      <c r="B3686" t="str">
        <f>"002982"</f>
        <v>002982</v>
      </c>
      <c r="C3686" t="s">
        <v>7718</v>
      </c>
      <c r="D3686" t="s">
        <v>6260</v>
      </c>
      <c r="F3686">
        <v>5463825</v>
      </c>
      <c r="G3686">
        <v>4572408</v>
      </c>
      <c r="H3686">
        <v>3776018</v>
      </c>
      <c r="I3686">
        <v>3138194</v>
      </c>
      <c r="J3686">
        <v>1905263</v>
      </c>
      <c r="P3686">
        <v>131</v>
      </c>
      <c r="Q3686" t="s">
        <v>7719</v>
      </c>
    </row>
    <row r="3687" spans="1:17" x14ac:dyDescent="0.3">
      <c r="A3687" t="s">
        <v>4729</v>
      </c>
      <c r="B3687" t="str">
        <f>"002983"</f>
        <v>002983</v>
      </c>
      <c r="C3687" t="s">
        <v>7720</v>
      </c>
      <c r="D3687" t="s">
        <v>803</v>
      </c>
      <c r="F3687">
        <v>22502027</v>
      </c>
      <c r="G3687">
        <v>19197887</v>
      </c>
      <c r="H3687">
        <v>17201843</v>
      </c>
      <c r="I3687">
        <v>19461697</v>
      </c>
      <c r="J3687">
        <v>14443415</v>
      </c>
      <c r="P3687">
        <v>109</v>
      </c>
      <c r="Q3687" t="s">
        <v>7721</v>
      </c>
    </row>
    <row r="3688" spans="1:17" x14ac:dyDescent="0.3">
      <c r="A3688" t="s">
        <v>4729</v>
      </c>
      <c r="B3688" t="str">
        <f>"002984"</f>
        <v>002984</v>
      </c>
      <c r="C3688" t="s">
        <v>7722</v>
      </c>
      <c r="D3688" t="s">
        <v>422</v>
      </c>
      <c r="F3688">
        <v>108792156</v>
      </c>
      <c r="G3688">
        <v>89061782</v>
      </c>
      <c r="H3688">
        <v>65037854</v>
      </c>
      <c r="I3688">
        <v>58074363</v>
      </c>
      <c r="J3688">
        <v>63821387</v>
      </c>
      <c r="P3688">
        <v>201</v>
      </c>
      <c r="Q3688" t="s">
        <v>7723</v>
      </c>
    </row>
    <row r="3689" spans="1:17" x14ac:dyDescent="0.3">
      <c r="A3689" t="s">
        <v>4729</v>
      </c>
      <c r="B3689" t="str">
        <f>"002985"</f>
        <v>002985</v>
      </c>
      <c r="C3689" t="s">
        <v>7724</v>
      </c>
      <c r="D3689" t="s">
        <v>98</v>
      </c>
      <c r="F3689">
        <v>76014065</v>
      </c>
      <c r="G3689">
        <v>49854221</v>
      </c>
      <c r="H3689">
        <v>34096016</v>
      </c>
      <c r="I3689">
        <v>30230516</v>
      </c>
      <c r="J3689">
        <v>34578063</v>
      </c>
      <c r="P3689">
        <v>548</v>
      </c>
      <c r="Q3689" t="s">
        <v>7725</v>
      </c>
    </row>
    <row r="3690" spans="1:17" x14ac:dyDescent="0.3">
      <c r="A3690" t="s">
        <v>4729</v>
      </c>
      <c r="B3690" t="str">
        <f>"002986"</f>
        <v>002986</v>
      </c>
      <c r="C3690" t="s">
        <v>7726</v>
      </c>
      <c r="D3690" t="s">
        <v>1617</v>
      </c>
      <c r="F3690">
        <v>124184745</v>
      </c>
      <c r="G3690">
        <v>80705565</v>
      </c>
      <c r="H3690">
        <v>118829141</v>
      </c>
      <c r="I3690">
        <v>107023875</v>
      </c>
      <c r="J3690">
        <v>83451632</v>
      </c>
      <c r="P3690">
        <v>58</v>
      </c>
      <c r="Q3690" t="s">
        <v>7727</v>
      </c>
    </row>
    <row r="3691" spans="1:17" x14ac:dyDescent="0.3">
      <c r="A3691" t="s">
        <v>4729</v>
      </c>
      <c r="B3691" t="str">
        <f>"002987"</f>
        <v>002987</v>
      </c>
      <c r="C3691" t="s">
        <v>7728</v>
      </c>
      <c r="D3691" t="s">
        <v>945</v>
      </c>
      <c r="F3691">
        <v>280939248</v>
      </c>
      <c r="G3691">
        <v>192828094</v>
      </c>
      <c r="H3691">
        <v>123875627</v>
      </c>
      <c r="I3691">
        <v>78386483</v>
      </c>
      <c r="J3691">
        <v>50472509</v>
      </c>
      <c r="P3691">
        <v>127</v>
      </c>
      <c r="Q3691" t="s">
        <v>7729</v>
      </c>
    </row>
    <row r="3692" spans="1:17" x14ac:dyDescent="0.3">
      <c r="A3692" t="s">
        <v>4729</v>
      </c>
      <c r="B3692" t="str">
        <f>"002988"</f>
        <v>002988</v>
      </c>
      <c r="C3692" t="s">
        <v>7730</v>
      </c>
      <c r="D3692" t="s">
        <v>504</v>
      </c>
      <c r="F3692">
        <v>192264979</v>
      </c>
      <c r="G3692">
        <v>121122327</v>
      </c>
      <c r="H3692">
        <v>94041318</v>
      </c>
      <c r="I3692">
        <v>79005192</v>
      </c>
      <c r="J3692">
        <v>74279130</v>
      </c>
      <c r="P3692">
        <v>61</v>
      </c>
      <c r="Q3692" t="s">
        <v>7731</v>
      </c>
    </row>
    <row r="3693" spans="1:17" x14ac:dyDescent="0.3">
      <c r="A3693" t="s">
        <v>4729</v>
      </c>
      <c r="B3693" t="str">
        <f>"002989"</f>
        <v>002989</v>
      </c>
      <c r="C3693" t="s">
        <v>7732</v>
      </c>
      <c r="D3693" t="s">
        <v>450</v>
      </c>
      <c r="F3693">
        <v>86592265</v>
      </c>
      <c r="G3693">
        <v>87520207</v>
      </c>
      <c r="H3693">
        <v>8191348</v>
      </c>
      <c r="I3693">
        <v>7193088</v>
      </c>
      <c r="J3693">
        <v>5559371</v>
      </c>
      <c r="P3693">
        <v>137</v>
      </c>
      <c r="Q3693" t="s">
        <v>7733</v>
      </c>
    </row>
    <row r="3694" spans="1:17" x14ac:dyDescent="0.3">
      <c r="A3694" t="s">
        <v>4729</v>
      </c>
      <c r="B3694" t="str">
        <f>"002990"</f>
        <v>002990</v>
      </c>
      <c r="C3694" t="s">
        <v>7734</v>
      </c>
      <c r="D3694" t="s">
        <v>236</v>
      </c>
      <c r="F3694">
        <v>129250907</v>
      </c>
      <c r="G3694">
        <v>82507363</v>
      </c>
      <c r="H3694">
        <v>64370445</v>
      </c>
      <c r="I3694">
        <v>40983513</v>
      </c>
      <c r="J3694">
        <v>28542733</v>
      </c>
      <c r="P3694">
        <v>109</v>
      </c>
      <c r="Q3694" t="s">
        <v>7735</v>
      </c>
    </row>
    <row r="3695" spans="1:17" x14ac:dyDescent="0.3">
      <c r="A3695" t="s">
        <v>4729</v>
      </c>
      <c r="B3695" t="str">
        <f>"002991"</f>
        <v>002991</v>
      </c>
      <c r="C3695" t="s">
        <v>7736</v>
      </c>
      <c r="D3695" t="s">
        <v>3194</v>
      </c>
      <c r="F3695">
        <v>15149583</v>
      </c>
      <c r="G3695">
        <v>6664759</v>
      </c>
      <c r="H3695">
        <v>4302151</v>
      </c>
      <c r="I3695">
        <v>6042951</v>
      </c>
      <c r="J3695">
        <v>3056863</v>
      </c>
      <c r="P3695">
        <v>211</v>
      </c>
      <c r="Q3695" t="s">
        <v>7737</v>
      </c>
    </row>
    <row r="3696" spans="1:17" x14ac:dyDescent="0.3">
      <c r="A3696" t="s">
        <v>4729</v>
      </c>
      <c r="B3696" t="str">
        <f>"002992"</f>
        <v>002992</v>
      </c>
      <c r="C3696" t="s">
        <v>7738</v>
      </c>
      <c r="D3696" t="s">
        <v>1117</v>
      </c>
      <c r="F3696">
        <v>98759084</v>
      </c>
      <c r="G3696">
        <v>83566460</v>
      </c>
      <c r="H3696">
        <v>96236932</v>
      </c>
      <c r="I3696">
        <v>69973428</v>
      </c>
      <c r="J3696">
        <v>41514500</v>
      </c>
      <c r="P3696">
        <v>51</v>
      </c>
      <c r="Q3696" t="s">
        <v>7739</v>
      </c>
    </row>
    <row r="3697" spans="1:17" x14ac:dyDescent="0.3">
      <c r="A3697" t="s">
        <v>4729</v>
      </c>
      <c r="B3697" t="str">
        <f>"002993"</f>
        <v>002993</v>
      </c>
      <c r="C3697" t="s">
        <v>7740</v>
      </c>
      <c r="D3697" t="s">
        <v>313</v>
      </c>
      <c r="F3697">
        <v>205647557</v>
      </c>
      <c r="G3697">
        <v>143429411</v>
      </c>
      <c r="H3697">
        <v>100178796</v>
      </c>
      <c r="I3697">
        <v>72835233</v>
      </c>
      <c r="J3697">
        <v>56471099</v>
      </c>
      <c r="P3697">
        <v>145</v>
      </c>
      <c r="Q3697" t="s">
        <v>7741</v>
      </c>
    </row>
    <row r="3698" spans="1:17" x14ac:dyDescent="0.3">
      <c r="A3698" t="s">
        <v>4729</v>
      </c>
      <c r="B3698" t="str">
        <f>"002995"</f>
        <v>002995</v>
      </c>
      <c r="C3698" t="s">
        <v>7742</v>
      </c>
      <c r="D3698" t="s">
        <v>207</v>
      </c>
      <c r="F3698">
        <v>55190973</v>
      </c>
      <c r="G3698">
        <v>66516051</v>
      </c>
      <c r="H3698">
        <v>54417746</v>
      </c>
      <c r="I3698">
        <v>56757067</v>
      </c>
      <c r="J3698">
        <v>46468889</v>
      </c>
      <c r="P3698">
        <v>74</v>
      </c>
      <c r="Q3698" t="s">
        <v>7743</v>
      </c>
    </row>
    <row r="3699" spans="1:17" x14ac:dyDescent="0.3">
      <c r="A3699" t="s">
        <v>4729</v>
      </c>
      <c r="B3699" t="str">
        <f>"002996"</f>
        <v>002996</v>
      </c>
      <c r="C3699" t="s">
        <v>7744</v>
      </c>
      <c r="D3699" t="s">
        <v>504</v>
      </c>
      <c r="F3699">
        <v>0</v>
      </c>
      <c r="G3699">
        <v>0</v>
      </c>
      <c r="H3699">
        <v>0</v>
      </c>
      <c r="I3699">
        <v>0</v>
      </c>
      <c r="J3699">
        <v>0</v>
      </c>
      <c r="P3699">
        <v>73</v>
      </c>
      <c r="Q3699" t="s">
        <v>7745</v>
      </c>
    </row>
    <row r="3700" spans="1:17" x14ac:dyDescent="0.3">
      <c r="A3700" t="s">
        <v>4729</v>
      </c>
      <c r="B3700" t="str">
        <f>"002997"</f>
        <v>002997</v>
      </c>
      <c r="C3700" t="s">
        <v>7746</v>
      </c>
      <c r="D3700" t="s">
        <v>985</v>
      </c>
      <c r="F3700">
        <v>60851450</v>
      </c>
      <c r="G3700">
        <v>53068121</v>
      </c>
      <c r="H3700">
        <v>53296300</v>
      </c>
      <c r="I3700">
        <v>48013400</v>
      </c>
      <c r="J3700">
        <v>47221107</v>
      </c>
      <c r="P3700">
        <v>85</v>
      </c>
      <c r="Q3700" t="s">
        <v>7747</v>
      </c>
    </row>
    <row r="3701" spans="1:17" x14ac:dyDescent="0.3">
      <c r="A3701" t="s">
        <v>4729</v>
      </c>
      <c r="B3701" t="str">
        <f>"002998"</f>
        <v>002998</v>
      </c>
      <c r="C3701" t="s">
        <v>7748</v>
      </c>
      <c r="D3701" t="s">
        <v>2731</v>
      </c>
      <c r="F3701">
        <v>60074152</v>
      </c>
      <c r="G3701">
        <v>48834497</v>
      </c>
      <c r="H3701">
        <v>58248091</v>
      </c>
      <c r="I3701">
        <v>36961820</v>
      </c>
      <c r="J3701">
        <v>34666420</v>
      </c>
      <c r="K3701">
        <v>24881037</v>
      </c>
      <c r="P3701">
        <v>36</v>
      </c>
      <c r="Q3701" t="s">
        <v>7749</v>
      </c>
    </row>
    <row r="3702" spans="1:17" x14ac:dyDescent="0.3">
      <c r="A3702" t="s">
        <v>4729</v>
      </c>
      <c r="B3702" t="str">
        <f>"002999"</f>
        <v>002999</v>
      </c>
      <c r="C3702" t="s">
        <v>7750</v>
      </c>
      <c r="D3702" t="s">
        <v>5562</v>
      </c>
      <c r="F3702">
        <v>2014274</v>
      </c>
      <c r="G3702">
        <v>1063823</v>
      </c>
      <c r="H3702">
        <v>1731055</v>
      </c>
      <c r="I3702">
        <v>2548721</v>
      </c>
      <c r="J3702">
        <v>5244124</v>
      </c>
      <c r="P3702">
        <v>45</v>
      </c>
      <c r="Q3702" t="s">
        <v>7751</v>
      </c>
    </row>
    <row r="3703" spans="1:17" x14ac:dyDescent="0.3">
      <c r="A3703" t="s">
        <v>4729</v>
      </c>
      <c r="B3703" t="str">
        <f>"003000"</f>
        <v>003000</v>
      </c>
      <c r="C3703" t="s">
        <v>7752</v>
      </c>
      <c r="D3703" t="s">
        <v>3194</v>
      </c>
      <c r="F3703">
        <v>24065339</v>
      </c>
      <c r="G3703">
        <v>9951894</v>
      </c>
      <c r="H3703">
        <v>6071686</v>
      </c>
      <c r="I3703">
        <v>3957419</v>
      </c>
      <c r="J3703">
        <v>3063937</v>
      </c>
      <c r="P3703">
        <v>84</v>
      </c>
      <c r="Q3703" t="s">
        <v>7753</v>
      </c>
    </row>
    <row r="3704" spans="1:17" x14ac:dyDescent="0.3">
      <c r="A3704" t="s">
        <v>4729</v>
      </c>
      <c r="B3704" t="str">
        <f>"003001"</f>
        <v>003001</v>
      </c>
      <c r="C3704" t="s">
        <v>7754</v>
      </c>
      <c r="D3704" t="s">
        <v>1992</v>
      </c>
      <c r="F3704">
        <v>46668273</v>
      </c>
      <c r="G3704">
        <v>66613246</v>
      </c>
      <c r="H3704">
        <v>33452372</v>
      </c>
      <c r="I3704">
        <v>27951102</v>
      </c>
      <c r="J3704">
        <v>18372839</v>
      </c>
      <c r="K3704">
        <v>10323098</v>
      </c>
      <c r="P3704">
        <v>95</v>
      </c>
      <c r="Q3704" t="s">
        <v>7755</v>
      </c>
    </row>
    <row r="3705" spans="1:17" x14ac:dyDescent="0.3">
      <c r="A3705" t="s">
        <v>4729</v>
      </c>
      <c r="B3705" t="str">
        <f>"003002"</f>
        <v>003002</v>
      </c>
      <c r="C3705" t="s">
        <v>7756</v>
      </c>
      <c r="D3705" t="s">
        <v>2736</v>
      </c>
      <c r="F3705">
        <v>26816620</v>
      </c>
      <c r="G3705">
        <v>15606804</v>
      </c>
      <c r="H3705">
        <v>12122349</v>
      </c>
      <c r="I3705">
        <v>10684171</v>
      </c>
      <c r="J3705">
        <v>11332819</v>
      </c>
      <c r="K3705">
        <v>11628070</v>
      </c>
      <c r="P3705">
        <v>39</v>
      </c>
      <c r="Q3705" t="s">
        <v>7757</v>
      </c>
    </row>
    <row r="3706" spans="1:17" x14ac:dyDescent="0.3">
      <c r="A3706" t="s">
        <v>4729</v>
      </c>
      <c r="B3706" t="str">
        <f>"003003"</f>
        <v>003003</v>
      </c>
      <c r="C3706" t="s">
        <v>7758</v>
      </c>
      <c r="D3706" t="s">
        <v>2448</v>
      </c>
      <c r="F3706">
        <v>54268049</v>
      </c>
      <c r="G3706">
        <v>43943458</v>
      </c>
      <c r="H3706">
        <v>38489592</v>
      </c>
      <c r="I3706">
        <v>36360191</v>
      </c>
      <c r="J3706">
        <v>27447550</v>
      </c>
      <c r="P3706">
        <v>39</v>
      </c>
      <c r="Q3706" t="s">
        <v>7759</v>
      </c>
    </row>
    <row r="3707" spans="1:17" x14ac:dyDescent="0.3">
      <c r="A3707" t="s">
        <v>4729</v>
      </c>
      <c r="B3707" t="str">
        <f>"003004"</f>
        <v>003004</v>
      </c>
      <c r="C3707" t="s">
        <v>7760</v>
      </c>
      <c r="D3707" t="s">
        <v>2980</v>
      </c>
      <c r="F3707">
        <v>25980059</v>
      </c>
      <c r="G3707">
        <v>23996654</v>
      </c>
      <c r="H3707">
        <v>23985408</v>
      </c>
      <c r="I3707">
        <v>16448691</v>
      </c>
      <c r="J3707">
        <v>18625093</v>
      </c>
      <c r="P3707">
        <v>37</v>
      </c>
      <c r="Q3707" t="s">
        <v>7761</v>
      </c>
    </row>
    <row r="3708" spans="1:17" x14ac:dyDescent="0.3">
      <c r="A3708" t="s">
        <v>4729</v>
      </c>
      <c r="B3708" t="str">
        <f>"003005"</f>
        <v>003005</v>
      </c>
      <c r="C3708" t="s">
        <v>7762</v>
      </c>
      <c r="D3708" t="s">
        <v>316</v>
      </c>
      <c r="F3708">
        <v>47884364</v>
      </c>
      <c r="G3708">
        <v>41493778</v>
      </c>
      <c r="H3708">
        <v>40167882</v>
      </c>
      <c r="I3708">
        <v>32507948</v>
      </c>
      <c r="J3708">
        <v>26394562</v>
      </c>
      <c r="K3708">
        <v>24511248</v>
      </c>
      <c r="P3708">
        <v>68</v>
      </c>
      <c r="Q3708" t="s">
        <v>7763</v>
      </c>
    </row>
    <row r="3709" spans="1:17" x14ac:dyDescent="0.3">
      <c r="A3709" t="s">
        <v>4729</v>
      </c>
      <c r="B3709" t="str">
        <f>"003006"</f>
        <v>003006</v>
      </c>
      <c r="C3709" t="s">
        <v>7764</v>
      </c>
      <c r="D3709" t="s">
        <v>2751</v>
      </c>
      <c r="F3709">
        <v>50955219</v>
      </c>
      <c r="G3709">
        <v>29856039</v>
      </c>
      <c r="H3709">
        <v>18099253</v>
      </c>
      <c r="I3709">
        <v>12319556</v>
      </c>
      <c r="J3709">
        <v>10612353</v>
      </c>
      <c r="K3709">
        <v>7223800</v>
      </c>
      <c r="P3709">
        <v>174</v>
      </c>
      <c r="Q3709" t="s">
        <v>7765</v>
      </c>
    </row>
    <row r="3710" spans="1:17" x14ac:dyDescent="0.3">
      <c r="A3710" t="s">
        <v>4729</v>
      </c>
      <c r="B3710" t="str">
        <f>"003007"</f>
        <v>003007</v>
      </c>
      <c r="C3710" t="s">
        <v>7766</v>
      </c>
      <c r="D3710" t="s">
        <v>945</v>
      </c>
      <c r="F3710">
        <v>135488555</v>
      </c>
      <c r="G3710">
        <v>95773208</v>
      </c>
      <c r="H3710">
        <v>78441708</v>
      </c>
      <c r="I3710">
        <v>65116789</v>
      </c>
      <c r="J3710">
        <v>59143061</v>
      </c>
      <c r="K3710">
        <v>47680443</v>
      </c>
      <c r="P3710">
        <v>38</v>
      </c>
      <c r="Q3710" t="s">
        <v>7767</v>
      </c>
    </row>
    <row r="3711" spans="1:17" x14ac:dyDescent="0.3">
      <c r="A3711" t="s">
        <v>4729</v>
      </c>
      <c r="B3711" t="str">
        <f>"003008"</f>
        <v>003008</v>
      </c>
      <c r="C3711" t="s">
        <v>7768</v>
      </c>
      <c r="D3711" t="s">
        <v>2510</v>
      </c>
      <c r="F3711">
        <v>10018383</v>
      </c>
      <c r="G3711">
        <v>9173245</v>
      </c>
      <c r="H3711">
        <v>10749747</v>
      </c>
      <c r="I3711">
        <v>12161953</v>
      </c>
      <c r="J3711">
        <v>8961319</v>
      </c>
      <c r="K3711">
        <v>10842663</v>
      </c>
      <c r="P3711">
        <v>68</v>
      </c>
      <c r="Q3711" t="s">
        <v>7769</v>
      </c>
    </row>
    <row r="3712" spans="1:17" x14ac:dyDescent="0.3">
      <c r="A3712" t="s">
        <v>4729</v>
      </c>
      <c r="B3712" t="str">
        <f>"003009"</f>
        <v>003009</v>
      </c>
      <c r="C3712" t="s">
        <v>7770</v>
      </c>
      <c r="D3712" t="s">
        <v>284</v>
      </c>
      <c r="F3712">
        <v>64360939</v>
      </c>
      <c r="G3712">
        <v>56705481</v>
      </c>
      <c r="H3712">
        <v>46174470</v>
      </c>
      <c r="I3712">
        <v>32408635</v>
      </c>
      <c r="J3712">
        <v>17674027</v>
      </c>
      <c r="K3712">
        <v>13453801</v>
      </c>
      <c r="P3712">
        <v>105</v>
      </c>
      <c r="Q3712" t="s">
        <v>7771</v>
      </c>
    </row>
    <row r="3713" spans="1:17" x14ac:dyDescent="0.3">
      <c r="A3713" t="s">
        <v>4729</v>
      </c>
      <c r="B3713" t="str">
        <f>"003010"</f>
        <v>003010</v>
      </c>
      <c r="C3713" t="s">
        <v>7772</v>
      </c>
      <c r="D3713" t="s">
        <v>3617</v>
      </c>
      <c r="F3713">
        <v>28253655</v>
      </c>
      <c r="G3713">
        <v>26128719</v>
      </c>
      <c r="H3713">
        <v>22401218</v>
      </c>
      <c r="I3713">
        <v>24816199</v>
      </c>
      <c r="J3713">
        <v>18724646</v>
      </c>
      <c r="K3713">
        <v>13740000</v>
      </c>
      <c r="P3713">
        <v>58</v>
      </c>
      <c r="Q3713" t="s">
        <v>7773</v>
      </c>
    </row>
    <row r="3714" spans="1:17" x14ac:dyDescent="0.3">
      <c r="A3714" t="s">
        <v>4729</v>
      </c>
      <c r="B3714" t="str">
        <f>"003011"</f>
        <v>003011</v>
      </c>
      <c r="C3714" t="s">
        <v>7774</v>
      </c>
      <c r="D3714" t="s">
        <v>178</v>
      </c>
      <c r="F3714">
        <v>48150349</v>
      </c>
      <c r="G3714">
        <v>37002887</v>
      </c>
      <c r="H3714">
        <v>28049784</v>
      </c>
      <c r="I3714">
        <v>23580606</v>
      </c>
      <c r="J3714">
        <v>16720700</v>
      </c>
      <c r="K3714">
        <v>12312603</v>
      </c>
      <c r="P3714">
        <v>89</v>
      </c>
      <c r="Q3714" t="s">
        <v>7775</v>
      </c>
    </row>
    <row r="3715" spans="1:17" x14ac:dyDescent="0.3">
      <c r="A3715" t="s">
        <v>4729</v>
      </c>
      <c r="B3715" t="str">
        <f>"003012"</f>
        <v>003012</v>
      </c>
      <c r="C3715" t="s">
        <v>7776</v>
      </c>
      <c r="D3715" t="s">
        <v>178</v>
      </c>
      <c r="F3715">
        <v>196349159</v>
      </c>
      <c r="G3715">
        <v>174087272</v>
      </c>
      <c r="H3715">
        <v>135006376</v>
      </c>
      <c r="I3715">
        <v>84613319</v>
      </c>
      <c r="J3715">
        <v>86878817</v>
      </c>
      <c r="P3715">
        <v>120</v>
      </c>
      <c r="Q3715" t="s">
        <v>7777</v>
      </c>
    </row>
    <row r="3716" spans="1:17" x14ac:dyDescent="0.3">
      <c r="A3716" t="s">
        <v>4729</v>
      </c>
      <c r="B3716" t="str">
        <f>"003013"</f>
        <v>003013</v>
      </c>
      <c r="C3716" t="s">
        <v>7778</v>
      </c>
      <c r="D3716" t="s">
        <v>1272</v>
      </c>
      <c r="F3716">
        <v>108752997</v>
      </c>
      <c r="G3716">
        <v>102532685</v>
      </c>
      <c r="H3716">
        <v>81463738</v>
      </c>
      <c r="I3716">
        <v>69186881</v>
      </c>
      <c r="J3716">
        <v>72822981</v>
      </c>
      <c r="K3716">
        <v>70177135</v>
      </c>
      <c r="P3716">
        <v>101</v>
      </c>
      <c r="Q3716" t="s">
        <v>7779</v>
      </c>
    </row>
    <row r="3717" spans="1:17" x14ac:dyDescent="0.3">
      <c r="A3717" t="s">
        <v>4729</v>
      </c>
      <c r="B3717" t="str">
        <f>"003015"</f>
        <v>003015</v>
      </c>
      <c r="C3717" t="s">
        <v>7780</v>
      </c>
      <c r="D3717" t="s">
        <v>164</v>
      </c>
      <c r="F3717">
        <v>24824698</v>
      </c>
      <c r="G3717">
        <v>28258113</v>
      </c>
      <c r="H3717">
        <v>21860465</v>
      </c>
      <c r="I3717">
        <v>16978294</v>
      </c>
      <c r="J3717">
        <v>10822999</v>
      </c>
      <c r="K3717">
        <v>11499201</v>
      </c>
      <c r="P3717">
        <v>46</v>
      </c>
      <c r="Q3717" t="s">
        <v>7781</v>
      </c>
    </row>
    <row r="3718" spans="1:17" x14ac:dyDescent="0.3">
      <c r="A3718" t="s">
        <v>4729</v>
      </c>
      <c r="B3718" t="str">
        <f>"003016"</f>
        <v>003016</v>
      </c>
      <c r="C3718" t="s">
        <v>7782</v>
      </c>
      <c r="D3718" t="s">
        <v>255</v>
      </c>
      <c r="F3718">
        <v>72170662</v>
      </c>
      <c r="G3718">
        <v>58958648</v>
      </c>
      <c r="H3718">
        <v>66140394</v>
      </c>
      <c r="I3718">
        <v>64901065</v>
      </c>
      <c r="J3718">
        <v>67347369</v>
      </c>
      <c r="K3718">
        <v>78904292</v>
      </c>
      <c r="P3718">
        <v>58</v>
      </c>
      <c r="Q3718" t="s">
        <v>7783</v>
      </c>
    </row>
    <row r="3719" spans="1:17" x14ac:dyDescent="0.3">
      <c r="A3719" t="s">
        <v>4729</v>
      </c>
      <c r="B3719" t="str">
        <f>"003017"</f>
        <v>003017</v>
      </c>
      <c r="C3719" t="s">
        <v>7784</v>
      </c>
      <c r="D3719" t="s">
        <v>736</v>
      </c>
      <c r="F3719">
        <v>27837424</v>
      </c>
      <c r="G3719">
        <v>22330002</v>
      </c>
      <c r="H3719">
        <v>20479373</v>
      </c>
      <c r="I3719">
        <v>18231171</v>
      </c>
      <c r="J3719">
        <v>19631262</v>
      </c>
      <c r="K3719">
        <v>17700212</v>
      </c>
      <c r="P3719">
        <v>39</v>
      </c>
      <c r="Q3719" t="s">
        <v>7785</v>
      </c>
    </row>
    <row r="3720" spans="1:17" x14ac:dyDescent="0.3">
      <c r="A3720" t="s">
        <v>4729</v>
      </c>
      <c r="B3720" t="str">
        <f>"003018"</f>
        <v>003018</v>
      </c>
      <c r="C3720" t="s">
        <v>7786</v>
      </c>
      <c r="D3720" t="s">
        <v>485</v>
      </c>
      <c r="F3720">
        <v>17770685</v>
      </c>
      <c r="G3720">
        <v>14146446</v>
      </c>
      <c r="H3720">
        <v>15201309</v>
      </c>
      <c r="I3720">
        <v>13923964</v>
      </c>
      <c r="J3720">
        <v>12788379</v>
      </c>
      <c r="K3720">
        <v>13003555</v>
      </c>
      <c r="P3720">
        <v>38</v>
      </c>
      <c r="Q3720" t="s">
        <v>7787</v>
      </c>
    </row>
    <row r="3721" spans="1:17" x14ac:dyDescent="0.3">
      <c r="A3721" t="s">
        <v>4729</v>
      </c>
      <c r="B3721" t="str">
        <f>"003019"</f>
        <v>003019</v>
      </c>
      <c r="C3721" t="s">
        <v>7788</v>
      </c>
      <c r="D3721" t="s">
        <v>1117</v>
      </c>
      <c r="F3721">
        <v>52694831</v>
      </c>
      <c r="G3721">
        <v>47213234</v>
      </c>
      <c r="H3721">
        <v>45124767</v>
      </c>
      <c r="I3721">
        <v>47217198</v>
      </c>
      <c r="J3721">
        <v>43228998</v>
      </c>
      <c r="K3721">
        <v>41732623</v>
      </c>
      <c r="P3721">
        <v>62</v>
      </c>
      <c r="Q3721" t="s">
        <v>7789</v>
      </c>
    </row>
    <row r="3722" spans="1:17" x14ac:dyDescent="0.3">
      <c r="A3722" t="s">
        <v>4729</v>
      </c>
      <c r="B3722" t="str">
        <f>"003020"</f>
        <v>003020</v>
      </c>
      <c r="C3722" t="s">
        <v>7790</v>
      </c>
      <c r="D3722" t="s">
        <v>143</v>
      </c>
      <c r="F3722">
        <v>65857993</v>
      </c>
      <c r="G3722">
        <v>43309752</v>
      </c>
      <c r="H3722">
        <v>37444390</v>
      </c>
      <c r="I3722">
        <v>23789416</v>
      </c>
      <c r="J3722">
        <v>18388201</v>
      </c>
      <c r="K3722">
        <v>11795090</v>
      </c>
      <c r="P3722">
        <v>78</v>
      </c>
      <c r="Q3722" t="s">
        <v>7791</v>
      </c>
    </row>
    <row r="3723" spans="1:17" x14ac:dyDescent="0.3">
      <c r="A3723" t="s">
        <v>4729</v>
      </c>
      <c r="B3723" t="str">
        <f>"003021"</f>
        <v>003021</v>
      </c>
      <c r="C3723" t="s">
        <v>7792</v>
      </c>
      <c r="D3723" t="s">
        <v>1171</v>
      </c>
      <c r="F3723">
        <v>132828914</v>
      </c>
      <c r="G3723">
        <v>74630194</v>
      </c>
      <c r="H3723">
        <v>79049593</v>
      </c>
      <c r="I3723">
        <v>57210329</v>
      </c>
      <c r="J3723">
        <v>38745013</v>
      </c>
      <c r="K3723">
        <v>27701377</v>
      </c>
      <c r="P3723">
        <v>80</v>
      </c>
      <c r="Q3723" t="s">
        <v>7793</v>
      </c>
    </row>
    <row r="3724" spans="1:17" x14ac:dyDescent="0.3">
      <c r="A3724" t="s">
        <v>4729</v>
      </c>
      <c r="B3724" t="str">
        <f>"003022"</f>
        <v>003022</v>
      </c>
      <c r="C3724" t="s">
        <v>7794</v>
      </c>
      <c r="D3724" t="s">
        <v>478</v>
      </c>
      <c r="F3724">
        <v>272784325</v>
      </c>
      <c r="G3724">
        <v>163334592</v>
      </c>
      <c r="H3724">
        <v>25278326</v>
      </c>
      <c r="I3724">
        <v>10893640</v>
      </c>
      <c r="J3724">
        <v>11866656</v>
      </c>
      <c r="K3724">
        <v>8410380</v>
      </c>
      <c r="P3724">
        <v>205</v>
      </c>
      <c r="Q3724" t="s">
        <v>7795</v>
      </c>
    </row>
    <row r="3725" spans="1:17" x14ac:dyDescent="0.3">
      <c r="A3725" t="s">
        <v>4729</v>
      </c>
      <c r="B3725" t="str">
        <f>"003023"</f>
        <v>003023</v>
      </c>
      <c r="C3725" t="s">
        <v>7796</v>
      </c>
      <c r="D3725" t="s">
        <v>5799</v>
      </c>
      <c r="F3725">
        <v>33583371</v>
      </c>
      <c r="G3725">
        <v>25045592</v>
      </c>
      <c r="H3725">
        <v>25872665</v>
      </c>
      <c r="I3725">
        <v>23613611</v>
      </c>
      <c r="J3725">
        <v>19832543</v>
      </c>
      <c r="K3725">
        <v>19237029</v>
      </c>
      <c r="P3725">
        <v>49</v>
      </c>
      <c r="Q3725" t="s">
        <v>7797</v>
      </c>
    </row>
    <row r="3726" spans="1:17" x14ac:dyDescent="0.3">
      <c r="A3726" t="s">
        <v>4729</v>
      </c>
      <c r="B3726" t="str">
        <f>"003025"</f>
        <v>003025</v>
      </c>
      <c r="C3726" t="s">
        <v>7798</v>
      </c>
      <c r="D3726" t="s">
        <v>2321</v>
      </c>
      <c r="F3726">
        <v>17242454</v>
      </c>
      <c r="G3726">
        <v>13715272</v>
      </c>
      <c r="H3726">
        <v>5922324</v>
      </c>
      <c r="I3726">
        <v>6350584</v>
      </c>
      <c r="J3726">
        <v>6504040</v>
      </c>
      <c r="K3726">
        <v>5718676</v>
      </c>
      <c r="P3726">
        <v>118</v>
      </c>
      <c r="Q3726" t="s">
        <v>7799</v>
      </c>
    </row>
    <row r="3727" spans="1:17" x14ac:dyDescent="0.3">
      <c r="A3727" t="s">
        <v>4729</v>
      </c>
      <c r="B3727" t="str">
        <f>"003026"</f>
        <v>003026</v>
      </c>
      <c r="C3727" t="s">
        <v>7800</v>
      </c>
      <c r="D3727" t="s">
        <v>475</v>
      </c>
      <c r="F3727">
        <v>15061911</v>
      </c>
      <c r="G3727">
        <v>9801701</v>
      </c>
      <c r="H3727">
        <v>5781659</v>
      </c>
      <c r="I3727">
        <v>5326147</v>
      </c>
      <c r="J3727">
        <v>5543885</v>
      </c>
      <c r="K3727">
        <v>3836847</v>
      </c>
      <c r="P3727">
        <v>106</v>
      </c>
      <c r="Q3727" t="s">
        <v>7801</v>
      </c>
    </row>
    <row r="3728" spans="1:17" x14ac:dyDescent="0.3">
      <c r="A3728" t="s">
        <v>4729</v>
      </c>
      <c r="B3728" t="str">
        <f>"003027"</f>
        <v>003027</v>
      </c>
      <c r="C3728" t="s">
        <v>7802</v>
      </c>
      <c r="D3728" t="s">
        <v>663</v>
      </c>
      <c r="F3728">
        <v>48833884</v>
      </c>
      <c r="G3728">
        <v>46454441</v>
      </c>
      <c r="H3728">
        <v>46357397</v>
      </c>
      <c r="I3728">
        <v>40413233</v>
      </c>
      <c r="J3728">
        <v>17461267</v>
      </c>
      <c r="K3728">
        <v>8013364</v>
      </c>
      <c r="P3728">
        <v>58</v>
      </c>
      <c r="Q3728" t="s">
        <v>7803</v>
      </c>
    </row>
    <row r="3729" spans="1:17" x14ac:dyDescent="0.3">
      <c r="A3729" t="s">
        <v>4729</v>
      </c>
      <c r="B3729" t="str">
        <f>"003028"</f>
        <v>003028</v>
      </c>
      <c r="C3729" t="s">
        <v>7804</v>
      </c>
      <c r="D3729" t="s">
        <v>313</v>
      </c>
      <c r="F3729">
        <v>58904183</v>
      </c>
      <c r="G3729">
        <v>38909273</v>
      </c>
      <c r="H3729">
        <v>30325963</v>
      </c>
      <c r="I3729">
        <v>24613614</v>
      </c>
      <c r="J3729">
        <v>20723777</v>
      </c>
      <c r="P3729">
        <v>85</v>
      </c>
      <c r="Q3729" t="s">
        <v>7805</v>
      </c>
    </row>
    <row r="3730" spans="1:17" x14ac:dyDescent="0.3">
      <c r="A3730" t="s">
        <v>4729</v>
      </c>
      <c r="B3730" t="str">
        <f>"003029"</f>
        <v>003029</v>
      </c>
      <c r="C3730" t="s">
        <v>7806</v>
      </c>
      <c r="D3730" t="s">
        <v>945</v>
      </c>
      <c r="F3730">
        <v>100590643</v>
      </c>
      <c r="G3730">
        <v>71774049</v>
      </c>
      <c r="H3730">
        <v>48899449</v>
      </c>
      <c r="I3730">
        <v>31928445</v>
      </c>
      <c r="J3730">
        <v>21392417</v>
      </c>
      <c r="K3730">
        <v>21491711</v>
      </c>
      <c r="P3730">
        <v>75</v>
      </c>
      <c r="Q3730" t="s">
        <v>7807</v>
      </c>
    </row>
    <row r="3731" spans="1:17" x14ac:dyDescent="0.3">
      <c r="A3731" t="s">
        <v>4729</v>
      </c>
      <c r="B3731" t="str">
        <f>"003030"</f>
        <v>003030</v>
      </c>
      <c r="C3731" t="s">
        <v>7808</v>
      </c>
      <c r="D3731" t="s">
        <v>445</v>
      </c>
      <c r="F3731">
        <v>9928812</v>
      </c>
      <c r="G3731">
        <v>9802154</v>
      </c>
      <c r="H3731">
        <v>5023762</v>
      </c>
      <c r="I3731">
        <v>2816438</v>
      </c>
      <c r="J3731">
        <v>2461788</v>
      </c>
      <c r="P3731">
        <v>60</v>
      </c>
      <c r="Q3731" t="s">
        <v>7809</v>
      </c>
    </row>
    <row r="3732" spans="1:17" x14ac:dyDescent="0.3">
      <c r="A3732" t="s">
        <v>4729</v>
      </c>
      <c r="B3732" t="str">
        <f>"003031"</f>
        <v>003031</v>
      </c>
      <c r="C3732" t="s">
        <v>7810</v>
      </c>
      <c r="D3732" t="s">
        <v>786</v>
      </c>
      <c r="F3732">
        <v>141063744</v>
      </c>
      <c r="G3732">
        <v>108589671</v>
      </c>
      <c r="H3732">
        <v>63081009</v>
      </c>
      <c r="I3732">
        <v>53632560</v>
      </c>
      <c r="J3732">
        <v>48700577</v>
      </c>
      <c r="K3732">
        <v>45777259</v>
      </c>
      <c r="P3732">
        <v>87</v>
      </c>
      <c r="Q3732" t="s">
        <v>7811</v>
      </c>
    </row>
    <row r="3733" spans="1:17" x14ac:dyDescent="0.3">
      <c r="A3733" t="s">
        <v>4729</v>
      </c>
      <c r="B3733" t="str">
        <f>"003032"</f>
        <v>003032</v>
      </c>
      <c r="C3733" t="s">
        <v>7812</v>
      </c>
      <c r="D3733" t="s">
        <v>1336</v>
      </c>
      <c r="F3733">
        <v>75246919</v>
      </c>
      <c r="G3733">
        <v>74194052</v>
      </c>
      <c r="H3733">
        <v>64330019</v>
      </c>
      <c r="I3733">
        <v>41692166</v>
      </c>
      <c r="J3733">
        <v>44435619</v>
      </c>
      <c r="P3733">
        <v>59</v>
      </c>
      <c r="Q3733" t="s">
        <v>7813</v>
      </c>
    </row>
    <row r="3734" spans="1:17" x14ac:dyDescent="0.3">
      <c r="A3734" t="s">
        <v>4729</v>
      </c>
      <c r="B3734" t="str">
        <f>"003033"</f>
        <v>003033</v>
      </c>
      <c r="C3734" t="s">
        <v>7814</v>
      </c>
      <c r="D3734" t="s">
        <v>1656</v>
      </c>
      <c r="F3734">
        <v>54605556</v>
      </c>
      <c r="G3734">
        <v>43538153</v>
      </c>
      <c r="H3734">
        <v>33544173</v>
      </c>
      <c r="I3734">
        <v>27168353</v>
      </c>
      <c r="J3734">
        <v>28308424</v>
      </c>
      <c r="P3734">
        <v>67</v>
      </c>
      <c r="Q3734" t="s">
        <v>7815</v>
      </c>
    </row>
    <row r="3735" spans="1:17" x14ac:dyDescent="0.3">
      <c r="A3735" t="s">
        <v>4729</v>
      </c>
      <c r="B3735" t="str">
        <f>"003035"</f>
        <v>003035</v>
      </c>
      <c r="C3735" t="s">
        <v>7816</v>
      </c>
      <c r="D3735" t="s">
        <v>239</v>
      </c>
      <c r="F3735">
        <v>6876276</v>
      </c>
      <c r="G3735">
        <v>12024980</v>
      </c>
      <c r="H3735">
        <v>12524607</v>
      </c>
      <c r="I3735">
        <v>17884793</v>
      </c>
      <c r="J3735">
        <v>22767735</v>
      </c>
      <c r="P3735">
        <v>278</v>
      </c>
      <c r="Q3735" t="s">
        <v>7817</v>
      </c>
    </row>
    <row r="3736" spans="1:17" x14ac:dyDescent="0.3">
      <c r="A3736" t="s">
        <v>4729</v>
      </c>
      <c r="B3736" t="str">
        <f>"003036"</f>
        <v>003036</v>
      </c>
      <c r="C3736" t="s">
        <v>7818</v>
      </c>
      <c r="D3736" t="s">
        <v>534</v>
      </c>
      <c r="F3736">
        <v>33288052</v>
      </c>
      <c r="G3736">
        <v>21650668</v>
      </c>
      <c r="H3736">
        <v>21522398</v>
      </c>
      <c r="I3736">
        <v>31526611</v>
      </c>
      <c r="J3736">
        <v>22668714</v>
      </c>
      <c r="P3736">
        <v>37</v>
      </c>
      <c r="Q3736" t="s">
        <v>7819</v>
      </c>
    </row>
    <row r="3737" spans="1:17" x14ac:dyDescent="0.3">
      <c r="A3737" t="s">
        <v>4729</v>
      </c>
      <c r="B3737" t="str">
        <f>"003037"</f>
        <v>003037</v>
      </c>
      <c r="C3737" t="s">
        <v>7820</v>
      </c>
      <c r="D3737" t="s">
        <v>3347</v>
      </c>
      <c r="F3737">
        <v>62390171</v>
      </c>
      <c r="G3737">
        <v>57449384</v>
      </c>
      <c r="H3737">
        <v>55279169</v>
      </c>
      <c r="I3737">
        <v>48096089</v>
      </c>
      <c r="J3737">
        <v>38110508</v>
      </c>
      <c r="K3737">
        <v>27780093</v>
      </c>
      <c r="P3737">
        <v>40</v>
      </c>
      <c r="Q3737" t="s">
        <v>7821</v>
      </c>
    </row>
    <row r="3738" spans="1:17" x14ac:dyDescent="0.3">
      <c r="A3738" t="s">
        <v>4729</v>
      </c>
      <c r="B3738" t="str">
        <f>"003038"</f>
        <v>003038</v>
      </c>
      <c r="C3738" t="s">
        <v>7822</v>
      </c>
      <c r="D3738" t="s">
        <v>504</v>
      </c>
      <c r="F3738">
        <v>112507632</v>
      </c>
      <c r="G3738">
        <v>46087976</v>
      </c>
      <c r="H3738">
        <v>34300481</v>
      </c>
      <c r="I3738">
        <v>26284514</v>
      </c>
      <c r="J3738">
        <v>21243038</v>
      </c>
      <c r="P3738">
        <v>74</v>
      </c>
      <c r="Q3738" t="s">
        <v>7823</v>
      </c>
    </row>
    <row r="3739" spans="1:17" x14ac:dyDescent="0.3">
      <c r="A3739" t="s">
        <v>4729</v>
      </c>
      <c r="B3739" t="str">
        <f>"003039"</f>
        <v>003039</v>
      </c>
      <c r="C3739" t="s">
        <v>7824</v>
      </c>
      <c r="D3739" t="s">
        <v>33</v>
      </c>
      <c r="F3739">
        <v>11405169</v>
      </c>
      <c r="G3739">
        <v>0</v>
      </c>
      <c r="H3739">
        <v>0</v>
      </c>
      <c r="I3739">
        <v>502907</v>
      </c>
      <c r="J3739">
        <v>0</v>
      </c>
      <c r="P3739">
        <v>64</v>
      </c>
      <c r="Q3739" t="s">
        <v>7825</v>
      </c>
    </row>
    <row r="3740" spans="1:17" x14ac:dyDescent="0.3">
      <c r="A3740" t="s">
        <v>4729</v>
      </c>
      <c r="B3740" t="str">
        <f>"003040"</f>
        <v>003040</v>
      </c>
      <c r="C3740" t="s">
        <v>7826</v>
      </c>
      <c r="D3740" t="s">
        <v>786</v>
      </c>
      <c r="F3740">
        <v>85883021</v>
      </c>
      <c r="G3740">
        <v>78415583</v>
      </c>
      <c r="H3740">
        <v>73210993</v>
      </c>
      <c r="I3740">
        <v>67420961</v>
      </c>
      <c r="J3740">
        <v>65984979</v>
      </c>
      <c r="P3740">
        <v>61</v>
      </c>
      <c r="Q3740" t="s">
        <v>7827</v>
      </c>
    </row>
    <row r="3741" spans="1:17" x14ac:dyDescent="0.3">
      <c r="A3741" t="s">
        <v>4729</v>
      </c>
      <c r="B3741" t="str">
        <f>"003041"</f>
        <v>003041</v>
      </c>
      <c r="C3741" t="s">
        <v>7828</v>
      </c>
      <c r="D3741" t="s">
        <v>2889</v>
      </c>
      <c r="F3741">
        <v>45006015</v>
      </c>
      <c r="G3741">
        <v>35225507</v>
      </c>
      <c r="H3741">
        <v>37667465</v>
      </c>
      <c r="I3741">
        <v>36588133</v>
      </c>
      <c r="J3741">
        <v>35201492</v>
      </c>
      <c r="P3741">
        <v>30</v>
      </c>
      <c r="Q3741" t="s">
        <v>7829</v>
      </c>
    </row>
    <row r="3742" spans="1:17" x14ac:dyDescent="0.3">
      <c r="A3742" t="s">
        <v>4729</v>
      </c>
      <c r="B3742" t="str">
        <f>"003042"</f>
        <v>003042</v>
      </c>
      <c r="C3742" t="s">
        <v>7830</v>
      </c>
      <c r="D3742" t="s">
        <v>853</v>
      </c>
      <c r="F3742">
        <v>73632826</v>
      </c>
      <c r="G3742">
        <v>64808093</v>
      </c>
      <c r="H3742">
        <v>61347027</v>
      </c>
      <c r="I3742">
        <v>70571825</v>
      </c>
      <c r="J3742">
        <v>51587529</v>
      </c>
      <c r="P3742">
        <v>29</v>
      </c>
      <c r="Q3742" t="s">
        <v>7831</v>
      </c>
    </row>
    <row r="3743" spans="1:17" x14ac:dyDescent="0.3">
      <c r="A3743" t="s">
        <v>4729</v>
      </c>
      <c r="B3743" t="str">
        <f>"003043"</f>
        <v>003043</v>
      </c>
      <c r="C3743" t="s">
        <v>7832</v>
      </c>
      <c r="D3743" t="s">
        <v>3187</v>
      </c>
      <c r="F3743">
        <v>16735194</v>
      </c>
      <c r="G3743">
        <v>14148371</v>
      </c>
      <c r="H3743">
        <v>13577140</v>
      </c>
      <c r="I3743">
        <v>13044885</v>
      </c>
      <c r="J3743">
        <v>12649655</v>
      </c>
      <c r="K3743">
        <v>10750724</v>
      </c>
      <c r="L3743">
        <v>9531231</v>
      </c>
      <c r="P3743">
        <v>46</v>
      </c>
      <c r="Q3743" t="s">
        <v>7833</v>
      </c>
    </row>
    <row r="3744" spans="1:17" x14ac:dyDescent="0.3">
      <c r="A3744" t="s">
        <v>4729</v>
      </c>
      <c r="B3744" t="str">
        <f>"003816"</f>
        <v>003816</v>
      </c>
      <c r="C3744" t="s">
        <v>7834</v>
      </c>
      <c r="D3744" t="s">
        <v>2381</v>
      </c>
      <c r="F3744">
        <v>1753035239</v>
      </c>
      <c r="G3744">
        <v>1535988544</v>
      </c>
      <c r="H3744">
        <v>1483443965</v>
      </c>
      <c r="I3744">
        <v>1019825910</v>
      </c>
      <c r="J3744">
        <v>773886061</v>
      </c>
      <c r="K3744">
        <v>751801972</v>
      </c>
      <c r="P3744">
        <v>523</v>
      </c>
      <c r="Q3744" t="s">
        <v>7835</v>
      </c>
    </row>
    <row r="3745" spans="1:17" x14ac:dyDescent="0.3">
      <c r="A3745" t="s">
        <v>4729</v>
      </c>
      <c r="B3745" t="str">
        <f>"200002"</f>
        <v>200002</v>
      </c>
      <c r="C3745" t="s">
        <v>7836</v>
      </c>
      <c r="P3745">
        <v>22</v>
      </c>
      <c r="Q3745" t="s">
        <v>7837</v>
      </c>
    </row>
    <row r="3746" spans="1:17" x14ac:dyDescent="0.3">
      <c r="A3746" t="s">
        <v>4729</v>
      </c>
      <c r="B3746" t="str">
        <f>"200003"</f>
        <v>200003</v>
      </c>
      <c r="C3746" t="s">
        <v>7838</v>
      </c>
      <c r="P3746">
        <v>1</v>
      </c>
      <c r="Q3746" t="s">
        <v>7839</v>
      </c>
    </row>
    <row r="3747" spans="1:17" x14ac:dyDescent="0.3">
      <c r="A3747" t="s">
        <v>4729</v>
      </c>
      <c r="B3747" t="str">
        <f>"200011"</f>
        <v>200011</v>
      </c>
      <c r="C3747" t="s">
        <v>7840</v>
      </c>
      <c r="F3747">
        <v>2655674.5943999998</v>
      </c>
      <c r="G3747">
        <v>0</v>
      </c>
      <c r="P3747">
        <v>176</v>
      </c>
      <c r="Q3747" t="s">
        <v>7841</v>
      </c>
    </row>
    <row r="3748" spans="1:17" x14ac:dyDescent="0.3">
      <c r="A3748" t="s">
        <v>4729</v>
      </c>
      <c r="B3748" t="str">
        <f>"200012"</f>
        <v>200012</v>
      </c>
      <c r="C3748" t="s">
        <v>7842</v>
      </c>
      <c r="F3748">
        <v>625754263.33440006</v>
      </c>
      <c r="G3748">
        <v>480183686.87779999</v>
      </c>
      <c r="H3748">
        <v>410345530.03549999</v>
      </c>
      <c r="I3748">
        <v>385714567.90350002</v>
      </c>
      <c r="P3748">
        <v>85</v>
      </c>
      <c r="Q3748" t="s">
        <v>7843</v>
      </c>
    </row>
    <row r="3749" spans="1:17" x14ac:dyDescent="0.3">
      <c r="A3749" t="s">
        <v>4729</v>
      </c>
      <c r="B3749" t="str">
        <f>"200015"</f>
        <v>200015</v>
      </c>
      <c r="C3749" t="s">
        <v>7844</v>
      </c>
      <c r="P3749">
        <v>0</v>
      </c>
      <c r="Q3749" t="s">
        <v>7845</v>
      </c>
    </row>
    <row r="3750" spans="1:17" x14ac:dyDescent="0.3">
      <c r="A3750" t="s">
        <v>4729</v>
      </c>
      <c r="B3750" t="str">
        <f>"200016"</f>
        <v>200016</v>
      </c>
      <c r="C3750" t="s">
        <v>7846</v>
      </c>
      <c r="F3750">
        <v>753655034.72640002</v>
      </c>
      <c r="G3750">
        <v>808776221.69319999</v>
      </c>
      <c r="H3750">
        <v>559921214.08700001</v>
      </c>
      <c r="I3750">
        <v>451369875.08249998</v>
      </c>
      <c r="P3750">
        <v>36</v>
      </c>
      <c r="Q3750" t="s">
        <v>7847</v>
      </c>
    </row>
    <row r="3751" spans="1:17" x14ac:dyDescent="0.3">
      <c r="A3751" t="s">
        <v>4729</v>
      </c>
      <c r="B3751" t="str">
        <f>"200017"</f>
        <v>200017</v>
      </c>
      <c r="C3751" t="s">
        <v>7848</v>
      </c>
      <c r="F3751">
        <v>2491085.7143999999</v>
      </c>
      <c r="G3751">
        <v>2973407.9958000001</v>
      </c>
      <c r="H3751">
        <v>3079541.443</v>
      </c>
      <c r="P3751">
        <v>3</v>
      </c>
      <c r="Q3751" t="s">
        <v>7849</v>
      </c>
    </row>
    <row r="3752" spans="1:17" x14ac:dyDescent="0.3">
      <c r="A3752" t="s">
        <v>4729</v>
      </c>
      <c r="B3752" t="str">
        <f>"200018"</f>
        <v>200018</v>
      </c>
      <c r="C3752" t="s">
        <v>7850</v>
      </c>
      <c r="H3752">
        <v>0</v>
      </c>
      <c r="I3752">
        <v>0</v>
      </c>
      <c r="P3752">
        <v>13</v>
      </c>
      <c r="Q3752" t="s">
        <v>7851</v>
      </c>
    </row>
    <row r="3753" spans="1:17" x14ac:dyDescent="0.3">
      <c r="A3753" t="s">
        <v>4729</v>
      </c>
      <c r="B3753" t="str">
        <f>"200019"</f>
        <v>200019</v>
      </c>
      <c r="C3753" t="s">
        <v>7852</v>
      </c>
      <c r="F3753">
        <v>25299113.2632</v>
      </c>
      <c r="G3753">
        <v>19710543.378400002</v>
      </c>
      <c r="H3753">
        <v>15211070.9495</v>
      </c>
      <c r="I3753">
        <v>12500120.9025</v>
      </c>
      <c r="P3753">
        <v>23</v>
      </c>
      <c r="Q3753" t="s">
        <v>7853</v>
      </c>
    </row>
    <row r="3754" spans="1:17" x14ac:dyDescent="0.3">
      <c r="A3754" t="s">
        <v>4729</v>
      </c>
      <c r="B3754" t="str">
        <f>"200020"</f>
        <v>200020</v>
      </c>
      <c r="C3754" t="s">
        <v>7854</v>
      </c>
      <c r="F3754">
        <v>13199970.704399999</v>
      </c>
      <c r="G3754">
        <v>8641727.7073999997</v>
      </c>
      <c r="H3754">
        <v>7437088.8154999996</v>
      </c>
      <c r="P3754">
        <v>6</v>
      </c>
      <c r="Q3754" t="s">
        <v>7855</v>
      </c>
    </row>
    <row r="3755" spans="1:17" x14ac:dyDescent="0.3">
      <c r="A3755" t="s">
        <v>4729</v>
      </c>
      <c r="B3755" t="str">
        <f>"200022"</f>
        <v>200022</v>
      </c>
      <c r="C3755" t="s">
        <v>7856</v>
      </c>
      <c r="P3755">
        <v>41</v>
      </c>
      <c r="Q3755" t="s">
        <v>7857</v>
      </c>
    </row>
    <row r="3756" spans="1:17" x14ac:dyDescent="0.3">
      <c r="A3756" t="s">
        <v>4729</v>
      </c>
      <c r="B3756" t="str">
        <f>"200024"</f>
        <v>200024</v>
      </c>
      <c r="C3756" t="s">
        <v>7858</v>
      </c>
      <c r="P3756">
        <v>0</v>
      </c>
      <c r="Q3756" t="s">
        <v>7859</v>
      </c>
    </row>
    <row r="3757" spans="1:17" x14ac:dyDescent="0.3">
      <c r="A3757" t="s">
        <v>4729</v>
      </c>
      <c r="B3757" t="str">
        <f>"200025"</f>
        <v>200025</v>
      </c>
      <c r="C3757" t="s">
        <v>7860</v>
      </c>
      <c r="F3757">
        <v>0</v>
      </c>
      <c r="G3757">
        <v>0</v>
      </c>
      <c r="P3757">
        <v>7</v>
      </c>
      <c r="Q3757" t="s">
        <v>7861</v>
      </c>
    </row>
    <row r="3758" spans="1:17" x14ac:dyDescent="0.3">
      <c r="A3758" t="s">
        <v>4729</v>
      </c>
      <c r="B3758" t="str">
        <f>"200026"</f>
        <v>200026</v>
      </c>
      <c r="C3758" t="s">
        <v>7862</v>
      </c>
      <c r="F3758">
        <v>70680981.373199999</v>
      </c>
      <c r="G3758">
        <v>61071486.010300003</v>
      </c>
      <c r="H3758">
        <v>50397082.189999998</v>
      </c>
      <c r="I3758">
        <v>53908365.505500004</v>
      </c>
      <c r="P3758">
        <v>52</v>
      </c>
      <c r="Q3758" t="s">
        <v>7863</v>
      </c>
    </row>
    <row r="3759" spans="1:17" x14ac:dyDescent="0.3">
      <c r="A3759" t="s">
        <v>4729</v>
      </c>
      <c r="B3759" t="str">
        <f>"200028"</f>
        <v>200028</v>
      </c>
      <c r="C3759" t="s">
        <v>7864</v>
      </c>
      <c r="F3759">
        <v>0</v>
      </c>
      <c r="G3759">
        <v>0</v>
      </c>
      <c r="P3759">
        <v>209</v>
      </c>
      <c r="Q3759" t="s">
        <v>7865</v>
      </c>
    </row>
    <row r="3760" spans="1:17" x14ac:dyDescent="0.3">
      <c r="A3760" t="s">
        <v>4729</v>
      </c>
      <c r="B3760" t="str">
        <f>"200029"</f>
        <v>200029</v>
      </c>
      <c r="C3760" t="s">
        <v>7866</v>
      </c>
      <c r="F3760">
        <v>0</v>
      </c>
      <c r="G3760">
        <v>0</v>
      </c>
      <c r="P3760">
        <v>18</v>
      </c>
      <c r="Q3760" t="s">
        <v>7867</v>
      </c>
    </row>
    <row r="3761" spans="1:17" x14ac:dyDescent="0.3">
      <c r="A3761" t="s">
        <v>4729</v>
      </c>
      <c r="B3761" t="str">
        <f>"200030"</f>
        <v>200030</v>
      </c>
      <c r="C3761" t="s">
        <v>7868</v>
      </c>
      <c r="G3761">
        <v>287368921.2137</v>
      </c>
      <c r="H3761">
        <v>239184667.23449999</v>
      </c>
      <c r="I3761">
        <v>243598805.25749999</v>
      </c>
      <c r="P3761">
        <v>132</v>
      </c>
      <c r="Q3761" t="s">
        <v>7869</v>
      </c>
    </row>
    <row r="3762" spans="1:17" x14ac:dyDescent="0.3">
      <c r="A3762" t="s">
        <v>4729</v>
      </c>
      <c r="B3762" t="str">
        <f>"200037"</f>
        <v>200037</v>
      </c>
      <c r="C3762" t="s">
        <v>7870</v>
      </c>
      <c r="F3762">
        <v>25597744.2564</v>
      </c>
      <c r="G3762">
        <v>10071036.326300001</v>
      </c>
      <c r="P3762">
        <v>9</v>
      </c>
      <c r="Q3762" t="s">
        <v>7871</v>
      </c>
    </row>
    <row r="3763" spans="1:17" x14ac:dyDescent="0.3">
      <c r="A3763" t="s">
        <v>4729</v>
      </c>
      <c r="B3763" t="str">
        <f>"200039"</f>
        <v>200039</v>
      </c>
      <c r="C3763" t="s">
        <v>7872</v>
      </c>
      <c r="P3763">
        <v>0</v>
      </c>
      <c r="Q3763" t="s">
        <v>7873</v>
      </c>
    </row>
    <row r="3764" spans="1:17" x14ac:dyDescent="0.3">
      <c r="A3764" t="s">
        <v>4729</v>
      </c>
      <c r="B3764" t="str">
        <f>"200045"</f>
        <v>200045</v>
      </c>
      <c r="C3764" t="s">
        <v>7874</v>
      </c>
      <c r="F3764">
        <v>126570517.84199999</v>
      </c>
      <c r="G3764">
        <v>79659619.400399998</v>
      </c>
      <c r="H3764">
        <v>59480391.608999997</v>
      </c>
      <c r="I3764">
        <v>47762108.361000001</v>
      </c>
      <c r="P3764">
        <v>6</v>
      </c>
      <c r="Q3764" t="s">
        <v>7875</v>
      </c>
    </row>
    <row r="3765" spans="1:17" x14ac:dyDescent="0.3">
      <c r="A3765" t="s">
        <v>4729</v>
      </c>
      <c r="B3765" t="str">
        <f>"200053"</f>
        <v>200053</v>
      </c>
      <c r="C3765" t="s">
        <v>7876</v>
      </c>
      <c r="P3765">
        <v>15</v>
      </c>
      <c r="Q3765" t="s">
        <v>7877</v>
      </c>
    </row>
    <row r="3766" spans="1:17" x14ac:dyDescent="0.3">
      <c r="A3766" t="s">
        <v>4729</v>
      </c>
      <c r="B3766" t="str">
        <f>"200054"</f>
        <v>200054</v>
      </c>
      <c r="C3766" t="s">
        <v>7878</v>
      </c>
      <c r="F3766">
        <v>36391473.224399999</v>
      </c>
      <c r="G3766">
        <v>18128312.0726</v>
      </c>
      <c r="H3766">
        <v>15917501.009</v>
      </c>
      <c r="I3766">
        <v>15629998.5765</v>
      </c>
      <c r="P3766">
        <v>7</v>
      </c>
      <c r="Q3766" t="s">
        <v>7879</v>
      </c>
    </row>
    <row r="3767" spans="1:17" x14ac:dyDescent="0.3">
      <c r="A3767" t="s">
        <v>4729</v>
      </c>
      <c r="B3767" t="str">
        <f>"200055"</f>
        <v>200055</v>
      </c>
      <c r="C3767" t="s">
        <v>7880</v>
      </c>
      <c r="F3767">
        <v>187056096.06959999</v>
      </c>
      <c r="G3767">
        <v>167965920.8479</v>
      </c>
      <c r="H3767">
        <v>66835935.063500002</v>
      </c>
      <c r="I3767">
        <v>22604057.932500001</v>
      </c>
      <c r="P3767">
        <v>71</v>
      </c>
      <c r="Q3767" t="s">
        <v>7881</v>
      </c>
    </row>
    <row r="3768" spans="1:17" x14ac:dyDescent="0.3">
      <c r="A3768" t="s">
        <v>4729</v>
      </c>
      <c r="B3768" t="str">
        <f>"200056"</f>
        <v>200056</v>
      </c>
      <c r="C3768" t="s">
        <v>7882</v>
      </c>
      <c r="P3768">
        <v>13</v>
      </c>
      <c r="Q3768" t="s">
        <v>7883</v>
      </c>
    </row>
    <row r="3769" spans="1:17" x14ac:dyDescent="0.3">
      <c r="A3769" t="s">
        <v>4729</v>
      </c>
      <c r="B3769" t="str">
        <f>"200058"</f>
        <v>200058</v>
      </c>
      <c r="C3769" t="s">
        <v>7884</v>
      </c>
      <c r="F3769">
        <v>6170401.6500000004</v>
      </c>
      <c r="G3769">
        <v>5035720.3931999998</v>
      </c>
      <c r="H3769">
        <v>3201706.25</v>
      </c>
      <c r="P3769">
        <v>7</v>
      </c>
      <c r="Q3769" t="s">
        <v>7885</v>
      </c>
    </row>
    <row r="3770" spans="1:17" x14ac:dyDescent="0.3">
      <c r="A3770" t="s">
        <v>4729</v>
      </c>
      <c r="B3770" t="str">
        <f>"200152"</f>
        <v>200152</v>
      </c>
      <c r="C3770" t="s">
        <v>7886</v>
      </c>
      <c r="F3770">
        <v>30621374.7192</v>
      </c>
      <c r="G3770">
        <v>27121706.568999998</v>
      </c>
      <c r="H3770">
        <v>25101992.175000001</v>
      </c>
      <c r="I3770">
        <v>23506606.0845</v>
      </c>
      <c r="P3770">
        <v>112</v>
      </c>
      <c r="Q3770" t="s">
        <v>7887</v>
      </c>
    </row>
    <row r="3771" spans="1:17" x14ac:dyDescent="0.3">
      <c r="A3771" t="s">
        <v>4729</v>
      </c>
      <c r="B3771" t="str">
        <f>"200160"</f>
        <v>200160</v>
      </c>
      <c r="C3771" t="s">
        <v>7888</v>
      </c>
      <c r="H3771">
        <v>36374032.726499997</v>
      </c>
      <c r="I3771">
        <v>5406569.1404999997</v>
      </c>
      <c r="P3771">
        <v>3</v>
      </c>
      <c r="Q3771" t="s">
        <v>7889</v>
      </c>
    </row>
    <row r="3772" spans="1:17" x14ac:dyDescent="0.3">
      <c r="A3772" t="s">
        <v>4729</v>
      </c>
      <c r="B3772" t="str">
        <f>"200168"</f>
        <v>200168</v>
      </c>
      <c r="C3772" t="s">
        <v>7890</v>
      </c>
      <c r="G3772">
        <v>0</v>
      </c>
      <c r="H3772">
        <v>0</v>
      </c>
      <c r="I3772">
        <v>0</v>
      </c>
      <c r="P3772">
        <v>3</v>
      </c>
      <c r="Q3772" t="s">
        <v>7891</v>
      </c>
    </row>
    <row r="3773" spans="1:17" x14ac:dyDescent="0.3">
      <c r="A3773" t="s">
        <v>4729</v>
      </c>
      <c r="B3773" t="str">
        <f>"200413"</f>
        <v>200413</v>
      </c>
      <c r="C3773" t="s">
        <v>7892</v>
      </c>
      <c r="G3773">
        <v>292655217.09289998</v>
      </c>
      <c r="H3773">
        <v>541084850.87100005</v>
      </c>
      <c r="I3773">
        <v>651324048.30900002</v>
      </c>
      <c r="P3773">
        <v>44</v>
      </c>
      <c r="Q3773" t="s">
        <v>7893</v>
      </c>
    </row>
    <row r="3774" spans="1:17" x14ac:dyDescent="0.3">
      <c r="A3774" t="s">
        <v>4729</v>
      </c>
      <c r="B3774" t="str">
        <f>"200418"</f>
        <v>200418</v>
      </c>
      <c r="C3774" t="s">
        <v>7894</v>
      </c>
      <c r="I3774">
        <v>834571978.41600001</v>
      </c>
      <c r="P3774">
        <v>89</v>
      </c>
      <c r="Q3774" t="s">
        <v>7895</v>
      </c>
    </row>
    <row r="3775" spans="1:17" x14ac:dyDescent="0.3">
      <c r="A3775" t="s">
        <v>4729</v>
      </c>
      <c r="B3775" t="str">
        <f>"200429"</f>
        <v>200429</v>
      </c>
      <c r="C3775" t="s">
        <v>7896</v>
      </c>
      <c r="F3775">
        <v>16227704.2092</v>
      </c>
      <c r="G3775">
        <v>479544.97440000001</v>
      </c>
      <c r="I3775">
        <v>1500934.6440000001</v>
      </c>
      <c r="P3775">
        <v>453</v>
      </c>
      <c r="Q3775" t="s">
        <v>7897</v>
      </c>
    </row>
    <row r="3776" spans="1:17" x14ac:dyDescent="0.3">
      <c r="A3776" t="s">
        <v>4729</v>
      </c>
      <c r="B3776" t="str">
        <f>"200468"</f>
        <v>200468</v>
      </c>
      <c r="C3776" t="s">
        <v>7898</v>
      </c>
      <c r="F3776">
        <v>67831815.797999993</v>
      </c>
      <c r="G3776">
        <v>54939564.880500004</v>
      </c>
      <c r="H3776">
        <v>79613646.627000004</v>
      </c>
      <c r="I3776">
        <v>86839238.920499995</v>
      </c>
      <c r="P3776">
        <v>4</v>
      </c>
      <c r="Q3776" t="s">
        <v>7899</v>
      </c>
    </row>
    <row r="3777" spans="1:17" x14ac:dyDescent="0.3">
      <c r="A3777" t="s">
        <v>4729</v>
      </c>
      <c r="B3777" t="str">
        <f>"200488"</f>
        <v>200488</v>
      </c>
      <c r="C3777" t="s">
        <v>7900</v>
      </c>
      <c r="F3777">
        <v>1777665518.4588001</v>
      </c>
      <c r="G3777">
        <v>1511512751.3501</v>
      </c>
      <c r="H3777">
        <v>1109902042.4045</v>
      </c>
      <c r="I3777">
        <v>1058661193.788</v>
      </c>
      <c r="P3777">
        <v>268</v>
      </c>
      <c r="Q3777" t="s">
        <v>7901</v>
      </c>
    </row>
    <row r="3778" spans="1:17" x14ac:dyDescent="0.3">
      <c r="A3778" t="s">
        <v>4729</v>
      </c>
      <c r="B3778" t="str">
        <f>"200505"</f>
        <v>200505</v>
      </c>
      <c r="C3778" t="s">
        <v>7902</v>
      </c>
      <c r="F3778">
        <v>14734676.4144</v>
      </c>
      <c r="G3778">
        <v>11746211.6142</v>
      </c>
      <c r="H3778">
        <v>8345899.1464999998</v>
      </c>
      <c r="I3778">
        <v>3122409.1140000001</v>
      </c>
      <c r="P3778">
        <v>16</v>
      </c>
      <c r="Q3778" t="s">
        <v>7903</v>
      </c>
    </row>
    <row r="3779" spans="1:17" x14ac:dyDescent="0.3">
      <c r="A3779" t="s">
        <v>4729</v>
      </c>
      <c r="B3779" t="str">
        <f>"200512"</f>
        <v>200512</v>
      </c>
      <c r="C3779" t="s">
        <v>7904</v>
      </c>
      <c r="F3779">
        <v>78304885.0308</v>
      </c>
      <c r="G3779">
        <v>73472705.930199996</v>
      </c>
      <c r="H3779">
        <v>80418744.045499995</v>
      </c>
      <c r="I3779">
        <v>78222686.107500002</v>
      </c>
      <c r="P3779">
        <v>34</v>
      </c>
      <c r="Q3779" t="s">
        <v>7905</v>
      </c>
    </row>
    <row r="3780" spans="1:17" x14ac:dyDescent="0.3">
      <c r="A3780" t="s">
        <v>4729</v>
      </c>
      <c r="B3780" t="str">
        <f>"200513"</f>
        <v>200513</v>
      </c>
      <c r="C3780" t="s">
        <v>7906</v>
      </c>
      <c r="P3780">
        <v>1</v>
      </c>
      <c r="Q3780" t="s">
        <v>7907</v>
      </c>
    </row>
    <row r="3781" spans="1:17" x14ac:dyDescent="0.3">
      <c r="A3781" t="s">
        <v>4729</v>
      </c>
      <c r="B3781" t="str">
        <f>"200521"</f>
        <v>200521</v>
      </c>
      <c r="C3781" t="s">
        <v>7908</v>
      </c>
      <c r="F3781">
        <v>569691632.18879998</v>
      </c>
      <c r="G3781">
        <v>451475826.57029998</v>
      </c>
      <c r="H3781">
        <v>373823604.76499999</v>
      </c>
      <c r="I3781">
        <v>267888364.623</v>
      </c>
      <c r="P3781">
        <v>23</v>
      </c>
      <c r="Q3781" t="s">
        <v>7909</v>
      </c>
    </row>
    <row r="3782" spans="1:17" x14ac:dyDescent="0.3">
      <c r="A3782" t="s">
        <v>4729</v>
      </c>
      <c r="B3782" t="str">
        <f>"200530"</f>
        <v>200530</v>
      </c>
      <c r="C3782" t="s">
        <v>7910</v>
      </c>
      <c r="F3782">
        <v>79811868.642000005</v>
      </c>
      <c r="G3782">
        <v>58306608.627700001</v>
      </c>
      <c r="H3782">
        <v>56651485.883000001</v>
      </c>
      <c r="I3782">
        <v>53400621.829499997</v>
      </c>
      <c r="P3782">
        <v>25</v>
      </c>
      <c r="Q3782" t="s">
        <v>7911</v>
      </c>
    </row>
    <row r="3783" spans="1:17" x14ac:dyDescent="0.3">
      <c r="A3783" t="s">
        <v>4729</v>
      </c>
      <c r="B3783" t="str">
        <f>"200539"</f>
        <v>200539</v>
      </c>
      <c r="C3783" t="s">
        <v>7912</v>
      </c>
      <c r="F3783">
        <v>714989476.32120001</v>
      </c>
      <c r="G3783">
        <v>325679001.1476</v>
      </c>
      <c r="H3783">
        <v>10853478.836999999</v>
      </c>
      <c r="I3783">
        <v>5742338.9759999998</v>
      </c>
      <c r="P3783">
        <v>185</v>
      </c>
      <c r="Q3783" t="s">
        <v>7913</v>
      </c>
    </row>
    <row r="3784" spans="1:17" x14ac:dyDescent="0.3">
      <c r="A3784" t="s">
        <v>4729</v>
      </c>
      <c r="B3784" t="str">
        <f>"200541"</f>
        <v>200541</v>
      </c>
      <c r="C3784" t="s">
        <v>7914</v>
      </c>
      <c r="F3784">
        <v>249061883.7132</v>
      </c>
      <c r="G3784">
        <v>129148850.77169999</v>
      </c>
      <c r="H3784">
        <v>88858407.047000006</v>
      </c>
      <c r="I3784">
        <v>60029217.022500001</v>
      </c>
      <c r="P3784">
        <v>119</v>
      </c>
      <c r="Q3784" t="s">
        <v>7915</v>
      </c>
    </row>
    <row r="3785" spans="1:17" x14ac:dyDescent="0.3">
      <c r="A3785" t="s">
        <v>4729</v>
      </c>
      <c r="B3785" t="str">
        <f>"200550"</f>
        <v>200550</v>
      </c>
      <c r="C3785" t="s">
        <v>7916</v>
      </c>
      <c r="F3785">
        <v>2089782528.2988</v>
      </c>
      <c r="G3785">
        <v>1593895522.3211999</v>
      </c>
      <c r="H3785">
        <v>1986814642.5510001</v>
      </c>
      <c r="I3785">
        <v>1893956666.184</v>
      </c>
      <c r="P3785">
        <v>154</v>
      </c>
      <c r="Q3785" t="s">
        <v>7917</v>
      </c>
    </row>
    <row r="3786" spans="1:17" x14ac:dyDescent="0.3">
      <c r="A3786" t="s">
        <v>4729</v>
      </c>
      <c r="B3786" t="str">
        <f>"200553"</f>
        <v>200553</v>
      </c>
      <c r="C3786" t="s">
        <v>7918</v>
      </c>
      <c r="F3786">
        <v>613083795.60000002</v>
      </c>
      <c r="G3786">
        <v>567878585.79999995</v>
      </c>
      <c r="H3786">
        <v>488029512.5</v>
      </c>
      <c r="I3786">
        <v>503099734.5</v>
      </c>
      <c r="P3786">
        <v>58</v>
      </c>
      <c r="Q3786" t="s">
        <v>7919</v>
      </c>
    </row>
    <row r="3787" spans="1:17" x14ac:dyDescent="0.3">
      <c r="A3787" t="s">
        <v>4729</v>
      </c>
      <c r="B3787" t="str">
        <f>"200570"</f>
        <v>200570</v>
      </c>
      <c r="C3787" t="s">
        <v>7920</v>
      </c>
      <c r="F3787">
        <v>100746839.27519999</v>
      </c>
      <c r="G3787">
        <v>85706140.144099995</v>
      </c>
      <c r="H3787">
        <v>74068609.055999994</v>
      </c>
      <c r="I3787">
        <v>82180164.478499994</v>
      </c>
      <c r="P3787">
        <v>10</v>
      </c>
      <c r="Q3787" t="s">
        <v>7921</v>
      </c>
    </row>
    <row r="3788" spans="1:17" x14ac:dyDescent="0.3">
      <c r="A3788" t="s">
        <v>4729</v>
      </c>
      <c r="B3788" t="str">
        <f>"200581"</f>
        <v>200581</v>
      </c>
      <c r="C3788" t="s">
        <v>7922</v>
      </c>
      <c r="F3788">
        <v>728063620.90559995</v>
      </c>
      <c r="G3788">
        <v>631694573.18099999</v>
      </c>
      <c r="H3788">
        <v>467449009.59799999</v>
      </c>
      <c r="I3788">
        <v>459116032.12199998</v>
      </c>
      <c r="P3788">
        <v>448</v>
      </c>
      <c r="Q3788" t="s">
        <v>7923</v>
      </c>
    </row>
    <row r="3789" spans="1:17" x14ac:dyDescent="0.3">
      <c r="A3789" t="s">
        <v>4729</v>
      </c>
      <c r="B3789" t="str">
        <f>"200596"</f>
        <v>200596</v>
      </c>
      <c r="C3789" t="s">
        <v>7924</v>
      </c>
      <c r="F3789">
        <v>62912418.030000001</v>
      </c>
      <c r="G3789">
        <v>48143960.309600003</v>
      </c>
      <c r="H3789">
        <v>47394219.5145</v>
      </c>
      <c r="I3789">
        <v>27286163.090999998</v>
      </c>
      <c r="P3789">
        <v>745</v>
      </c>
      <c r="Q3789" t="s">
        <v>7925</v>
      </c>
    </row>
    <row r="3790" spans="1:17" x14ac:dyDescent="0.3">
      <c r="A3790" t="s">
        <v>4729</v>
      </c>
      <c r="B3790" t="str">
        <f>"200613"</f>
        <v>200613</v>
      </c>
      <c r="C3790" t="s">
        <v>7926</v>
      </c>
      <c r="F3790">
        <v>0</v>
      </c>
      <c r="G3790">
        <v>0</v>
      </c>
      <c r="P3790">
        <v>4</v>
      </c>
      <c r="Q3790" t="s">
        <v>7927</v>
      </c>
    </row>
    <row r="3791" spans="1:17" x14ac:dyDescent="0.3">
      <c r="A3791" t="s">
        <v>4729</v>
      </c>
      <c r="B3791" t="str">
        <f>"200625"</f>
        <v>200625</v>
      </c>
      <c r="C3791" t="s">
        <v>7928</v>
      </c>
      <c r="F3791">
        <v>4298177680.0811996</v>
      </c>
      <c r="G3791">
        <v>3740826565.1027002</v>
      </c>
      <c r="H3791">
        <v>3544597816.6785002</v>
      </c>
      <c r="I3791">
        <v>2895507633.9914999</v>
      </c>
      <c r="P3791">
        <v>710</v>
      </c>
      <c r="Q3791" t="s">
        <v>7929</v>
      </c>
    </row>
    <row r="3792" spans="1:17" x14ac:dyDescent="0.3">
      <c r="A3792" t="s">
        <v>4729</v>
      </c>
      <c r="B3792" t="str">
        <f>"200706"</f>
        <v>200706</v>
      </c>
      <c r="C3792" t="s">
        <v>7930</v>
      </c>
      <c r="F3792">
        <v>263885023.5936</v>
      </c>
      <c r="G3792">
        <v>269894903.41460001</v>
      </c>
      <c r="H3792">
        <v>147913187.03600001</v>
      </c>
      <c r="I3792">
        <v>6742292.6339999996</v>
      </c>
      <c r="P3792">
        <v>7</v>
      </c>
      <c r="Q3792" t="s">
        <v>7931</v>
      </c>
    </row>
    <row r="3793" spans="1:17" x14ac:dyDescent="0.3">
      <c r="A3793" t="s">
        <v>4729</v>
      </c>
      <c r="B3793" t="str">
        <f>"200725"</f>
        <v>200725</v>
      </c>
      <c r="C3793" t="s">
        <v>7932</v>
      </c>
      <c r="F3793">
        <v>13045862671.8636</v>
      </c>
      <c r="G3793">
        <v>9041163398.8425007</v>
      </c>
      <c r="H3793">
        <v>7493920068.9399996</v>
      </c>
      <c r="I3793">
        <v>5737957384.7475004</v>
      </c>
      <c r="P3793">
        <v>85</v>
      </c>
      <c r="Q3793" t="s">
        <v>7933</v>
      </c>
    </row>
    <row r="3794" spans="1:17" x14ac:dyDescent="0.3">
      <c r="A3794" t="s">
        <v>4729</v>
      </c>
      <c r="B3794" t="str">
        <f>"200726"</f>
        <v>200726</v>
      </c>
      <c r="C3794" t="s">
        <v>7934</v>
      </c>
      <c r="F3794">
        <v>309261908.79360002</v>
      </c>
      <c r="G3794">
        <v>274303453.26910001</v>
      </c>
      <c r="H3794">
        <v>354089668.78750002</v>
      </c>
      <c r="I3794">
        <v>329476313.38050002</v>
      </c>
      <c r="P3794">
        <v>329</v>
      </c>
      <c r="Q3794" t="s">
        <v>7935</v>
      </c>
    </row>
    <row r="3795" spans="1:17" x14ac:dyDescent="0.3">
      <c r="A3795" t="s">
        <v>4729</v>
      </c>
      <c r="B3795" t="str">
        <f>"200761"</f>
        <v>200761</v>
      </c>
      <c r="C3795" t="s">
        <v>7936</v>
      </c>
      <c r="F3795">
        <v>68967869.143199995</v>
      </c>
      <c r="G3795">
        <v>45059491.840300001</v>
      </c>
      <c r="H3795">
        <v>34427948.983999997</v>
      </c>
      <c r="I3795">
        <v>7286267.9340000004</v>
      </c>
      <c r="P3795">
        <v>41</v>
      </c>
      <c r="Q3795" t="s">
        <v>7937</v>
      </c>
    </row>
    <row r="3796" spans="1:17" x14ac:dyDescent="0.3">
      <c r="A3796" t="s">
        <v>4729</v>
      </c>
      <c r="B3796" t="str">
        <f>"200770"</f>
        <v>200770</v>
      </c>
      <c r="C3796" t="s">
        <v>7938</v>
      </c>
      <c r="P3796">
        <v>0</v>
      </c>
      <c r="Q3796" t="s">
        <v>7939</v>
      </c>
    </row>
    <row r="3797" spans="1:17" x14ac:dyDescent="0.3">
      <c r="A3797" t="s">
        <v>4729</v>
      </c>
      <c r="B3797" t="str">
        <f>"200771"</f>
        <v>200771</v>
      </c>
      <c r="C3797" t="s">
        <v>7940</v>
      </c>
      <c r="F3797">
        <v>428244901.278</v>
      </c>
      <c r="G3797">
        <v>246528569.73280001</v>
      </c>
      <c r="H3797">
        <v>192574003.947</v>
      </c>
      <c r="I3797">
        <v>301297067.62650001</v>
      </c>
      <c r="P3797">
        <v>65</v>
      </c>
      <c r="Q3797" t="s">
        <v>7941</v>
      </c>
    </row>
    <row r="3798" spans="1:17" x14ac:dyDescent="0.3">
      <c r="A3798" t="s">
        <v>4729</v>
      </c>
      <c r="B3798" t="str">
        <f>"200869"</f>
        <v>200869</v>
      </c>
      <c r="C3798" t="s">
        <v>7942</v>
      </c>
      <c r="F3798">
        <v>13352073.5736</v>
      </c>
      <c r="G3798">
        <v>5374714.8898</v>
      </c>
      <c r="H3798">
        <v>6756988.2460000003</v>
      </c>
      <c r="I3798">
        <v>5446718.3430000003</v>
      </c>
      <c r="P3798">
        <v>348</v>
      </c>
      <c r="Q3798" t="s">
        <v>7943</v>
      </c>
    </row>
    <row r="3799" spans="1:17" x14ac:dyDescent="0.3">
      <c r="A3799" t="s">
        <v>4729</v>
      </c>
      <c r="B3799" t="str">
        <f>"200986"</f>
        <v>200986</v>
      </c>
      <c r="C3799" t="s">
        <v>7944</v>
      </c>
      <c r="G3799">
        <v>106629290.4853</v>
      </c>
      <c r="H3799">
        <v>64427244.195</v>
      </c>
      <c r="I3799">
        <v>37324794.622500002</v>
      </c>
      <c r="P3799">
        <v>8</v>
      </c>
      <c r="Q3799" t="s">
        <v>7945</v>
      </c>
    </row>
    <row r="3800" spans="1:17" x14ac:dyDescent="0.3">
      <c r="A3800" t="s">
        <v>4729</v>
      </c>
      <c r="B3800" t="str">
        <f>"200992"</f>
        <v>200992</v>
      </c>
      <c r="C3800" t="s">
        <v>7946</v>
      </c>
      <c r="F3800">
        <v>936000.81960000005</v>
      </c>
      <c r="G3800">
        <v>68703.656400000007</v>
      </c>
      <c r="H3800">
        <v>306848.1715</v>
      </c>
      <c r="P3800">
        <v>22</v>
      </c>
      <c r="Q3800" t="s">
        <v>7947</v>
      </c>
    </row>
    <row r="3801" spans="1:17" x14ac:dyDescent="0.3">
      <c r="A3801" t="s">
        <v>4729</v>
      </c>
      <c r="B3801" t="str">
        <f>"201872"</f>
        <v>201872</v>
      </c>
      <c r="C3801" t="s">
        <v>7948</v>
      </c>
      <c r="F3801">
        <v>266455011.7008</v>
      </c>
      <c r="G3801">
        <v>185060201.61539999</v>
      </c>
      <c r="H3801">
        <v>138529965.264</v>
      </c>
      <c r="I3801">
        <v>138884588.07300001</v>
      </c>
      <c r="P3801">
        <v>90</v>
      </c>
      <c r="Q3801" t="s">
        <v>7949</v>
      </c>
    </row>
    <row r="3802" spans="1:17" x14ac:dyDescent="0.3">
      <c r="A3802" t="s">
        <v>4729</v>
      </c>
      <c r="B3802" t="str">
        <f>"300001"</f>
        <v>300001</v>
      </c>
      <c r="C3802" t="s">
        <v>7950</v>
      </c>
      <c r="D3802" t="s">
        <v>210</v>
      </c>
      <c r="F3802">
        <v>412062602</v>
      </c>
      <c r="G3802">
        <v>355197491</v>
      </c>
      <c r="H3802">
        <v>293187799</v>
      </c>
      <c r="I3802">
        <v>201230735</v>
      </c>
      <c r="P3802">
        <v>530</v>
      </c>
      <c r="Q3802" t="s">
        <v>7951</v>
      </c>
    </row>
    <row r="3803" spans="1:17" x14ac:dyDescent="0.3">
      <c r="A3803" t="s">
        <v>4729</v>
      </c>
      <c r="B3803" t="str">
        <f>"300002"</f>
        <v>300002</v>
      </c>
      <c r="C3803" t="s">
        <v>7952</v>
      </c>
      <c r="D3803" t="s">
        <v>517</v>
      </c>
      <c r="F3803">
        <v>262809649</v>
      </c>
      <c r="G3803">
        <v>212656089</v>
      </c>
      <c r="H3803">
        <v>231566627</v>
      </c>
      <c r="I3803">
        <v>102446960</v>
      </c>
      <c r="P3803">
        <v>284</v>
      </c>
      <c r="Q3803" t="s">
        <v>7953</v>
      </c>
    </row>
    <row r="3804" spans="1:17" x14ac:dyDescent="0.3">
      <c r="A3804" t="s">
        <v>4729</v>
      </c>
      <c r="B3804" t="str">
        <f>"300003"</f>
        <v>300003</v>
      </c>
      <c r="C3804" t="s">
        <v>7954</v>
      </c>
      <c r="D3804" t="s">
        <v>1077</v>
      </c>
      <c r="F3804">
        <v>907941338</v>
      </c>
      <c r="G3804">
        <v>736134170</v>
      </c>
      <c r="H3804">
        <v>543913940</v>
      </c>
      <c r="I3804">
        <v>376171473</v>
      </c>
      <c r="P3804">
        <v>3268</v>
      </c>
      <c r="Q3804" t="s">
        <v>7955</v>
      </c>
    </row>
    <row r="3805" spans="1:17" x14ac:dyDescent="0.3">
      <c r="A3805" t="s">
        <v>4729</v>
      </c>
      <c r="B3805" t="str">
        <f>"300004"</f>
        <v>300004</v>
      </c>
      <c r="C3805" t="s">
        <v>7956</v>
      </c>
      <c r="D3805" t="s">
        <v>741</v>
      </c>
      <c r="F3805">
        <v>32169540</v>
      </c>
      <c r="G3805">
        <v>29438166</v>
      </c>
      <c r="H3805">
        <v>31491935</v>
      </c>
      <c r="I3805">
        <v>33862255</v>
      </c>
      <c r="P3805">
        <v>84</v>
      </c>
      <c r="Q3805" t="s">
        <v>7957</v>
      </c>
    </row>
    <row r="3806" spans="1:17" x14ac:dyDescent="0.3">
      <c r="A3806" t="s">
        <v>4729</v>
      </c>
      <c r="B3806" t="str">
        <f>"300005"</f>
        <v>300005</v>
      </c>
      <c r="C3806" t="s">
        <v>7958</v>
      </c>
      <c r="D3806" t="s">
        <v>3017</v>
      </c>
      <c r="F3806">
        <v>43763423</v>
      </c>
      <c r="G3806">
        <v>42256733</v>
      </c>
      <c r="H3806">
        <v>46567264</v>
      </c>
      <c r="I3806">
        <v>48777985</v>
      </c>
      <c r="P3806">
        <v>181</v>
      </c>
      <c r="Q3806" t="s">
        <v>7959</v>
      </c>
    </row>
    <row r="3807" spans="1:17" x14ac:dyDescent="0.3">
      <c r="A3807" t="s">
        <v>4729</v>
      </c>
      <c r="B3807" t="str">
        <f>"300006"</f>
        <v>300006</v>
      </c>
      <c r="C3807" t="s">
        <v>7960</v>
      </c>
      <c r="D3807" t="s">
        <v>143</v>
      </c>
      <c r="F3807">
        <v>100199496</v>
      </c>
      <c r="G3807">
        <v>107362484</v>
      </c>
      <c r="H3807">
        <v>164043472</v>
      </c>
      <c r="I3807">
        <v>42737960</v>
      </c>
      <c r="P3807">
        <v>136</v>
      </c>
      <c r="Q3807" t="s">
        <v>7961</v>
      </c>
    </row>
    <row r="3808" spans="1:17" x14ac:dyDescent="0.3">
      <c r="A3808" t="s">
        <v>4729</v>
      </c>
      <c r="B3808" t="str">
        <f>"300007"</f>
        <v>300007</v>
      </c>
      <c r="C3808" t="s">
        <v>7962</v>
      </c>
      <c r="D3808" t="s">
        <v>2566</v>
      </c>
      <c r="F3808">
        <v>158052519</v>
      </c>
      <c r="G3808">
        <v>128509464</v>
      </c>
      <c r="H3808">
        <v>134348539</v>
      </c>
      <c r="I3808">
        <v>106686836</v>
      </c>
      <c r="P3808">
        <v>314</v>
      </c>
      <c r="Q3808" t="s">
        <v>7963</v>
      </c>
    </row>
    <row r="3809" spans="1:17" x14ac:dyDescent="0.3">
      <c r="A3809" t="s">
        <v>4729</v>
      </c>
      <c r="B3809" t="str">
        <f>"300008"</f>
        <v>300008</v>
      </c>
      <c r="C3809" t="s">
        <v>7964</v>
      </c>
      <c r="D3809" t="s">
        <v>167</v>
      </c>
      <c r="F3809">
        <v>63253850</v>
      </c>
      <c r="G3809">
        <v>35934318</v>
      </c>
      <c r="H3809">
        <v>34159248</v>
      </c>
      <c r="I3809">
        <v>52437872</v>
      </c>
      <c r="P3809">
        <v>107</v>
      </c>
      <c r="Q3809" t="s">
        <v>7965</v>
      </c>
    </row>
    <row r="3810" spans="1:17" x14ac:dyDescent="0.3">
      <c r="A3810" t="s">
        <v>4729</v>
      </c>
      <c r="B3810" t="str">
        <f>"300009"</f>
        <v>300009</v>
      </c>
      <c r="C3810" t="s">
        <v>7966</v>
      </c>
      <c r="D3810" t="s">
        <v>1379</v>
      </c>
      <c r="F3810">
        <v>166538941</v>
      </c>
      <c r="G3810">
        <v>128761234</v>
      </c>
      <c r="H3810">
        <v>120090751</v>
      </c>
      <c r="I3810">
        <v>87318978</v>
      </c>
      <c r="P3810">
        <v>840</v>
      </c>
      <c r="Q3810" t="s">
        <v>7967</v>
      </c>
    </row>
    <row r="3811" spans="1:17" x14ac:dyDescent="0.3">
      <c r="A3811" t="s">
        <v>4729</v>
      </c>
      <c r="B3811" t="str">
        <f>"300010"</f>
        <v>300010</v>
      </c>
      <c r="C3811" t="s">
        <v>7968</v>
      </c>
      <c r="D3811" t="s">
        <v>1336</v>
      </c>
      <c r="F3811">
        <v>89903012</v>
      </c>
      <c r="G3811">
        <v>114274834</v>
      </c>
      <c r="H3811">
        <v>81186091</v>
      </c>
      <c r="I3811">
        <v>139072137</v>
      </c>
      <c r="P3811">
        <v>262</v>
      </c>
      <c r="Q3811" t="s">
        <v>7969</v>
      </c>
    </row>
    <row r="3812" spans="1:17" x14ac:dyDescent="0.3">
      <c r="A3812" t="s">
        <v>4729</v>
      </c>
      <c r="B3812" t="str">
        <f>"300011"</f>
        <v>300011</v>
      </c>
      <c r="C3812" t="s">
        <v>7970</v>
      </c>
      <c r="D3812" t="s">
        <v>1012</v>
      </c>
      <c r="F3812">
        <v>62132578</v>
      </c>
      <c r="G3812">
        <v>63197202</v>
      </c>
      <c r="H3812">
        <v>55208607</v>
      </c>
      <c r="I3812">
        <v>50578724</v>
      </c>
      <c r="P3812">
        <v>109</v>
      </c>
      <c r="Q3812" t="s">
        <v>7971</v>
      </c>
    </row>
    <row r="3813" spans="1:17" x14ac:dyDescent="0.3">
      <c r="A3813" t="s">
        <v>4729</v>
      </c>
      <c r="B3813" t="str">
        <f>"300012"</f>
        <v>300012</v>
      </c>
      <c r="C3813" t="s">
        <v>7972</v>
      </c>
      <c r="D3813" t="s">
        <v>2510</v>
      </c>
      <c r="F3813">
        <v>375974473</v>
      </c>
      <c r="G3813">
        <v>308228794</v>
      </c>
      <c r="H3813">
        <v>300589400</v>
      </c>
      <c r="I3813">
        <v>222057289</v>
      </c>
      <c r="P3813">
        <v>1302</v>
      </c>
      <c r="Q3813" t="s">
        <v>7973</v>
      </c>
    </row>
    <row r="3814" spans="1:17" x14ac:dyDescent="0.3">
      <c r="A3814" t="s">
        <v>4729</v>
      </c>
      <c r="B3814" t="str">
        <f>"300013"</f>
        <v>300013</v>
      </c>
      <c r="C3814" t="s">
        <v>7974</v>
      </c>
      <c r="D3814" t="s">
        <v>3125</v>
      </c>
      <c r="F3814">
        <v>34680568</v>
      </c>
      <c r="G3814">
        <v>36622923</v>
      </c>
      <c r="H3814">
        <v>38074062</v>
      </c>
      <c r="I3814">
        <v>26416438</v>
      </c>
      <c r="P3814">
        <v>70</v>
      </c>
      <c r="Q3814" t="s">
        <v>7975</v>
      </c>
    </row>
    <row r="3815" spans="1:17" x14ac:dyDescent="0.3">
      <c r="A3815" t="s">
        <v>4729</v>
      </c>
      <c r="B3815" t="str">
        <f>"300014"</f>
        <v>300014</v>
      </c>
      <c r="C3815" t="s">
        <v>7976</v>
      </c>
      <c r="D3815" t="s">
        <v>359</v>
      </c>
      <c r="F3815">
        <v>1310395434</v>
      </c>
      <c r="G3815">
        <v>684360732</v>
      </c>
      <c r="H3815">
        <v>458655479</v>
      </c>
      <c r="I3815">
        <v>314834848</v>
      </c>
      <c r="P3815">
        <v>2493</v>
      </c>
      <c r="Q3815" t="s">
        <v>7977</v>
      </c>
    </row>
    <row r="3816" spans="1:17" x14ac:dyDescent="0.3">
      <c r="A3816" t="s">
        <v>4729</v>
      </c>
      <c r="B3816" t="str">
        <f>"300015"</f>
        <v>300015</v>
      </c>
      <c r="C3816" t="s">
        <v>7978</v>
      </c>
      <c r="D3816" t="s">
        <v>1147</v>
      </c>
      <c r="F3816">
        <v>222549895</v>
      </c>
      <c r="G3816">
        <v>164248132</v>
      </c>
      <c r="H3816">
        <v>152312083</v>
      </c>
      <c r="I3816">
        <v>97494715</v>
      </c>
      <c r="P3816">
        <v>11093</v>
      </c>
      <c r="Q3816" t="s">
        <v>7979</v>
      </c>
    </row>
    <row r="3817" spans="1:17" x14ac:dyDescent="0.3">
      <c r="A3817" t="s">
        <v>4729</v>
      </c>
      <c r="B3817" t="str">
        <f>"300016"</f>
        <v>300016</v>
      </c>
      <c r="C3817" t="s">
        <v>7980</v>
      </c>
      <c r="D3817" t="s">
        <v>143</v>
      </c>
      <c r="F3817">
        <v>47227073</v>
      </c>
      <c r="G3817">
        <v>51719751</v>
      </c>
      <c r="H3817">
        <v>50680644</v>
      </c>
      <c r="I3817">
        <v>28073029</v>
      </c>
      <c r="P3817">
        <v>305</v>
      </c>
      <c r="Q3817" t="s">
        <v>7981</v>
      </c>
    </row>
    <row r="3818" spans="1:17" x14ac:dyDescent="0.3">
      <c r="A3818" t="s">
        <v>4729</v>
      </c>
      <c r="B3818" t="str">
        <f>"300017"</f>
        <v>300017</v>
      </c>
      <c r="C3818" t="s">
        <v>7982</v>
      </c>
      <c r="D3818" t="s">
        <v>316</v>
      </c>
      <c r="F3818">
        <v>543188146</v>
      </c>
      <c r="G3818">
        <v>586979225</v>
      </c>
      <c r="H3818">
        <v>661528189</v>
      </c>
      <c r="I3818">
        <v>512817574</v>
      </c>
      <c r="P3818">
        <v>759</v>
      </c>
      <c r="Q3818" t="s">
        <v>7983</v>
      </c>
    </row>
    <row r="3819" spans="1:17" x14ac:dyDescent="0.3">
      <c r="A3819" t="s">
        <v>4729</v>
      </c>
      <c r="B3819" t="str">
        <f>"300018"</f>
        <v>300018</v>
      </c>
      <c r="C3819" t="s">
        <v>7984</v>
      </c>
      <c r="D3819" t="s">
        <v>610</v>
      </c>
      <c r="F3819">
        <v>79862236</v>
      </c>
      <c r="G3819">
        <v>79660655</v>
      </c>
      <c r="H3819">
        <v>73540314</v>
      </c>
      <c r="I3819">
        <v>71609673</v>
      </c>
      <c r="P3819">
        <v>127</v>
      </c>
      <c r="Q3819" t="s">
        <v>7985</v>
      </c>
    </row>
    <row r="3820" spans="1:17" x14ac:dyDescent="0.3">
      <c r="A3820" t="s">
        <v>4729</v>
      </c>
      <c r="B3820" t="str">
        <f>"300019"</f>
        <v>300019</v>
      </c>
      <c r="C3820" t="s">
        <v>7986</v>
      </c>
      <c r="D3820" t="s">
        <v>1205</v>
      </c>
      <c r="F3820">
        <v>109913756</v>
      </c>
      <c r="G3820">
        <v>76355364</v>
      </c>
      <c r="H3820">
        <v>41387270</v>
      </c>
      <c r="I3820">
        <v>37674108</v>
      </c>
      <c r="P3820">
        <v>295</v>
      </c>
      <c r="Q3820" t="s">
        <v>7987</v>
      </c>
    </row>
    <row r="3821" spans="1:17" x14ac:dyDescent="0.3">
      <c r="A3821" t="s">
        <v>4729</v>
      </c>
      <c r="B3821" t="str">
        <f>"300020"</f>
        <v>300020</v>
      </c>
      <c r="C3821" t="s">
        <v>7988</v>
      </c>
      <c r="D3821" t="s">
        <v>316</v>
      </c>
      <c r="F3821">
        <v>106639312</v>
      </c>
      <c r="G3821">
        <v>71735353</v>
      </c>
      <c r="H3821">
        <v>90176735</v>
      </c>
      <c r="I3821">
        <v>83470067</v>
      </c>
      <c r="P3821">
        <v>237</v>
      </c>
      <c r="Q3821" t="s">
        <v>7989</v>
      </c>
    </row>
    <row r="3822" spans="1:17" x14ac:dyDescent="0.3">
      <c r="A3822" t="s">
        <v>4729</v>
      </c>
      <c r="B3822" t="str">
        <f>"300021"</f>
        <v>300021</v>
      </c>
      <c r="C3822" t="s">
        <v>7990</v>
      </c>
      <c r="D3822" t="s">
        <v>6903</v>
      </c>
      <c r="F3822">
        <v>89874631</v>
      </c>
      <c r="G3822">
        <v>29508332</v>
      </c>
      <c r="H3822">
        <v>24833812</v>
      </c>
      <c r="I3822">
        <v>18311916</v>
      </c>
      <c r="P3822">
        <v>174</v>
      </c>
      <c r="Q3822" t="s">
        <v>7991</v>
      </c>
    </row>
    <row r="3823" spans="1:17" x14ac:dyDescent="0.3">
      <c r="A3823" t="s">
        <v>4729</v>
      </c>
      <c r="B3823" t="str">
        <f>"300022"</f>
        <v>300022</v>
      </c>
      <c r="C3823" t="s">
        <v>7992</v>
      </c>
      <c r="D3823" t="s">
        <v>295</v>
      </c>
      <c r="F3823">
        <v>4834015</v>
      </c>
      <c r="G3823">
        <v>5249057</v>
      </c>
      <c r="H3823">
        <v>2662636</v>
      </c>
      <c r="I3823">
        <v>683877</v>
      </c>
      <c r="P3823">
        <v>63</v>
      </c>
      <c r="Q3823" t="s">
        <v>7993</v>
      </c>
    </row>
    <row r="3824" spans="1:17" x14ac:dyDescent="0.3">
      <c r="A3824" t="s">
        <v>4729</v>
      </c>
      <c r="B3824" t="str">
        <f>"300023"</f>
        <v>300023</v>
      </c>
      <c r="C3824" t="s">
        <v>7994</v>
      </c>
      <c r="D3824" t="s">
        <v>140</v>
      </c>
      <c r="F3824">
        <v>3587054</v>
      </c>
      <c r="G3824">
        <v>2807843</v>
      </c>
      <c r="H3824">
        <v>1848185</v>
      </c>
      <c r="I3824">
        <v>3162598</v>
      </c>
      <c r="P3824">
        <v>61</v>
      </c>
      <c r="Q3824" t="s">
        <v>7995</v>
      </c>
    </row>
    <row r="3825" spans="1:17" x14ac:dyDescent="0.3">
      <c r="A3825" t="s">
        <v>4729</v>
      </c>
      <c r="B3825" t="str">
        <f>"300024"</f>
        <v>300024</v>
      </c>
      <c r="C3825" t="s">
        <v>2938</v>
      </c>
      <c r="D3825" t="s">
        <v>2938</v>
      </c>
      <c r="F3825">
        <v>307317110</v>
      </c>
      <c r="G3825">
        <v>449289749</v>
      </c>
      <c r="H3825">
        <v>155208373</v>
      </c>
      <c r="I3825">
        <v>145950117</v>
      </c>
      <c r="P3825">
        <v>547</v>
      </c>
      <c r="Q3825" t="s">
        <v>7996</v>
      </c>
    </row>
    <row r="3826" spans="1:17" x14ac:dyDescent="0.3">
      <c r="A3826" t="s">
        <v>4729</v>
      </c>
      <c r="B3826" t="str">
        <f>"300025"</f>
        <v>300025</v>
      </c>
      <c r="C3826" t="s">
        <v>7997</v>
      </c>
      <c r="D3826" t="s">
        <v>654</v>
      </c>
      <c r="F3826">
        <v>26552831</v>
      </c>
      <c r="G3826">
        <v>30558410</v>
      </c>
      <c r="H3826">
        <v>47243082</v>
      </c>
      <c r="I3826">
        <v>55068319</v>
      </c>
      <c r="P3826">
        <v>223</v>
      </c>
      <c r="Q3826" t="s">
        <v>7998</v>
      </c>
    </row>
    <row r="3827" spans="1:17" x14ac:dyDescent="0.3">
      <c r="A3827" t="s">
        <v>4729</v>
      </c>
      <c r="B3827" t="str">
        <f>"300026"</f>
        <v>300026</v>
      </c>
      <c r="C3827" t="s">
        <v>7999</v>
      </c>
      <c r="D3827" t="s">
        <v>188</v>
      </c>
      <c r="F3827">
        <v>203358018</v>
      </c>
      <c r="G3827">
        <v>180155593</v>
      </c>
      <c r="H3827">
        <v>182527025</v>
      </c>
      <c r="I3827">
        <v>142043570</v>
      </c>
      <c r="P3827">
        <v>417</v>
      </c>
      <c r="Q3827" t="s">
        <v>8000</v>
      </c>
    </row>
    <row r="3828" spans="1:17" x14ac:dyDescent="0.3">
      <c r="A3828" t="s">
        <v>4729</v>
      </c>
      <c r="B3828" t="str">
        <f>"300027"</f>
        <v>300027</v>
      </c>
      <c r="C3828" t="s">
        <v>8001</v>
      </c>
      <c r="D3828" t="s">
        <v>113</v>
      </c>
      <c r="F3828">
        <v>6860300</v>
      </c>
      <c r="G3828">
        <v>7488313</v>
      </c>
      <c r="H3828">
        <v>63973508</v>
      </c>
      <c r="I3828">
        <v>47956934</v>
      </c>
      <c r="P3828">
        <v>475</v>
      </c>
      <c r="Q3828" t="s">
        <v>8002</v>
      </c>
    </row>
    <row r="3829" spans="1:17" x14ac:dyDescent="0.3">
      <c r="A3829" t="s">
        <v>4729</v>
      </c>
      <c r="B3829" t="str">
        <f>"300028"</f>
        <v>300028</v>
      </c>
      <c r="C3829" t="s">
        <v>8003</v>
      </c>
      <c r="H3829">
        <v>46275</v>
      </c>
      <c r="I3829">
        <v>1920186</v>
      </c>
      <c r="P3829">
        <v>31</v>
      </c>
      <c r="Q3829" t="s">
        <v>8004</v>
      </c>
    </row>
    <row r="3830" spans="1:17" x14ac:dyDescent="0.3">
      <c r="A3830" t="s">
        <v>4729</v>
      </c>
      <c r="B3830" t="str">
        <f>"300029"</f>
        <v>300029</v>
      </c>
      <c r="C3830" t="s">
        <v>8005</v>
      </c>
      <c r="D3830" t="s">
        <v>2671</v>
      </c>
      <c r="F3830">
        <v>0</v>
      </c>
      <c r="G3830">
        <v>1221997</v>
      </c>
      <c r="H3830">
        <v>1088695</v>
      </c>
      <c r="I3830">
        <v>5633406</v>
      </c>
      <c r="P3830">
        <v>66</v>
      </c>
      <c r="Q3830" t="s">
        <v>8006</v>
      </c>
    </row>
    <row r="3831" spans="1:17" x14ac:dyDescent="0.3">
      <c r="A3831" t="s">
        <v>4729</v>
      </c>
      <c r="B3831" t="str">
        <f>"300030"</f>
        <v>300030</v>
      </c>
      <c r="C3831" t="s">
        <v>8007</v>
      </c>
      <c r="D3831" t="s">
        <v>122</v>
      </c>
      <c r="F3831">
        <v>42328225</v>
      </c>
      <c r="G3831">
        <v>46562360</v>
      </c>
      <c r="H3831">
        <v>23505760</v>
      </c>
      <c r="I3831">
        <v>25520989</v>
      </c>
      <c r="P3831">
        <v>182</v>
      </c>
      <c r="Q3831" t="s">
        <v>8008</v>
      </c>
    </row>
    <row r="3832" spans="1:17" x14ac:dyDescent="0.3">
      <c r="A3832" t="s">
        <v>4729</v>
      </c>
      <c r="B3832" t="str">
        <f>"300031"</f>
        <v>300031</v>
      </c>
      <c r="C3832" t="s">
        <v>8009</v>
      </c>
      <c r="D3832" t="s">
        <v>517</v>
      </c>
      <c r="F3832">
        <v>134462430</v>
      </c>
      <c r="G3832">
        <v>72824458</v>
      </c>
      <c r="H3832">
        <v>51175559</v>
      </c>
      <c r="I3832">
        <v>36418624</v>
      </c>
      <c r="P3832">
        <v>259</v>
      </c>
      <c r="Q3832" t="s">
        <v>8010</v>
      </c>
    </row>
    <row r="3833" spans="1:17" x14ac:dyDescent="0.3">
      <c r="A3833" t="s">
        <v>4729</v>
      </c>
      <c r="B3833" t="str">
        <f>"300032"</f>
        <v>300032</v>
      </c>
      <c r="C3833" t="s">
        <v>8011</v>
      </c>
      <c r="D3833" t="s">
        <v>313</v>
      </c>
      <c r="F3833">
        <v>75303746</v>
      </c>
      <c r="G3833">
        <v>62465416</v>
      </c>
      <c r="H3833">
        <v>60528671</v>
      </c>
      <c r="I3833">
        <v>161051375</v>
      </c>
      <c r="P3833">
        <v>152</v>
      </c>
      <c r="Q3833" t="s">
        <v>8012</v>
      </c>
    </row>
    <row r="3834" spans="1:17" x14ac:dyDescent="0.3">
      <c r="A3834" t="s">
        <v>4729</v>
      </c>
      <c r="B3834" t="str">
        <f>"300033"</f>
        <v>300033</v>
      </c>
      <c r="C3834" t="s">
        <v>8013</v>
      </c>
      <c r="D3834" t="s">
        <v>945</v>
      </c>
      <c r="F3834">
        <v>828475501</v>
      </c>
      <c r="G3834">
        <v>585288454</v>
      </c>
      <c r="H3834">
        <v>464930039</v>
      </c>
      <c r="I3834">
        <v>396061277</v>
      </c>
      <c r="P3834">
        <v>2726</v>
      </c>
      <c r="Q3834" t="s">
        <v>8014</v>
      </c>
    </row>
    <row r="3835" spans="1:17" x14ac:dyDescent="0.3">
      <c r="A3835" t="s">
        <v>4729</v>
      </c>
      <c r="B3835" t="str">
        <f>"300034"</f>
        <v>300034</v>
      </c>
      <c r="C3835" t="s">
        <v>8015</v>
      </c>
      <c r="D3835" t="s">
        <v>98</v>
      </c>
      <c r="F3835">
        <v>121647310</v>
      </c>
      <c r="G3835">
        <v>93713487</v>
      </c>
      <c r="H3835">
        <v>66772514</v>
      </c>
      <c r="I3835">
        <v>46057730</v>
      </c>
      <c r="P3835">
        <v>282</v>
      </c>
      <c r="Q3835" t="s">
        <v>8016</v>
      </c>
    </row>
    <row r="3836" spans="1:17" x14ac:dyDescent="0.3">
      <c r="A3836" t="s">
        <v>4729</v>
      </c>
      <c r="B3836" t="str">
        <f>"300035"</f>
        <v>300035</v>
      </c>
      <c r="C3836" t="s">
        <v>8017</v>
      </c>
      <c r="D3836" t="s">
        <v>1790</v>
      </c>
      <c r="F3836">
        <v>98003278</v>
      </c>
      <c r="G3836">
        <v>62040517</v>
      </c>
      <c r="H3836">
        <v>52614926</v>
      </c>
      <c r="I3836">
        <v>36414127</v>
      </c>
      <c r="P3836">
        <v>272</v>
      </c>
      <c r="Q3836" t="s">
        <v>8018</v>
      </c>
    </row>
    <row r="3837" spans="1:17" x14ac:dyDescent="0.3">
      <c r="A3837" t="s">
        <v>4729</v>
      </c>
      <c r="B3837" t="str">
        <f>"300036"</f>
        <v>300036</v>
      </c>
      <c r="C3837" t="s">
        <v>8019</v>
      </c>
      <c r="D3837" t="s">
        <v>1189</v>
      </c>
      <c r="F3837">
        <v>217296645</v>
      </c>
      <c r="G3837">
        <v>224225421</v>
      </c>
      <c r="H3837">
        <v>229290367</v>
      </c>
      <c r="I3837">
        <v>198373554</v>
      </c>
      <c r="P3837">
        <v>547</v>
      </c>
      <c r="Q3837" t="s">
        <v>8020</v>
      </c>
    </row>
    <row r="3838" spans="1:17" x14ac:dyDescent="0.3">
      <c r="A3838" t="s">
        <v>4729</v>
      </c>
      <c r="B3838" t="str">
        <f>"300037"</f>
        <v>300037</v>
      </c>
      <c r="C3838" t="s">
        <v>8021</v>
      </c>
      <c r="D3838" t="s">
        <v>1790</v>
      </c>
      <c r="F3838">
        <v>407218540</v>
      </c>
      <c r="G3838">
        <v>182609893</v>
      </c>
      <c r="H3838">
        <v>161326517</v>
      </c>
      <c r="I3838">
        <v>145480520</v>
      </c>
      <c r="P3838">
        <v>830</v>
      </c>
      <c r="Q3838" t="s">
        <v>8022</v>
      </c>
    </row>
    <row r="3839" spans="1:17" x14ac:dyDescent="0.3">
      <c r="A3839" t="s">
        <v>4729</v>
      </c>
      <c r="B3839" t="str">
        <f>"300038"</f>
        <v>300038</v>
      </c>
      <c r="C3839" t="s">
        <v>8023</v>
      </c>
      <c r="D3839" t="s">
        <v>207</v>
      </c>
      <c r="F3839">
        <v>98319629</v>
      </c>
      <c r="G3839">
        <v>316826614</v>
      </c>
      <c r="H3839">
        <v>220025988</v>
      </c>
      <c r="I3839">
        <v>216472984</v>
      </c>
      <c r="P3839">
        <v>263</v>
      </c>
      <c r="Q3839" t="s">
        <v>8024</v>
      </c>
    </row>
    <row r="3840" spans="1:17" x14ac:dyDescent="0.3">
      <c r="A3840" t="s">
        <v>4729</v>
      </c>
      <c r="B3840" t="str">
        <f>"300039"</f>
        <v>300039</v>
      </c>
      <c r="C3840" t="s">
        <v>8025</v>
      </c>
      <c r="D3840" t="s">
        <v>188</v>
      </c>
      <c r="F3840">
        <v>79319563</v>
      </c>
      <c r="G3840">
        <v>59118893</v>
      </c>
      <c r="H3840">
        <v>54563083</v>
      </c>
      <c r="I3840">
        <v>47351543</v>
      </c>
      <c r="P3840">
        <v>223</v>
      </c>
      <c r="Q3840" t="s">
        <v>8026</v>
      </c>
    </row>
    <row r="3841" spans="1:17" x14ac:dyDescent="0.3">
      <c r="A3841" t="s">
        <v>4729</v>
      </c>
      <c r="B3841" t="str">
        <f>"300040"</f>
        <v>300040</v>
      </c>
      <c r="C3841" t="s">
        <v>8027</v>
      </c>
      <c r="D3841" t="s">
        <v>610</v>
      </c>
      <c r="F3841">
        <v>44859986</v>
      </c>
      <c r="G3841">
        <v>44249287</v>
      </c>
      <c r="H3841">
        <v>43091461</v>
      </c>
      <c r="I3841">
        <v>36796045</v>
      </c>
      <c r="P3841">
        <v>214</v>
      </c>
      <c r="Q3841" t="s">
        <v>8028</v>
      </c>
    </row>
    <row r="3842" spans="1:17" x14ac:dyDescent="0.3">
      <c r="A3842" t="s">
        <v>4729</v>
      </c>
      <c r="B3842" t="str">
        <f>"300041"</f>
        <v>300041</v>
      </c>
      <c r="C3842" t="s">
        <v>8029</v>
      </c>
      <c r="D3842" t="s">
        <v>1205</v>
      </c>
      <c r="F3842">
        <v>136652422</v>
      </c>
      <c r="G3842">
        <v>101160161</v>
      </c>
      <c r="H3842">
        <v>92195794</v>
      </c>
      <c r="I3842">
        <v>72812888</v>
      </c>
      <c r="P3842">
        <v>253</v>
      </c>
      <c r="Q3842" t="s">
        <v>8030</v>
      </c>
    </row>
    <row r="3843" spans="1:17" x14ac:dyDescent="0.3">
      <c r="A3843" t="s">
        <v>4729</v>
      </c>
      <c r="B3843" t="str">
        <f>"300042"</f>
        <v>300042</v>
      </c>
      <c r="C3843" t="s">
        <v>8031</v>
      </c>
      <c r="D3843" t="s">
        <v>236</v>
      </c>
      <c r="F3843">
        <v>35530070</v>
      </c>
      <c r="G3843">
        <v>31119407</v>
      </c>
      <c r="H3843">
        <v>27025637</v>
      </c>
      <c r="I3843">
        <v>21488972</v>
      </c>
      <c r="P3843">
        <v>116</v>
      </c>
      <c r="Q3843" t="s">
        <v>8032</v>
      </c>
    </row>
    <row r="3844" spans="1:17" x14ac:dyDescent="0.3">
      <c r="A3844" t="s">
        <v>4729</v>
      </c>
      <c r="B3844" t="str">
        <f>"300043"</f>
        <v>300043</v>
      </c>
      <c r="C3844" t="s">
        <v>8033</v>
      </c>
      <c r="D3844" t="s">
        <v>517</v>
      </c>
      <c r="F3844">
        <v>71121220</v>
      </c>
      <c r="G3844">
        <v>21937634</v>
      </c>
      <c r="H3844">
        <v>61407795</v>
      </c>
      <c r="I3844">
        <v>58453475</v>
      </c>
      <c r="P3844">
        <v>182</v>
      </c>
      <c r="Q3844" t="s">
        <v>8034</v>
      </c>
    </row>
    <row r="3845" spans="1:17" x14ac:dyDescent="0.3">
      <c r="A3845" t="s">
        <v>4729</v>
      </c>
      <c r="B3845" t="str">
        <f>"300044"</f>
        <v>300044</v>
      </c>
      <c r="C3845" t="s">
        <v>8035</v>
      </c>
      <c r="D3845" t="s">
        <v>316</v>
      </c>
      <c r="F3845">
        <v>82124953</v>
      </c>
      <c r="G3845">
        <v>73150972</v>
      </c>
      <c r="H3845">
        <v>59300319</v>
      </c>
      <c r="I3845">
        <v>52868402</v>
      </c>
      <c r="P3845">
        <v>289</v>
      </c>
      <c r="Q3845" t="s">
        <v>8036</v>
      </c>
    </row>
    <row r="3846" spans="1:17" x14ac:dyDescent="0.3">
      <c r="A3846" t="s">
        <v>4729</v>
      </c>
      <c r="B3846" t="str">
        <f>"300045"</f>
        <v>300045</v>
      </c>
      <c r="C3846" t="s">
        <v>8037</v>
      </c>
      <c r="D3846" t="s">
        <v>1136</v>
      </c>
      <c r="F3846">
        <v>35562730</v>
      </c>
      <c r="G3846">
        <v>53021074</v>
      </c>
      <c r="H3846">
        <v>37178245</v>
      </c>
      <c r="I3846">
        <v>35693451</v>
      </c>
      <c r="P3846">
        <v>158</v>
      </c>
      <c r="Q3846" t="s">
        <v>8038</v>
      </c>
    </row>
    <row r="3847" spans="1:17" x14ac:dyDescent="0.3">
      <c r="A3847" t="s">
        <v>4729</v>
      </c>
      <c r="B3847" t="str">
        <f>"300046"</f>
        <v>300046</v>
      </c>
      <c r="C3847" t="s">
        <v>8039</v>
      </c>
      <c r="D3847" t="s">
        <v>795</v>
      </c>
      <c r="F3847">
        <v>10962361</v>
      </c>
      <c r="G3847">
        <v>9005121</v>
      </c>
      <c r="H3847">
        <v>7865294</v>
      </c>
      <c r="I3847">
        <v>7340522</v>
      </c>
      <c r="P3847">
        <v>225</v>
      </c>
      <c r="Q3847" t="s">
        <v>8040</v>
      </c>
    </row>
    <row r="3848" spans="1:17" x14ac:dyDescent="0.3">
      <c r="A3848" t="s">
        <v>4729</v>
      </c>
      <c r="B3848" t="str">
        <f>"300047"</f>
        <v>300047</v>
      </c>
      <c r="C3848" t="s">
        <v>8041</v>
      </c>
      <c r="D3848" t="s">
        <v>945</v>
      </c>
      <c r="F3848">
        <v>273751567</v>
      </c>
      <c r="G3848">
        <v>216850390</v>
      </c>
      <c r="H3848">
        <v>213235821</v>
      </c>
      <c r="I3848">
        <v>185525225</v>
      </c>
      <c r="P3848">
        <v>338</v>
      </c>
      <c r="Q3848" t="s">
        <v>8042</v>
      </c>
    </row>
    <row r="3849" spans="1:17" x14ac:dyDescent="0.3">
      <c r="A3849" t="s">
        <v>4729</v>
      </c>
      <c r="B3849" t="str">
        <f>"300048"</f>
        <v>300048</v>
      </c>
      <c r="C3849" t="s">
        <v>8043</v>
      </c>
      <c r="D3849" t="s">
        <v>2432</v>
      </c>
      <c r="F3849">
        <v>64907730</v>
      </c>
      <c r="G3849">
        <v>92011280</v>
      </c>
      <c r="H3849">
        <v>78144046</v>
      </c>
      <c r="I3849">
        <v>81019958</v>
      </c>
      <c r="P3849">
        <v>119</v>
      </c>
      <c r="Q3849" t="s">
        <v>8044</v>
      </c>
    </row>
    <row r="3850" spans="1:17" x14ac:dyDescent="0.3">
      <c r="A3850" t="s">
        <v>4729</v>
      </c>
      <c r="B3850" t="str">
        <f>"300049"</f>
        <v>300049</v>
      </c>
      <c r="C3850" t="s">
        <v>8045</v>
      </c>
      <c r="D3850" t="s">
        <v>122</v>
      </c>
      <c r="F3850">
        <v>64792212</v>
      </c>
      <c r="G3850">
        <v>65824697</v>
      </c>
      <c r="H3850">
        <v>60749149</v>
      </c>
      <c r="I3850">
        <v>64725899</v>
      </c>
      <c r="P3850">
        <v>144</v>
      </c>
      <c r="Q3850" t="s">
        <v>8046</v>
      </c>
    </row>
    <row r="3851" spans="1:17" x14ac:dyDescent="0.3">
      <c r="A3851" t="s">
        <v>4729</v>
      </c>
      <c r="B3851" t="str">
        <f>"300050"</f>
        <v>300050</v>
      </c>
      <c r="C3851" t="s">
        <v>8047</v>
      </c>
      <c r="D3851" t="s">
        <v>654</v>
      </c>
      <c r="F3851">
        <v>78543558</v>
      </c>
      <c r="G3851">
        <v>76090540</v>
      </c>
      <c r="H3851">
        <v>102066367</v>
      </c>
      <c r="I3851">
        <v>61897770</v>
      </c>
      <c r="P3851">
        <v>164</v>
      </c>
      <c r="Q3851" t="s">
        <v>8048</v>
      </c>
    </row>
    <row r="3852" spans="1:17" x14ac:dyDescent="0.3">
      <c r="A3852" t="s">
        <v>4729</v>
      </c>
      <c r="B3852" t="str">
        <f>"300051"</f>
        <v>300051</v>
      </c>
      <c r="C3852" t="s">
        <v>8049</v>
      </c>
      <c r="D3852" t="s">
        <v>517</v>
      </c>
      <c r="F3852">
        <v>21777449</v>
      </c>
      <c r="G3852">
        <v>25881258</v>
      </c>
      <c r="H3852">
        <v>27015712</v>
      </c>
      <c r="I3852">
        <v>27415421</v>
      </c>
      <c r="P3852">
        <v>104</v>
      </c>
      <c r="Q3852" t="s">
        <v>8050</v>
      </c>
    </row>
    <row r="3853" spans="1:17" x14ac:dyDescent="0.3">
      <c r="A3853" t="s">
        <v>4729</v>
      </c>
      <c r="B3853" t="str">
        <f>"300052"</f>
        <v>300052</v>
      </c>
      <c r="C3853" t="s">
        <v>8051</v>
      </c>
      <c r="D3853" t="s">
        <v>517</v>
      </c>
      <c r="F3853">
        <v>54574309</v>
      </c>
      <c r="G3853">
        <v>35906393</v>
      </c>
      <c r="H3853">
        <v>42488546</v>
      </c>
      <c r="I3853">
        <v>44814451</v>
      </c>
      <c r="P3853">
        <v>219</v>
      </c>
      <c r="Q3853" t="s">
        <v>8052</v>
      </c>
    </row>
    <row r="3854" spans="1:17" x14ac:dyDescent="0.3">
      <c r="A3854" t="s">
        <v>4729</v>
      </c>
      <c r="B3854" t="str">
        <f>"300053"</f>
        <v>300053</v>
      </c>
      <c r="C3854" t="s">
        <v>8053</v>
      </c>
      <c r="D3854" t="s">
        <v>461</v>
      </c>
      <c r="F3854">
        <v>56964668</v>
      </c>
      <c r="G3854">
        <v>58454118</v>
      </c>
      <c r="H3854">
        <v>61549294</v>
      </c>
      <c r="I3854">
        <v>62094809</v>
      </c>
      <c r="P3854">
        <v>264</v>
      </c>
      <c r="Q3854" t="s">
        <v>8054</v>
      </c>
    </row>
    <row r="3855" spans="1:17" x14ac:dyDescent="0.3">
      <c r="A3855" t="s">
        <v>4729</v>
      </c>
      <c r="B3855" t="str">
        <f>"300054"</f>
        <v>300054</v>
      </c>
      <c r="C3855" t="s">
        <v>8055</v>
      </c>
      <c r="D3855" t="s">
        <v>2408</v>
      </c>
      <c r="F3855">
        <v>255278762</v>
      </c>
      <c r="G3855">
        <v>164573338</v>
      </c>
      <c r="H3855">
        <v>117809447</v>
      </c>
      <c r="I3855">
        <v>106699204</v>
      </c>
      <c r="P3855">
        <v>367</v>
      </c>
      <c r="Q3855" t="s">
        <v>8056</v>
      </c>
    </row>
    <row r="3856" spans="1:17" x14ac:dyDescent="0.3">
      <c r="A3856" t="s">
        <v>4729</v>
      </c>
      <c r="B3856" t="str">
        <f>"300055"</f>
        <v>300055</v>
      </c>
      <c r="C3856" t="s">
        <v>8057</v>
      </c>
      <c r="D3856" t="s">
        <v>33</v>
      </c>
      <c r="F3856">
        <v>72062712</v>
      </c>
      <c r="G3856">
        <v>15437917</v>
      </c>
      <c r="H3856">
        <v>28010528</v>
      </c>
      <c r="I3856">
        <v>35692529</v>
      </c>
      <c r="P3856">
        <v>163</v>
      </c>
      <c r="Q3856" t="s">
        <v>8058</v>
      </c>
    </row>
    <row r="3857" spans="1:17" x14ac:dyDescent="0.3">
      <c r="A3857" t="s">
        <v>4729</v>
      </c>
      <c r="B3857" t="str">
        <f>"300056"</f>
        <v>300056</v>
      </c>
      <c r="C3857" t="s">
        <v>8059</v>
      </c>
      <c r="D3857" t="s">
        <v>663</v>
      </c>
      <c r="F3857">
        <v>25902013</v>
      </c>
      <c r="G3857">
        <v>30919808</v>
      </c>
      <c r="H3857">
        <v>32964170</v>
      </c>
      <c r="I3857">
        <v>46785196</v>
      </c>
      <c r="P3857">
        <v>87</v>
      </c>
      <c r="Q3857" t="s">
        <v>8060</v>
      </c>
    </row>
    <row r="3858" spans="1:17" x14ac:dyDescent="0.3">
      <c r="A3858" t="s">
        <v>4729</v>
      </c>
      <c r="B3858" t="str">
        <f>"300057"</f>
        <v>300057</v>
      </c>
      <c r="C3858" t="s">
        <v>8061</v>
      </c>
      <c r="D3858" t="s">
        <v>504</v>
      </c>
      <c r="F3858">
        <v>151178934</v>
      </c>
      <c r="G3858">
        <v>134187530</v>
      </c>
      <c r="H3858">
        <v>128703590</v>
      </c>
      <c r="I3858">
        <v>113923946</v>
      </c>
      <c r="P3858">
        <v>438</v>
      </c>
      <c r="Q3858" t="s">
        <v>8062</v>
      </c>
    </row>
    <row r="3859" spans="1:17" x14ac:dyDescent="0.3">
      <c r="A3859" t="s">
        <v>4729</v>
      </c>
      <c r="B3859" t="str">
        <f>"300058"</f>
        <v>300058</v>
      </c>
      <c r="C3859" t="s">
        <v>8063</v>
      </c>
      <c r="D3859" t="s">
        <v>207</v>
      </c>
      <c r="F3859">
        <v>65422642</v>
      </c>
      <c r="G3859">
        <v>46820884</v>
      </c>
      <c r="H3859">
        <v>31993124</v>
      </c>
      <c r="I3859">
        <v>65788415</v>
      </c>
      <c r="P3859">
        <v>457</v>
      </c>
      <c r="Q3859" t="s">
        <v>8064</v>
      </c>
    </row>
    <row r="3860" spans="1:17" x14ac:dyDescent="0.3">
      <c r="A3860" t="s">
        <v>4729</v>
      </c>
      <c r="B3860" t="str">
        <f>"300059"</f>
        <v>300059</v>
      </c>
      <c r="C3860" t="s">
        <v>8065</v>
      </c>
      <c r="D3860" t="s">
        <v>80</v>
      </c>
      <c r="F3860">
        <v>723971197</v>
      </c>
      <c r="G3860">
        <v>378383908</v>
      </c>
      <c r="H3860">
        <v>305408028</v>
      </c>
      <c r="I3860">
        <v>250328059</v>
      </c>
      <c r="P3860">
        <v>5893</v>
      </c>
      <c r="Q3860" t="s">
        <v>8066</v>
      </c>
    </row>
    <row r="3861" spans="1:17" x14ac:dyDescent="0.3">
      <c r="A3861" t="s">
        <v>4729</v>
      </c>
      <c r="B3861" t="str">
        <f>"300061"</f>
        <v>300061</v>
      </c>
      <c r="C3861" t="s">
        <v>8067</v>
      </c>
      <c r="D3861" t="s">
        <v>207</v>
      </c>
      <c r="F3861">
        <v>33276265</v>
      </c>
      <c r="G3861">
        <v>47946861</v>
      </c>
      <c r="H3861">
        <v>52408839</v>
      </c>
      <c r="I3861">
        <v>78150206</v>
      </c>
      <c r="P3861">
        <v>120</v>
      </c>
      <c r="Q3861" t="s">
        <v>8068</v>
      </c>
    </row>
    <row r="3862" spans="1:17" x14ac:dyDescent="0.3">
      <c r="A3862" t="s">
        <v>4729</v>
      </c>
      <c r="B3862" t="str">
        <f>"300062"</f>
        <v>300062</v>
      </c>
      <c r="C3862" t="s">
        <v>8069</v>
      </c>
      <c r="D3862" t="s">
        <v>210</v>
      </c>
      <c r="F3862">
        <v>26878123</v>
      </c>
      <c r="G3862">
        <v>33218625</v>
      </c>
      <c r="H3862">
        <v>32861243</v>
      </c>
      <c r="I3862">
        <v>36440457</v>
      </c>
      <c r="P3862">
        <v>125</v>
      </c>
      <c r="Q3862" t="s">
        <v>8070</v>
      </c>
    </row>
    <row r="3863" spans="1:17" x14ac:dyDescent="0.3">
      <c r="A3863" t="s">
        <v>4729</v>
      </c>
      <c r="B3863" t="str">
        <f>"300063"</f>
        <v>300063</v>
      </c>
      <c r="C3863" t="s">
        <v>8071</v>
      </c>
      <c r="D3863" t="s">
        <v>207</v>
      </c>
      <c r="F3863">
        <v>45509962</v>
      </c>
      <c r="G3863">
        <v>35014563</v>
      </c>
      <c r="H3863">
        <v>40217915</v>
      </c>
      <c r="I3863">
        <v>17807795</v>
      </c>
      <c r="P3863">
        <v>109</v>
      </c>
      <c r="Q3863" t="s">
        <v>8072</v>
      </c>
    </row>
    <row r="3864" spans="1:17" x14ac:dyDescent="0.3">
      <c r="A3864" t="s">
        <v>4729</v>
      </c>
      <c r="B3864" t="str">
        <f>"300064"</f>
        <v>300064</v>
      </c>
      <c r="C3864" t="s">
        <v>8073</v>
      </c>
      <c r="D3864" t="s">
        <v>404</v>
      </c>
      <c r="F3864">
        <v>32658293</v>
      </c>
      <c r="G3864">
        <v>32054552</v>
      </c>
      <c r="H3864">
        <v>44381704</v>
      </c>
      <c r="I3864">
        <v>53524490</v>
      </c>
      <c r="P3864">
        <v>77</v>
      </c>
      <c r="Q3864" t="s">
        <v>8074</v>
      </c>
    </row>
    <row r="3865" spans="1:17" x14ac:dyDescent="0.3">
      <c r="A3865" t="s">
        <v>4729</v>
      </c>
      <c r="B3865" t="str">
        <f>"300065"</f>
        <v>300065</v>
      </c>
      <c r="C3865" t="s">
        <v>8075</v>
      </c>
      <c r="D3865" t="s">
        <v>167</v>
      </c>
      <c r="F3865">
        <v>48034022</v>
      </c>
      <c r="G3865">
        <v>39194689</v>
      </c>
      <c r="H3865">
        <v>30379273</v>
      </c>
      <c r="I3865">
        <v>38950380</v>
      </c>
      <c r="P3865">
        <v>152</v>
      </c>
      <c r="Q3865" t="s">
        <v>8076</v>
      </c>
    </row>
    <row r="3866" spans="1:17" x14ac:dyDescent="0.3">
      <c r="A3866" t="s">
        <v>4729</v>
      </c>
      <c r="B3866" t="str">
        <f>"300066"</f>
        <v>300066</v>
      </c>
      <c r="C3866" t="s">
        <v>8077</v>
      </c>
      <c r="D3866" t="s">
        <v>2566</v>
      </c>
      <c r="F3866">
        <v>53546119</v>
      </c>
      <c r="G3866">
        <v>52032803</v>
      </c>
      <c r="H3866">
        <v>55913396</v>
      </c>
      <c r="I3866">
        <v>39535896</v>
      </c>
      <c r="P3866">
        <v>190</v>
      </c>
      <c r="Q3866" t="s">
        <v>8078</v>
      </c>
    </row>
    <row r="3867" spans="1:17" x14ac:dyDescent="0.3">
      <c r="A3867" t="s">
        <v>4729</v>
      </c>
      <c r="B3867" t="str">
        <f>"300067"</f>
        <v>300067</v>
      </c>
      <c r="C3867" t="s">
        <v>8079</v>
      </c>
      <c r="D3867" t="s">
        <v>779</v>
      </c>
      <c r="F3867">
        <v>44424960</v>
      </c>
      <c r="G3867">
        <v>44034785</v>
      </c>
      <c r="H3867">
        <v>52465050</v>
      </c>
      <c r="I3867">
        <v>51356180</v>
      </c>
      <c r="P3867">
        <v>100</v>
      </c>
      <c r="Q3867" t="s">
        <v>8080</v>
      </c>
    </row>
    <row r="3868" spans="1:17" x14ac:dyDescent="0.3">
      <c r="A3868" t="s">
        <v>4729</v>
      </c>
      <c r="B3868" t="str">
        <f>"300068"</f>
        <v>300068</v>
      </c>
      <c r="C3868" t="s">
        <v>8081</v>
      </c>
      <c r="D3868" t="s">
        <v>555</v>
      </c>
      <c r="F3868">
        <v>436797301</v>
      </c>
      <c r="G3868">
        <v>357426523</v>
      </c>
      <c r="H3868">
        <v>251365212</v>
      </c>
      <c r="I3868">
        <v>191051323</v>
      </c>
      <c r="P3868">
        <v>305</v>
      </c>
      <c r="Q3868" t="s">
        <v>8082</v>
      </c>
    </row>
    <row r="3869" spans="1:17" x14ac:dyDescent="0.3">
      <c r="A3869" t="s">
        <v>4729</v>
      </c>
      <c r="B3869" t="str">
        <f>"300069"</f>
        <v>300069</v>
      </c>
      <c r="C3869" t="s">
        <v>8083</v>
      </c>
      <c r="D3869" t="s">
        <v>1164</v>
      </c>
      <c r="F3869">
        <v>8300850</v>
      </c>
      <c r="G3869">
        <v>5903626</v>
      </c>
      <c r="H3869">
        <v>8346338</v>
      </c>
      <c r="I3869">
        <v>10842592</v>
      </c>
      <c r="P3869">
        <v>57</v>
      </c>
      <c r="Q3869" t="s">
        <v>8084</v>
      </c>
    </row>
    <row r="3870" spans="1:17" x14ac:dyDescent="0.3">
      <c r="A3870" t="s">
        <v>4729</v>
      </c>
      <c r="B3870" t="str">
        <f>"300070"</f>
        <v>300070</v>
      </c>
      <c r="C3870" t="s">
        <v>8085</v>
      </c>
      <c r="D3870" t="s">
        <v>33</v>
      </c>
      <c r="F3870">
        <v>227624595</v>
      </c>
      <c r="G3870">
        <v>198660528</v>
      </c>
      <c r="H3870">
        <v>214093742</v>
      </c>
      <c r="I3870">
        <v>245166971</v>
      </c>
      <c r="P3870">
        <v>1163</v>
      </c>
      <c r="Q3870" t="s">
        <v>8086</v>
      </c>
    </row>
    <row r="3871" spans="1:17" x14ac:dyDescent="0.3">
      <c r="A3871" t="s">
        <v>4729</v>
      </c>
      <c r="B3871" t="str">
        <f>"300071"</f>
        <v>300071</v>
      </c>
      <c r="C3871" t="s">
        <v>8087</v>
      </c>
      <c r="D3871" t="s">
        <v>207</v>
      </c>
      <c r="F3871">
        <v>0</v>
      </c>
      <c r="G3871">
        <v>0</v>
      </c>
      <c r="H3871">
        <v>22918775</v>
      </c>
      <c r="I3871">
        <v>22455124</v>
      </c>
      <c r="P3871">
        <v>84</v>
      </c>
      <c r="Q3871" t="s">
        <v>8088</v>
      </c>
    </row>
    <row r="3872" spans="1:17" x14ac:dyDescent="0.3">
      <c r="A3872" t="s">
        <v>4729</v>
      </c>
      <c r="B3872" t="str">
        <f>"300072"</f>
        <v>300072</v>
      </c>
      <c r="C3872" t="s">
        <v>8089</v>
      </c>
      <c r="D3872" t="s">
        <v>663</v>
      </c>
      <c r="F3872">
        <v>184285598</v>
      </c>
      <c r="G3872">
        <v>221972363</v>
      </c>
      <c r="H3872">
        <v>249055516</v>
      </c>
      <c r="I3872">
        <v>292778249</v>
      </c>
      <c r="P3872">
        <v>1138</v>
      </c>
      <c r="Q3872" t="s">
        <v>8090</v>
      </c>
    </row>
    <row r="3873" spans="1:17" x14ac:dyDescent="0.3">
      <c r="A3873" t="s">
        <v>4729</v>
      </c>
      <c r="B3873" t="str">
        <f>"300073"</f>
        <v>300073</v>
      </c>
      <c r="C3873" t="s">
        <v>8091</v>
      </c>
      <c r="D3873" t="s">
        <v>1790</v>
      </c>
      <c r="F3873">
        <v>335711388</v>
      </c>
      <c r="G3873">
        <v>148289167</v>
      </c>
      <c r="H3873">
        <v>99137417</v>
      </c>
      <c r="I3873">
        <v>142575906</v>
      </c>
      <c r="P3873">
        <v>826</v>
      </c>
      <c r="Q3873" t="s">
        <v>8092</v>
      </c>
    </row>
    <row r="3874" spans="1:17" x14ac:dyDescent="0.3">
      <c r="A3874" t="s">
        <v>4729</v>
      </c>
      <c r="B3874" t="str">
        <f>"300074"</f>
        <v>300074</v>
      </c>
      <c r="C3874" t="s">
        <v>8093</v>
      </c>
      <c r="D3874" t="s">
        <v>945</v>
      </c>
      <c r="F3874">
        <v>41915690</v>
      </c>
      <c r="G3874">
        <v>46241406</v>
      </c>
      <c r="H3874">
        <v>38398406</v>
      </c>
      <c r="I3874">
        <v>42246593</v>
      </c>
      <c r="P3874">
        <v>162</v>
      </c>
      <c r="Q3874" t="s">
        <v>8094</v>
      </c>
    </row>
    <row r="3875" spans="1:17" x14ac:dyDescent="0.3">
      <c r="A3875" t="s">
        <v>4729</v>
      </c>
      <c r="B3875" t="str">
        <f>"300075"</f>
        <v>300075</v>
      </c>
      <c r="C3875" t="s">
        <v>8095</v>
      </c>
      <c r="D3875" t="s">
        <v>945</v>
      </c>
      <c r="F3875">
        <v>98779510</v>
      </c>
      <c r="G3875">
        <v>90017319</v>
      </c>
      <c r="H3875">
        <v>88068203</v>
      </c>
      <c r="I3875">
        <v>48517457</v>
      </c>
      <c r="P3875">
        <v>258</v>
      </c>
      <c r="Q3875" t="s">
        <v>8096</v>
      </c>
    </row>
    <row r="3876" spans="1:17" x14ac:dyDescent="0.3">
      <c r="A3876" t="s">
        <v>4729</v>
      </c>
      <c r="B3876" t="str">
        <f>"300076"</f>
        <v>300076</v>
      </c>
      <c r="C3876" t="s">
        <v>8097</v>
      </c>
      <c r="D3876" t="s">
        <v>1117</v>
      </c>
      <c r="F3876">
        <v>7311370</v>
      </c>
      <c r="G3876">
        <v>8048099</v>
      </c>
      <c r="H3876">
        <v>9472860</v>
      </c>
      <c r="I3876">
        <v>8333696</v>
      </c>
      <c r="P3876">
        <v>93</v>
      </c>
      <c r="Q3876" t="s">
        <v>8098</v>
      </c>
    </row>
    <row r="3877" spans="1:17" x14ac:dyDescent="0.3">
      <c r="A3877" t="s">
        <v>4729</v>
      </c>
      <c r="B3877" t="str">
        <f>"300077"</f>
        <v>300077</v>
      </c>
      <c r="C3877" t="s">
        <v>8099</v>
      </c>
      <c r="D3877" t="s">
        <v>461</v>
      </c>
      <c r="F3877">
        <v>227253438</v>
      </c>
      <c r="G3877">
        <v>132504870</v>
      </c>
      <c r="H3877">
        <v>131728182</v>
      </c>
      <c r="I3877">
        <v>127942014</v>
      </c>
      <c r="P3877">
        <v>3150</v>
      </c>
      <c r="Q3877" t="s">
        <v>8100</v>
      </c>
    </row>
    <row r="3878" spans="1:17" x14ac:dyDescent="0.3">
      <c r="A3878" t="s">
        <v>4729</v>
      </c>
      <c r="B3878" t="str">
        <f>"300078"</f>
        <v>300078</v>
      </c>
      <c r="C3878" t="s">
        <v>8101</v>
      </c>
      <c r="D3878" t="s">
        <v>316</v>
      </c>
      <c r="F3878">
        <v>173486985</v>
      </c>
      <c r="G3878">
        <v>162253754</v>
      </c>
      <c r="H3878">
        <v>138080782</v>
      </c>
      <c r="I3878">
        <v>106214943</v>
      </c>
      <c r="P3878">
        <v>296</v>
      </c>
      <c r="Q3878" t="s">
        <v>8102</v>
      </c>
    </row>
    <row r="3879" spans="1:17" x14ac:dyDescent="0.3">
      <c r="A3879" t="s">
        <v>4729</v>
      </c>
      <c r="B3879" t="str">
        <f>"300079"</f>
        <v>300079</v>
      </c>
      <c r="C3879" t="s">
        <v>8103</v>
      </c>
      <c r="D3879" t="s">
        <v>316</v>
      </c>
      <c r="F3879">
        <v>120628218</v>
      </c>
      <c r="G3879">
        <v>92810491</v>
      </c>
      <c r="H3879">
        <v>97772830</v>
      </c>
      <c r="I3879">
        <v>123290359</v>
      </c>
      <c r="P3879">
        <v>261</v>
      </c>
      <c r="Q3879" t="s">
        <v>8104</v>
      </c>
    </row>
    <row r="3880" spans="1:17" x14ac:dyDescent="0.3">
      <c r="A3880" t="s">
        <v>4729</v>
      </c>
      <c r="B3880" t="str">
        <f>"300080"</f>
        <v>300080</v>
      </c>
      <c r="C3880" t="s">
        <v>8105</v>
      </c>
      <c r="D3880" t="s">
        <v>404</v>
      </c>
      <c r="F3880">
        <v>208207453</v>
      </c>
      <c r="G3880">
        <v>161806504</v>
      </c>
      <c r="H3880">
        <v>210797542</v>
      </c>
      <c r="I3880">
        <v>88227593</v>
      </c>
      <c r="P3880">
        <v>111</v>
      </c>
      <c r="Q3880" t="s">
        <v>8106</v>
      </c>
    </row>
    <row r="3881" spans="1:17" x14ac:dyDescent="0.3">
      <c r="A3881" t="s">
        <v>4729</v>
      </c>
      <c r="B3881" t="str">
        <f>"300081"</f>
        <v>300081</v>
      </c>
      <c r="C3881" t="s">
        <v>8107</v>
      </c>
      <c r="D3881" t="s">
        <v>5670</v>
      </c>
      <c r="F3881">
        <v>60957353</v>
      </c>
      <c r="G3881">
        <v>53102908</v>
      </c>
      <c r="H3881">
        <v>29631502</v>
      </c>
      <c r="I3881">
        <v>19431790</v>
      </c>
      <c r="P3881">
        <v>160</v>
      </c>
      <c r="Q3881" t="s">
        <v>8108</v>
      </c>
    </row>
    <row r="3882" spans="1:17" x14ac:dyDescent="0.3">
      <c r="A3882" t="s">
        <v>4729</v>
      </c>
      <c r="B3882" t="str">
        <f>"300082"</f>
        <v>300082</v>
      </c>
      <c r="C3882" t="s">
        <v>8109</v>
      </c>
      <c r="D3882" t="s">
        <v>1233</v>
      </c>
      <c r="F3882">
        <v>50035076</v>
      </c>
      <c r="G3882">
        <v>46634204</v>
      </c>
      <c r="H3882">
        <v>35384569</v>
      </c>
      <c r="I3882">
        <v>29427861</v>
      </c>
      <c r="P3882">
        <v>176</v>
      </c>
      <c r="Q3882" t="s">
        <v>8110</v>
      </c>
    </row>
    <row r="3883" spans="1:17" x14ac:dyDescent="0.3">
      <c r="A3883" t="s">
        <v>4729</v>
      </c>
      <c r="B3883" t="str">
        <f>"300083"</f>
        <v>300083</v>
      </c>
      <c r="C3883" t="s">
        <v>8111</v>
      </c>
      <c r="D3883" t="s">
        <v>2432</v>
      </c>
      <c r="F3883">
        <v>220972282</v>
      </c>
      <c r="G3883">
        <v>162658128</v>
      </c>
      <c r="H3883">
        <v>122310749</v>
      </c>
      <c r="I3883">
        <v>229701935</v>
      </c>
      <c r="P3883">
        <v>487</v>
      </c>
      <c r="Q3883" t="s">
        <v>8112</v>
      </c>
    </row>
    <row r="3884" spans="1:17" x14ac:dyDescent="0.3">
      <c r="A3884" t="s">
        <v>4729</v>
      </c>
      <c r="B3884" t="str">
        <f>"300084"</f>
        <v>300084</v>
      </c>
      <c r="C3884" t="s">
        <v>8113</v>
      </c>
      <c r="D3884" t="s">
        <v>395</v>
      </c>
      <c r="F3884">
        <v>30054885</v>
      </c>
      <c r="G3884">
        <v>32442072</v>
      </c>
      <c r="H3884">
        <v>29265388</v>
      </c>
      <c r="I3884">
        <v>27306598</v>
      </c>
      <c r="P3884">
        <v>69</v>
      </c>
      <c r="Q3884" t="s">
        <v>8114</v>
      </c>
    </row>
    <row r="3885" spans="1:17" x14ac:dyDescent="0.3">
      <c r="A3885" t="s">
        <v>4729</v>
      </c>
      <c r="B3885" t="str">
        <f>"300085"</f>
        <v>300085</v>
      </c>
      <c r="C3885" t="s">
        <v>8115</v>
      </c>
      <c r="D3885" t="s">
        <v>945</v>
      </c>
      <c r="F3885">
        <v>79276527</v>
      </c>
      <c r="G3885">
        <v>74028412</v>
      </c>
      <c r="H3885">
        <v>68812204</v>
      </c>
      <c r="I3885">
        <v>56734134</v>
      </c>
      <c r="P3885">
        <v>255</v>
      </c>
      <c r="Q3885" t="s">
        <v>8116</v>
      </c>
    </row>
    <row r="3886" spans="1:17" x14ac:dyDescent="0.3">
      <c r="A3886" t="s">
        <v>4729</v>
      </c>
      <c r="B3886" t="str">
        <f>"300086"</f>
        <v>300086</v>
      </c>
      <c r="C3886" t="s">
        <v>8117</v>
      </c>
      <c r="D3886" t="s">
        <v>143</v>
      </c>
      <c r="F3886">
        <v>14704660</v>
      </c>
      <c r="G3886">
        <v>16573042</v>
      </c>
      <c r="H3886">
        <v>17196221</v>
      </c>
      <c r="I3886">
        <v>17497744</v>
      </c>
      <c r="P3886">
        <v>106</v>
      </c>
      <c r="Q3886" t="s">
        <v>8118</v>
      </c>
    </row>
    <row r="3887" spans="1:17" x14ac:dyDescent="0.3">
      <c r="A3887" t="s">
        <v>4729</v>
      </c>
      <c r="B3887" t="str">
        <f>"300087"</f>
        <v>300087</v>
      </c>
      <c r="C3887" t="s">
        <v>8119</v>
      </c>
      <c r="D3887" t="s">
        <v>706</v>
      </c>
      <c r="F3887">
        <v>64307566</v>
      </c>
      <c r="G3887">
        <v>42338308</v>
      </c>
      <c r="H3887">
        <v>48502203</v>
      </c>
      <c r="I3887">
        <v>49694586</v>
      </c>
      <c r="P3887">
        <v>231</v>
      </c>
      <c r="Q3887" t="s">
        <v>8120</v>
      </c>
    </row>
    <row r="3888" spans="1:17" x14ac:dyDescent="0.3">
      <c r="A3888" t="s">
        <v>4729</v>
      </c>
      <c r="B3888" t="str">
        <f>"300088"</f>
        <v>300088</v>
      </c>
      <c r="C3888" t="s">
        <v>8121</v>
      </c>
      <c r="D3888" t="s">
        <v>1117</v>
      </c>
      <c r="F3888">
        <v>301587114</v>
      </c>
      <c r="G3888">
        <v>267743962</v>
      </c>
      <c r="H3888">
        <v>209050032</v>
      </c>
      <c r="I3888">
        <v>97689238</v>
      </c>
      <c r="P3888">
        <v>949</v>
      </c>
      <c r="Q3888" t="s">
        <v>8122</v>
      </c>
    </row>
    <row r="3889" spans="1:17" x14ac:dyDescent="0.3">
      <c r="A3889" t="s">
        <v>4729</v>
      </c>
      <c r="B3889" t="str">
        <f>"300089"</f>
        <v>300089</v>
      </c>
      <c r="C3889" t="s">
        <v>8123</v>
      </c>
      <c r="D3889" t="s">
        <v>1336</v>
      </c>
      <c r="F3889">
        <v>4805999</v>
      </c>
      <c r="G3889">
        <v>7062597</v>
      </c>
      <c r="H3889">
        <v>17083673</v>
      </c>
      <c r="I3889">
        <v>19645105</v>
      </c>
      <c r="P3889">
        <v>101</v>
      </c>
      <c r="Q3889" t="s">
        <v>8124</v>
      </c>
    </row>
    <row r="3890" spans="1:17" x14ac:dyDescent="0.3">
      <c r="A3890" t="s">
        <v>4729</v>
      </c>
      <c r="B3890" t="str">
        <f>"300090"</f>
        <v>300090</v>
      </c>
      <c r="C3890" t="s">
        <v>8125</v>
      </c>
      <c r="H3890">
        <v>7302214</v>
      </c>
      <c r="I3890">
        <v>20311370</v>
      </c>
      <c r="P3890">
        <v>72</v>
      </c>
      <c r="Q3890" t="s">
        <v>8126</v>
      </c>
    </row>
    <row r="3891" spans="1:17" x14ac:dyDescent="0.3">
      <c r="A3891" t="s">
        <v>4729</v>
      </c>
      <c r="B3891" t="str">
        <f>"300091"</f>
        <v>300091</v>
      </c>
      <c r="C3891" t="s">
        <v>8127</v>
      </c>
      <c r="D3891" t="s">
        <v>560</v>
      </c>
      <c r="F3891">
        <v>69721570</v>
      </c>
      <c r="G3891">
        <v>58000837</v>
      </c>
      <c r="H3891">
        <v>79298551</v>
      </c>
      <c r="I3891">
        <v>41182252</v>
      </c>
      <c r="P3891">
        <v>101</v>
      </c>
      <c r="Q3891" t="s">
        <v>8128</v>
      </c>
    </row>
    <row r="3892" spans="1:17" x14ac:dyDescent="0.3">
      <c r="A3892" t="s">
        <v>4729</v>
      </c>
      <c r="B3892" t="str">
        <f>"300092"</f>
        <v>300092</v>
      </c>
      <c r="C3892" t="s">
        <v>8129</v>
      </c>
      <c r="D3892" t="s">
        <v>274</v>
      </c>
      <c r="F3892">
        <v>29480863</v>
      </c>
      <c r="G3892">
        <v>25973521</v>
      </c>
      <c r="H3892">
        <v>18684673</v>
      </c>
      <c r="I3892">
        <v>14479676</v>
      </c>
      <c r="P3892">
        <v>81</v>
      </c>
      <c r="Q3892" t="s">
        <v>8130</v>
      </c>
    </row>
    <row r="3893" spans="1:17" x14ac:dyDescent="0.3">
      <c r="A3893" t="s">
        <v>4729</v>
      </c>
      <c r="B3893" t="str">
        <f>"300093"</f>
        <v>300093</v>
      </c>
      <c r="C3893" t="s">
        <v>8131</v>
      </c>
      <c r="D3893" t="s">
        <v>666</v>
      </c>
      <c r="F3893">
        <v>18672600</v>
      </c>
      <c r="G3893">
        <v>14997982</v>
      </c>
      <c r="H3893">
        <v>21200875</v>
      </c>
      <c r="I3893">
        <v>25563682</v>
      </c>
      <c r="P3893">
        <v>80</v>
      </c>
      <c r="Q3893" t="s">
        <v>8132</v>
      </c>
    </row>
    <row r="3894" spans="1:17" x14ac:dyDescent="0.3">
      <c r="A3894" t="s">
        <v>4729</v>
      </c>
      <c r="B3894" t="str">
        <f>"300094"</f>
        <v>300094</v>
      </c>
      <c r="C3894" t="s">
        <v>8133</v>
      </c>
      <c r="D3894" t="s">
        <v>587</v>
      </c>
      <c r="F3894">
        <v>43088841</v>
      </c>
      <c r="G3894">
        <v>41570562</v>
      </c>
      <c r="H3894">
        <v>41270854</v>
      </c>
      <c r="I3894">
        <v>11219883</v>
      </c>
      <c r="P3894">
        <v>123</v>
      </c>
      <c r="Q3894" t="s">
        <v>8134</v>
      </c>
    </row>
    <row r="3895" spans="1:17" x14ac:dyDescent="0.3">
      <c r="A3895" t="s">
        <v>4729</v>
      </c>
      <c r="B3895" t="str">
        <f>"300095"</f>
        <v>300095</v>
      </c>
      <c r="C3895" t="s">
        <v>8135</v>
      </c>
      <c r="D3895" t="s">
        <v>274</v>
      </c>
      <c r="F3895">
        <v>61017619</v>
      </c>
      <c r="G3895">
        <v>58580388</v>
      </c>
      <c r="H3895">
        <v>40689281</v>
      </c>
      <c r="I3895">
        <v>39819484</v>
      </c>
      <c r="P3895">
        <v>128</v>
      </c>
      <c r="Q3895" t="s">
        <v>8136</v>
      </c>
    </row>
    <row r="3896" spans="1:17" x14ac:dyDescent="0.3">
      <c r="A3896" t="s">
        <v>4729</v>
      </c>
      <c r="B3896" t="str">
        <f>"300096"</f>
        <v>300096</v>
      </c>
      <c r="C3896" t="s">
        <v>8137</v>
      </c>
      <c r="D3896" t="s">
        <v>316</v>
      </c>
      <c r="F3896">
        <v>186305343</v>
      </c>
      <c r="G3896">
        <v>160116456</v>
      </c>
      <c r="H3896">
        <v>137592625</v>
      </c>
      <c r="I3896">
        <v>105432970</v>
      </c>
      <c r="P3896">
        <v>169</v>
      </c>
      <c r="Q3896" t="s">
        <v>8138</v>
      </c>
    </row>
    <row r="3897" spans="1:17" x14ac:dyDescent="0.3">
      <c r="A3897" t="s">
        <v>4729</v>
      </c>
      <c r="B3897" t="str">
        <f>"300097"</f>
        <v>300097</v>
      </c>
      <c r="C3897" t="s">
        <v>8139</v>
      </c>
      <c r="D3897" t="s">
        <v>3477</v>
      </c>
      <c r="F3897">
        <v>105332724</v>
      </c>
      <c r="G3897">
        <v>62359380</v>
      </c>
      <c r="H3897">
        <v>59370489</v>
      </c>
      <c r="I3897">
        <v>40841640</v>
      </c>
      <c r="P3897">
        <v>203</v>
      </c>
      <c r="Q3897" t="s">
        <v>8140</v>
      </c>
    </row>
    <row r="3898" spans="1:17" x14ac:dyDescent="0.3">
      <c r="A3898" t="s">
        <v>4729</v>
      </c>
      <c r="B3898" t="str">
        <f>"300098"</f>
        <v>300098</v>
      </c>
      <c r="C3898" t="s">
        <v>8141</v>
      </c>
      <c r="D3898" t="s">
        <v>945</v>
      </c>
      <c r="F3898">
        <v>356285033</v>
      </c>
      <c r="G3898">
        <v>429290939</v>
      </c>
      <c r="H3898">
        <v>422565926</v>
      </c>
      <c r="I3898">
        <v>354532308</v>
      </c>
      <c r="P3898">
        <v>368</v>
      </c>
      <c r="Q3898" t="s">
        <v>8142</v>
      </c>
    </row>
    <row r="3899" spans="1:17" x14ac:dyDescent="0.3">
      <c r="A3899" t="s">
        <v>4729</v>
      </c>
      <c r="B3899" t="str">
        <f>"300099"</f>
        <v>300099</v>
      </c>
      <c r="C3899" t="s">
        <v>8143</v>
      </c>
      <c r="D3899" t="s">
        <v>395</v>
      </c>
      <c r="F3899">
        <v>61551914</v>
      </c>
      <c r="G3899">
        <v>50943304</v>
      </c>
      <c r="H3899">
        <v>47834016</v>
      </c>
      <c r="I3899">
        <v>47604136</v>
      </c>
      <c r="P3899">
        <v>134</v>
      </c>
      <c r="Q3899" t="s">
        <v>8144</v>
      </c>
    </row>
    <row r="3900" spans="1:17" x14ac:dyDescent="0.3">
      <c r="A3900" t="s">
        <v>4729</v>
      </c>
      <c r="B3900" t="str">
        <f>"300100"</f>
        <v>300100</v>
      </c>
      <c r="C3900" t="s">
        <v>8145</v>
      </c>
      <c r="D3900" t="s">
        <v>191</v>
      </c>
      <c r="F3900">
        <v>164635352</v>
      </c>
      <c r="G3900">
        <v>121940934</v>
      </c>
      <c r="H3900">
        <v>191453368</v>
      </c>
      <c r="I3900">
        <v>195497746</v>
      </c>
      <c r="P3900">
        <v>129</v>
      </c>
      <c r="Q3900" t="s">
        <v>8146</v>
      </c>
    </row>
    <row r="3901" spans="1:17" x14ac:dyDescent="0.3">
      <c r="A3901" t="s">
        <v>4729</v>
      </c>
      <c r="B3901" t="str">
        <f>"300101"</f>
        <v>300101</v>
      </c>
      <c r="C3901" t="s">
        <v>8147</v>
      </c>
      <c r="D3901" t="s">
        <v>1136</v>
      </c>
      <c r="F3901">
        <v>115626707</v>
      </c>
      <c r="G3901">
        <v>79664126</v>
      </c>
      <c r="H3901">
        <v>58634764</v>
      </c>
      <c r="I3901">
        <v>74131076</v>
      </c>
      <c r="P3901">
        <v>3120</v>
      </c>
      <c r="Q3901" t="s">
        <v>8148</v>
      </c>
    </row>
    <row r="3902" spans="1:17" x14ac:dyDescent="0.3">
      <c r="A3902" t="s">
        <v>4729</v>
      </c>
      <c r="B3902" t="str">
        <f>"300102"</f>
        <v>300102</v>
      </c>
      <c r="C3902" t="s">
        <v>8149</v>
      </c>
      <c r="D3902" t="s">
        <v>803</v>
      </c>
      <c r="F3902">
        <v>92298367</v>
      </c>
      <c r="G3902">
        <v>61607092</v>
      </c>
      <c r="H3902">
        <v>66127095</v>
      </c>
      <c r="I3902">
        <v>61327115</v>
      </c>
      <c r="P3902">
        <v>158</v>
      </c>
      <c r="Q3902" t="s">
        <v>8150</v>
      </c>
    </row>
    <row r="3903" spans="1:17" x14ac:dyDescent="0.3">
      <c r="A3903" t="s">
        <v>4729</v>
      </c>
      <c r="B3903" t="str">
        <f>"300103"</f>
        <v>300103</v>
      </c>
      <c r="C3903" t="s">
        <v>8151</v>
      </c>
      <c r="D3903" t="s">
        <v>741</v>
      </c>
      <c r="F3903">
        <v>33529382</v>
      </c>
      <c r="G3903">
        <v>31664195</v>
      </c>
      <c r="H3903">
        <v>43188378</v>
      </c>
      <c r="I3903">
        <v>8707068</v>
      </c>
      <c r="P3903">
        <v>53</v>
      </c>
      <c r="Q3903" t="s">
        <v>8152</v>
      </c>
    </row>
    <row r="3904" spans="1:17" x14ac:dyDescent="0.3">
      <c r="A3904" t="s">
        <v>4729</v>
      </c>
      <c r="B3904" t="str">
        <f>"300104"</f>
        <v>300104</v>
      </c>
      <c r="C3904" t="s">
        <v>8153</v>
      </c>
      <c r="H3904">
        <v>51937830</v>
      </c>
      <c r="I3904">
        <v>246929560</v>
      </c>
      <c r="P3904">
        <v>205</v>
      </c>
      <c r="Q3904" t="s">
        <v>8154</v>
      </c>
    </row>
    <row r="3905" spans="1:17" x14ac:dyDescent="0.3">
      <c r="A3905" t="s">
        <v>4729</v>
      </c>
      <c r="B3905" t="str">
        <f>"300105"</f>
        <v>300105</v>
      </c>
      <c r="C3905" t="s">
        <v>8155</v>
      </c>
      <c r="D3905" t="s">
        <v>470</v>
      </c>
      <c r="F3905">
        <v>39191952</v>
      </c>
      <c r="G3905">
        <v>41419684</v>
      </c>
      <c r="H3905">
        <v>36108279</v>
      </c>
      <c r="I3905">
        <v>31437333</v>
      </c>
      <c r="P3905">
        <v>56</v>
      </c>
      <c r="Q3905" t="s">
        <v>8156</v>
      </c>
    </row>
    <row r="3906" spans="1:17" x14ac:dyDescent="0.3">
      <c r="A3906" t="s">
        <v>4729</v>
      </c>
      <c r="B3906" t="str">
        <f>"300106"</f>
        <v>300106</v>
      </c>
      <c r="C3906" t="s">
        <v>8157</v>
      </c>
      <c r="D3906" t="s">
        <v>900</v>
      </c>
      <c r="F3906">
        <v>3602663</v>
      </c>
      <c r="G3906">
        <v>2771700</v>
      </c>
      <c r="H3906">
        <v>2547440</v>
      </c>
      <c r="I3906">
        <v>4015468</v>
      </c>
      <c r="P3906">
        <v>124</v>
      </c>
      <c r="Q3906" t="s">
        <v>8158</v>
      </c>
    </row>
    <row r="3907" spans="1:17" x14ac:dyDescent="0.3">
      <c r="A3907" t="s">
        <v>4729</v>
      </c>
      <c r="B3907" t="str">
        <f>"300107"</f>
        <v>300107</v>
      </c>
      <c r="C3907" t="s">
        <v>8159</v>
      </c>
      <c r="D3907" t="s">
        <v>779</v>
      </c>
      <c r="F3907">
        <v>28265495</v>
      </c>
      <c r="G3907">
        <v>24822166</v>
      </c>
      <c r="H3907">
        <v>37663754</v>
      </c>
      <c r="I3907">
        <v>49492904</v>
      </c>
      <c r="P3907">
        <v>239</v>
      </c>
      <c r="Q3907" t="s">
        <v>8160</v>
      </c>
    </row>
    <row r="3908" spans="1:17" x14ac:dyDescent="0.3">
      <c r="A3908" t="s">
        <v>4729</v>
      </c>
      <c r="B3908" t="str">
        <f>"300108"</f>
        <v>300108</v>
      </c>
      <c r="C3908" t="s">
        <v>8161</v>
      </c>
      <c r="D3908" t="s">
        <v>188</v>
      </c>
      <c r="G3908">
        <v>16427119</v>
      </c>
      <c r="H3908">
        <v>91867129</v>
      </c>
      <c r="I3908">
        <v>14844245</v>
      </c>
      <c r="P3908">
        <v>121</v>
      </c>
      <c r="Q3908" t="s">
        <v>8162</v>
      </c>
    </row>
    <row r="3909" spans="1:17" x14ac:dyDescent="0.3">
      <c r="A3909" t="s">
        <v>4729</v>
      </c>
      <c r="B3909" t="str">
        <f>"300109"</f>
        <v>300109</v>
      </c>
      <c r="C3909" t="s">
        <v>8163</v>
      </c>
      <c r="D3909" t="s">
        <v>386</v>
      </c>
      <c r="F3909">
        <v>75532240</v>
      </c>
      <c r="G3909">
        <v>70270065</v>
      </c>
      <c r="H3909">
        <v>49293621</v>
      </c>
      <c r="I3909">
        <v>51087824</v>
      </c>
      <c r="P3909">
        <v>122</v>
      </c>
      <c r="Q3909" t="s">
        <v>8164</v>
      </c>
    </row>
    <row r="3910" spans="1:17" x14ac:dyDescent="0.3">
      <c r="A3910" t="s">
        <v>4729</v>
      </c>
      <c r="B3910" t="str">
        <f>"300110"</f>
        <v>300110</v>
      </c>
      <c r="C3910" t="s">
        <v>8165</v>
      </c>
      <c r="D3910" t="s">
        <v>143</v>
      </c>
      <c r="F3910">
        <v>63676367</v>
      </c>
      <c r="G3910">
        <v>55217073</v>
      </c>
      <c r="H3910">
        <v>62430235</v>
      </c>
      <c r="I3910">
        <v>56020109</v>
      </c>
      <c r="P3910">
        <v>125</v>
      </c>
      <c r="Q3910" t="s">
        <v>8166</v>
      </c>
    </row>
    <row r="3911" spans="1:17" x14ac:dyDescent="0.3">
      <c r="A3911" t="s">
        <v>4729</v>
      </c>
      <c r="B3911" t="str">
        <f>"300111"</f>
        <v>300111</v>
      </c>
      <c r="C3911" t="s">
        <v>8167</v>
      </c>
      <c r="D3911" t="s">
        <v>356</v>
      </c>
      <c r="F3911">
        <v>12267866</v>
      </c>
      <c r="G3911">
        <v>11336941</v>
      </c>
      <c r="H3911">
        <v>18569280</v>
      </c>
      <c r="I3911">
        <v>10456874</v>
      </c>
      <c r="P3911">
        <v>124</v>
      </c>
      <c r="Q3911" t="s">
        <v>8168</v>
      </c>
    </row>
    <row r="3912" spans="1:17" x14ac:dyDescent="0.3">
      <c r="A3912" t="s">
        <v>4729</v>
      </c>
      <c r="B3912" t="str">
        <f>"300112"</f>
        <v>300112</v>
      </c>
      <c r="C3912" t="s">
        <v>8169</v>
      </c>
      <c r="D3912" t="s">
        <v>2566</v>
      </c>
      <c r="F3912">
        <v>71626768</v>
      </c>
      <c r="G3912">
        <v>60136525</v>
      </c>
      <c r="H3912">
        <v>62240156</v>
      </c>
      <c r="I3912">
        <v>47164911</v>
      </c>
      <c r="P3912">
        <v>123</v>
      </c>
      <c r="Q3912" t="s">
        <v>8170</v>
      </c>
    </row>
    <row r="3913" spans="1:17" x14ac:dyDescent="0.3">
      <c r="A3913" t="s">
        <v>4729</v>
      </c>
      <c r="B3913" t="str">
        <f>"300113"</f>
        <v>300113</v>
      </c>
      <c r="C3913" t="s">
        <v>8171</v>
      </c>
      <c r="D3913" t="s">
        <v>517</v>
      </c>
      <c r="F3913">
        <v>221406495</v>
      </c>
      <c r="G3913">
        <v>191778981</v>
      </c>
      <c r="H3913">
        <v>236239471</v>
      </c>
      <c r="I3913">
        <v>229204463</v>
      </c>
      <c r="P3913">
        <v>481</v>
      </c>
      <c r="Q3913" t="s">
        <v>8172</v>
      </c>
    </row>
    <row r="3914" spans="1:17" x14ac:dyDescent="0.3">
      <c r="A3914" t="s">
        <v>4729</v>
      </c>
      <c r="B3914" t="str">
        <f>"300114"</f>
        <v>300114</v>
      </c>
      <c r="C3914" t="s">
        <v>8173</v>
      </c>
      <c r="D3914" t="s">
        <v>1136</v>
      </c>
      <c r="F3914">
        <v>115571447</v>
      </c>
      <c r="G3914">
        <v>96214801</v>
      </c>
      <c r="H3914">
        <v>70756834</v>
      </c>
      <c r="I3914">
        <v>64358496</v>
      </c>
      <c r="P3914">
        <v>258</v>
      </c>
      <c r="Q3914" t="s">
        <v>8174</v>
      </c>
    </row>
    <row r="3915" spans="1:17" x14ac:dyDescent="0.3">
      <c r="A3915" t="s">
        <v>4729</v>
      </c>
      <c r="B3915" t="str">
        <f>"300115"</f>
        <v>300115</v>
      </c>
      <c r="C3915" t="s">
        <v>8175</v>
      </c>
      <c r="D3915" t="s">
        <v>313</v>
      </c>
      <c r="F3915">
        <v>1078711274</v>
      </c>
      <c r="G3915">
        <v>882108807</v>
      </c>
      <c r="H3915">
        <v>839438793</v>
      </c>
      <c r="I3915">
        <v>765521067</v>
      </c>
      <c r="P3915">
        <v>870</v>
      </c>
      <c r="Q3915" t="s">
        <v>8176</v>
      </c>
    </row>
    <row r="3916" spans="1:17" x14ac:dyDescent="0.3">
      <c r="A3916" t="s">
        <v>4729</v>
      </c>
      <c r="B3916" t="str">
        <f>"300116"</f>
        <v>300116</v>
      </c>
      <c r="C3916" t="s">
        <v>8177</v>
      </c>
      <c r="D3916" t="s">
        <v>359</v>
      </c>
      <c r="F3916">
        <v>9592743</v>
      </c>
      <c r="G3916">
        <v>199961</v>
      </c>
      <c r="H3916">
        <v>18521914</v>
      </c>
      <c r="I3916">
        <v>105565074</v>
      </c>
      <c r="P3916">
        <v>173</v>
      </c>
      <c r="Q3916" t="s">
        <v>8178</v>
      </c>
    </row>
    <row r="3917" spans="1:17" x14ac:dyDescent="0.3">
      <c r="A3917" t="s">
        <v>4729</v>
      </c>
      <c r="B3917" t="str">
        <f>"300117"</f>
        <v>300117</v>
      </c>
      <c r="C3917" t="s">
        <v>8179</v>
      </c>
      <c r="D3917" t="s">
        <v>1992</v>
      </c>
      <c r="F3917">
        <v>31012388</v>
      </c>
      <c r="G3917">
        <v>67354899</v>
      </c>
      <c r="H3917">
        <v>66802804</v>
      </c>
      <c r="I3917">
        <v>104360359</v>
      </c>
      <c r="P3917">
        <v>179</v>
      </c>
      <c r="Q3917" t="s">
        <v>8180</v>
      </c>
    </row>
    <row r="3918" spans="1:17" x14ac:dyDescent="0.3">
      <c r="A3918" t="s">
        <v>4729</v>
      </c>
      <c r="B3918" t="str">
        <f>"300118"</f>
        <v>300118</v>
      </c>
      <c r="C3918" t="s">
        <v>8181</v>
      </c>
      <c r="D3918" t="s">
        <v>356</v>
      </c>
      <c r="F3918">
        <v>859978370</v>
      </c>
      <c r="G3918">
        <v>825542487</v>
      </c>
      <c r="H3918">
        <v>767271607</v>
      </c>
      <c r="I3918">
        <v>182678528</v>
      </c>
      <c r="P3918">
        <v>443</v>
      </c>
      <c r="Q3918" t="s">
        <v>8182</v>
      </c>
    </row>
    <row r="3919" spans="1:17" x14ac:dyDescent="0.3">
      <c r="A3919" t="s">
        <v>4729</v>
      </c>
      <c r="B3919" t="str">
        <f>"300119"</f>
        <v>300119</v>
      </c>
      <c r="C3919" t="s">
        <v>8183</v>
      </c>
      <c r="D3919" t="s">
        <v>453</v>
      </c>
      <c r="F3919">
        <v>117687563</v>
      </c>
      <c r="G3919">
        <v>111529175</v>
      </c>
      <c r="H3919">
        <v>94792364</v>
      </c>
      <c r="I3919">
        <v>80328571</v>
      </c>
      <c r="P3919">
        <v>388</v>
      </c>
      <c r="Q3919" t="s">
        <v>8184</v>
      </c>
    </row>
    <row r="3920" spans="1:17" x14ac:dyDescent="0.3">
      <c r="A3920" t="s">
        <v>4729</v>
      </c>
      <c r="B3920" t="str">
        <f>"300120"</f>
        <v>300120</v>
      </c>
      <c r="C3920" t="s">
        <v>8185</v>
      </c>
      <c r="D3920" t="s">
        <v>1117</v>
      </c>
      <c r="F3920">
        <v>90166156</v>
      </c>
      <c r="G3920">
        <v>83272492</v>
      </c>
      <c r="H3920">
        <v>79466396</v>
      </c>
      <c r="I3920">
        <v>66983866</v>
      </c>
      <c r="P3920">
        <v>105</v>
      </c>
      <c r="Q3920" t="s">
        <v>8186</v>
      </c>
    </row>
    <row r="3921" spans="1:17" x14ac:dyDescent="0.3">
      <c r="A3921" t="s">
        <v>4729</v>
      </c>
      <c r="B3921" t="str">
        <f>"300121"</f>
        <v>300121</v>
      </c>
      <c r="C3921" t="s">
        <v>8187</v>
      </c>
      <c r="D3921" t="s">
        <v>3128</v>
      </c>
      <c r="F3921">
        <v>77670587</v>
      </c>
      <c r="G3921">
        <v>45459205</v>
      </c>
      <c r="H3921">
        <v>51615219</v>
      </c>
      <c r="I3921">
        <v>32393132</v>
      </c>
      <c r="P3921">
        <v>353</v>
      </c>
      <c r="Q3921" t="s">
        <v>8188</v>
      </c>
    </row>
    <row r="3922" spans="1:17" x14ac:dyDescent="0.3">
      <c r="A3922" t="s">
        <v>4729</v>
      </c>
      <c r="B3922" t="str">
        <f>"300122"</f>
        <v>300122</v>
      </c>
      <c r="C3922" t="s">
        <v>8189</v>
      </c>
      <c r="D3922" t="s">
        <v>1499</v>
      </c>
      <c r="F3922">
        <v>552625543</v>
      </c>
      <c r="G3922">
        <v>299650350</v>
      </c>
      <c r="H3922">
        <v>169551278</v>
      </c>
      <c r="I3922">
        <v>142941598</v>
      </c>
      <c r="P3922">
        <v>3426</v>
      </c>
      <c r="Q3922" t="s">
        <v>8190</v>
      </c>
    </row>
    <row r="3923" spans="1:17" x14ac:dyDescent="0.3">
      <c r="A3923" t="s">
        <v>4729</v>
      </c>
      <c r="B3923" t="str">
        <f>"300123"</f>
        <v>300123</v>
      </c>
      <c r="C3923" t="s">
        <v>8191</v>
      </c>
      <c r="D3923" t="s">
        <v>1136</v>
      </c>
      <c r="F3923">
        <v>158200557</v>
      </c>
      <c r="G3923">
        <v>99095345</v>
      </c>
      <c r="H3923">
        <v>65469334</v>
      </c>
      <c r="I3923">
        <v>37681421</v>
      </c>
      <c r="P3923">
        <v>232</v>
      </c>
      <c r="Q3923" t="s">
        <v>8192</v>
      </c>
    </row>
    <row r="3924" spans="1:17" x14ac:dyDescent="0.3">
      <c r="A3924" t="s">
        <v>4729</v>
      </c>
      <c r="B3924" t="str">
        <f>"300124"</f>
        <v>300124</v>
      </c>
      <c r="C3924" t="s">
        <v>8193</v>
      </c>
      <c r="D3924" t="s">
        <v>2432</v>
      </c>
      <c r="F3924">
        <v>1685457196</v>
      </c>
      <c r="G3924">
        <v>1023233535</v>
      </c>
      <c r="H3924">
        <v>855558906</v>
      </c>
      <c r="I3924">
        <v>711805836</v>
      </c>
      <c r="P3924">
        <v>2412</v>
      </c>
      <c r="Q3924" t="s">
        <v>8194</v>
      </c>
    </row>
    <row r="3925" spans="1:17" x14ac:dyDescent="0.3">
      <c r="A3925" t="s">
        <v>4729</v>
      </c>
      <c r="B3925" t="str">
        <f>"300125"</f>
        <v>300125</v>
      </c>
      <c r="C3925" t="s">
        <v>8195</v>
      </c>
      <c r="D3925" t="s">
        <v>86</v>
      </c>
      <c r="F3925">
        <v>44172991</v>
      </c>
      <c r="G3925">
        <v>15758674</v>
      </c>
      <c r="H3925">
        <v>3257593</v>
      </c>
      <c r="P3925">
        <v>59</v>
      </c>
      <c r="Q3925" t="s">
        <v>8196</v>
      </c>
    </row>
    <row r="3926" spans="1:17" x14ac:dyDescent="0.3">
      <c r="A3926" t="s">
        <v>4729</v>
      </c>
      <c r="B3926" t="str">
        <f>"300126"</f>
        <v>300126</v>
      </c>
      <c r="C3926" t="s">
        <v>8197</v>
      </c>
      <c r="D3926" t="s">
        <v>560</v>
      </c>
      <c r="F3926">
        <v>27237365</v>
      </c>
      <c r="G3926">
        <v>21827953</v>
      </c>
      <c r="H3926">
        <v>31140608</v>
      </c>
      <c r="I3926">
        <v>32008876</v>
      </c>
      <c r="P3926">
        <v>50</v>
      </c>
      <c r="Q3926" t="s">
        <v>8198</v>
      </c>
    </row>
    <row r="3927" spans="1:17" x14ac:dyDescent="0.3">
      <c r="A3927" t="s">
        <v>4729</v>
      </c>
      <c r="B3927" t="str">
        <f>"300127"</f>
        <v>300127</v>
      </c>
      <c r="C3927" t="s">
        <v>8199</v>
      </c>
      <c r="D3927" t="s">
        <v>808</v>
      </c>
      <c r="F3927">
        <v>36890072</v>
      </c>
      <c r="G3927">
        <v>25780433</v>
      </c>
      <c r="H3927">
        <v>21537488</v>
      </c>
      <c r="I3927">
        <v>22907089</v>
      </c>
      <c r="P3927">
        <v>205</v>
      </c>
      <c r="Q3927" t="s">
        <v>8200</v>
      </c>
    </row>
    <row r="3928" spans="1:17" x14ac:dyDescent="0.3">
      <c r="A3928" t="s">
        <v>4729</v>
      </c>
      <c r="B3928" t="str">
        <f>"300128"</f>
        <v>300128</v>
      </c>
      <c r="C3928" t="s">
        <v>8201</v>
      </c>
      <c r="D3928" t="s">
        <v>1117</v>
      </c>
      <c r="F3928">
        <v>49414438</v>
      </c>
      <c r="G3928">
        <v>45564375</v>
      </c>
      <c r="H3928">
        <v>44042304</v>
      </c>
      <c r="I3928">
        <v>53369734</v>
      </c>
      <c r="P3928">
        <v>145</v>
      </c>
      <c r="Q3928" t="s">
        <v>8202</v>
      </c>
    </row>
    <row r="3929" spans="1:17" x14ac:dyDescent="0.3">
      <c r="A3929" t="s">
        <v>4729</v>
      </c>
      <c r="B3929" t="str">
        <f>"300129"</f>
        <v>300129</v>
      </c>
      <c r="C3929" t="s">
        <v>8203</v>
      </c>
      <c r="D3929" t="s">
        <v>950</v>
      </c>
      <c r="F3929">
        <v>188452154</v>
      </c>
      <c r="G3929">
        <v>151498086</v>
      </c>
      <c r="H3929">
        <v>83264268</v>
      </c>
      <c r="I3929">
        <v>57865097</v>
      </c>
      <c r="P3929">
        <v>183</v>
      </c>
      <c r="Q3929" t="s">
        <v>8204</v>
      </c>
    </row>
    <row r="3930" spans="1:17" x14ac:dyDescent="0.3">
      <c r="A3930" t="s">
        <v>4729</v>
      </c>
      <c r="B3930" t="str">
        <f>"300130"</f>
        <v>300130</v>
      </c>
      <c r="C3930" t="s">
        <v>8205</v>
      </c>
      <c r="D3930" t="s">
        <v>236</v>
      </c>
      <c r="F3930">
        <v>246559879</v>
      </c>
      <c r="G3930">
        <v>216802474</v>
      </c>
      <c r="H3930">
        <v>223649429</v>
      </c>
      <c r="I3930">
        <v>201855380</v>
      </c>
      <c r="P3930">
        <v>204</v>
      </c>
      <c r="Q3930" t="s">
        <v>8206</v>
      </c>
    </row>
    <row r="3931" spans="1:17" x14ac:dyDescent="0.3">
      <c r="A3931" t="s">
        <v>4729</v>
      </c>
      <c r="B3931" t="str">
        <f>"300131"</f>
        <v>300131</v>
      </c>
      <c r="C3931" t="s">
        <v>8207</v>
      </c>
      <c r="D3931" t="s">
        <v>313</v>
      </c>
      <c r="F3931">
        <v>22968380</v>
      </c>
      <c r="G3931">
        <v>31448089</v>
      </c>
      <c r="H3931">
        <v>46924049</v>
      </c>
      <c r="I3931">
        <v>47565800</v>
      </c>
      <c r="P3931">
        <v>207</v>
      </c>
      <c r="Q3931" t="s">
        <v>8208</v>
      </c>
    </row>
    <row r="3932" spans="1:17" x14ac:dyDescent="0.3">
      <c r="A3932" t="s">
        <v>4729</v>
      </c>
      <c r="B3932" t="str">
        <f>"300132"</f>
        <v>300132</v>
      </c>
      <c r="C3932" t="s">
        <v>8209</v>
      </c>
      <c r="D3932" t="s">
        <v>5979</v>
      </c>
      <c r="F3932">
        <v>124233356</v>
      </c>
      <c r="G3932">
        <v>123766699</v>
      </c>
      <c r="H3932">
        <v>104441410</v>
      </c>
      <c r="I3932">
        <v>46821596</v>
      </c>
      <c r="P3932">
        <v>399</v>
      </c>
      <c r="Q3932" t="s">
        <v>8210</v>
      </c>
    </row>
    <row r="3933" spans="1:17" x14ac:dyDescent="0.3">
      <c r="A3933" t="s">
        <v>4729</v>
      </c>
      <c r="B3933" t="str">
        <f>"300133"</f>
        <v>300133</v>
      </c>
      <c r="C3933" t="s">
        <v>8211</v>
      </c>
      <c r="D3933" t="s">
        <v>113</v>
      </c>
      <c r="F3933">
        <v>10425383</v>
      </c>
      <c r="G3933">
        <v>9866054</v>
      </c>
      <c r="H3933">
        <v>22439375</v>
      </c>
      <c r="I3933">
        <v>25164227</v>
      </c>
      <c r="P3933">
        <v>348</v>
      </c>
      <c r="Q3933" t="s">
        <v>8212</v>
      </c>
    </row>
    <row r="3934" spans="1:17" x14ac:dyDescent="0.3">
      <c r="A3934" t="s">
        <v>4729</v>
      </c>
      <c r="B3934" t="str">
        <f>"300134"</f>
        <v>300134</v>
      </c>
      <c r="C3934" t="s">
        <v>8213</v>
      </c>
      <c r="D3934" t="s">
        <v>1019</v>
      </c>
      <c r="F3934">
        <v>233558334</v>
      </c>
      <c r="G3934">
        <v>231245954</v>
      </c>
      <c r="H3934">
        <v>223353752</v>
      </c>
      <c r="I3934">
        <v>194990953</v>
      </c>
      <c r="P3934">
        <v>342</v>
      </c>
      <c r="Q3934" t="s">
        <v>8214</v>
      </c>
    </row>
    <row r="3935" spans="1:17" x14ac:dyDescent="0.3">
      <c r="A3935" t="s">
        <v>4729</v>
      </c>
      <c r="B3935" t="str">
        <f>"300135"</f>
        <v>300135</v>
      </c>
      <c r="C3935" t="s">
        <v>8215</v>
      </c>
      <c r="D3935" t="s">
        <v>1617</v>
      </c>
      <c r="F3935">
        <v>52964215</v>
      </c>
      <c r="G3935">
        <v>53072328</v>
      </c>
      <c r="H3935">
        <v>83498598</v>
      </c>
      <c r="I3935">
        <v>66787818</v>
      </c>
      <c r="P3935">
        <v>49</v>
      </c>
      <c r="Q3935" t="s">
        <v>8216</v>
      </c>
    </row>
    <row r="3936" spans="1:17" x14ac:dyDescent="0.3">
      <c r="A3936" t="s">
        <v>4729</v>
      </c>
      <c r="B3936" t="str">
        <f>"300136"</f>
        <v>300136</v>
      </c>
      <c r="C3936" t="s">
        <v>8217</v>
      </c>
      <c r="D3936" t="s">
        <v>313</v>
      </c>
      <c r="F3936">
        <v>627723716</v>
      </c>
      <c r="G3936">
        <v>586055296</v>
      </c>
      <c r="H3936">
        <v>429683750</v>
      </c>
      <c r="I3936">
        <v>278552361</v>
      </c>
      <c r="P3936">
        <v>2618</v>
      </c>
      <c r="Q3936" t="s">
        <v>8218</v>
      </c>
    </row>
    <row r="3937" spans="1:17" x14ac:dyDescent="0.3">
      <c r="A3937" t="s">
        <v>4729</v>
      </c>
      <c r="B3937" t="str">
        <f>"300137"</f>
        <v>300137</v>
      </c>
      <c r="C3937" t="s">
        <v>8219</v>
      </c>
      <c r="D3937" t="s">
        <v>1070</v>
      </c>
      <c r="F3937">
        <v>76524185</v>
      </c>
      <c r="G3937">
        <v>64247684</v>
      </c>
      <c r="H3937">
        <v>61077117</v>
      </c>
      <c r="I3937">
        <v>55978067</v>
      </c>
      <c r="P3937">
        <v>253</v>
      </c>
      <c r="Q3937" t="s">
        <v>8220</v>
      </c>
    </row>
    <row r="3938" spans="1:17" x14ac:dyDescent="0.3">
      <c r="A3938" t="s">
        <v>4729</v>
      </c>
      <c r="B3938" t="str">
        <f>"300138"</f>
        <v>300138</v>
      </c>
      <c r="C3938" t="s">
        <v>8221</v>
      </c>
      <c r="D3938" t="s">
        <v>445</v>
      </c>
      <c r="F3938">
        <v>94794219</v>
      </c>
      <c r="G3938">
        <v>82580530</v>
      </c>
      <c r="H3938">
        <v>49209045</v>
      </c>
      <c r="I3938">
        <v>29340600</v>
      </c>
      <c r="P3938">
        <v>264</v>
      </c>
      <c r="Q3938" t="s">
        <v>8222</v>
      </c>
    </row>
    <row r="3939" spans="1:17" x14ac:dyDescent="0.3">
      <c r="A3939" t="s">
        <v>4729</v>
      </c>
      <c r="B3939" t="str">
        <f>"300139"</f>
        <v>300139</v>
      </c>
      <c r="C3939" t="s">
        <v>8223</v>
      </c>
      <c r="D3939" t="s">
        <v>86</v>
      </c>
      <c r="F3939">
        <v>5101423</v>
      </c>
      <c r="G3939">
        <v>6291205</v>
      </c>
      <c r="H3939">
        <v>7786907</v>
      </c>
      <c r="I3939">
        <v>11086659</v>
      </c>
      <c r="P3939">
        <v>147</v>
      </c>
      <c r="Q3939" t="s">
        <v>8224</v>
      </c>
    </row>
    <row r="3940" spans="1:17" x14ac:dyDescent="0.3">
      <c r="A3940" t="s">
        <v>4729</v>
      </c>
      <c r="B3940" t="str">
        <f>"300140"</f>
        <v>300140</v>
      </c>
      <c r="C3940" t="s">
        <v>8225</v>
      </c>
      <c r="D3940" t="s">
        <v>1070</v>
      </c>
      <c r="F3940">
        <v>52566664</v>
      </c>
      <c r="G3940">
        <v>113886015</v>
      </c>
      <c r="H3940">
        <v>115705195</v>
      </c>
      <c r="I3940">
        <v>56070502</v>
      </c>
      <c r="P3940">
        <v>103</v>
      </c>
      <c r="Q3940" t="s">
        <v>8226</v>
      </c>
    </row>
    <row r="3941" spans="1:17" x14ac:dyDescent="0.3">
      <c r="A3941" t="s">
        <v>4729</v>
      </c>
      <c r="B3941" t="str">
        <f>"300141"</f>
        <v>300141</v>
      </c>
      <c r="C3941" t="s">
        <v>8227</v>
      </c>
      <c r="D3941" t="s">
        <v>657</v>
      </c>
      <c r="F3941">
        <v>18490364</v>
      </c>
      <c r="G3941">
        <v>28401463</v>
      </c>
      <c r="H3941">
        <v>20291195</v>
      </c>
      <c r="I3941">
        <v>33953053</v>
      </c>
      <c r="P3941">
        <v>91</v>
      </c>
      <c r="Q3941" t="s">
        <v>8228</v>
      </c>
    </row>
    <row r="3942" spans="1:17" x14ac:dyDescent="0.3">
      <c r="A3942" t="s">
        <v>4729</v>
      </c>
      <c r="B3942" t="str">
        <f>"300142"</f>
        <v>300142</v>
      </c>
      <c r="C3942" t="s">
        <v>8229</v>
      </c>
      <c r="D3942" t="s">
        <v>1499</v>
      </c>
      <c r="F3942">
        <v>621492636</v>
      </c>
      <c r="G3942">
        <v>176492786</v>
      </c>
      <c r="H3942">
        <v>64810217</v>
      </c>
      <c r="I3942">
        <v>125483808</v>
      </c>
      <c r="P3942">
        <v>1230</v>
      </c>
      <c r="Q3942" t="s">
        <v>8230</v>
      </c>
    </row>
    <row r="3943" spans="1:17" x14ac:dyDescent="0.3">
      <c r="A3943" t="s">
        <v>4729</v>
      </c>
      <c r="B3943" t="str">
        <f>"300143"</f>
        <v>300143</v>
      </c>
      <c r="C3943" t="s">
        <v>8231</v>
      </c>
      <c r="D3943" t="s">
        <v>1147</v>
      </c>
      <c r="F3943">
        <v>28863569</v>
      </c>
      <c r="G3943">
        <v>16997677</v>
      </c>
      <c r="H3943">
        <v>11018422</v>
      </c>
      <c r="I3943">
        <v>7254855</v>
      </c>
      <c r="P3943">
        <v>150</v>
      </c>
      <c r="Q3943" t="s">
        <v>8232</v>
      </c>
    </row>
    <row r="3944" spans="1:17" x14ac:dyDescent="0.3">
      <c r="A3944" t="s">
        <v>4729</v>
      </c>
      <c r="B3944" t="str">
        <f>"300144"</f>
        <v>300144</v>
      </c>
      <c r="C3944" t="s">
        <v>8233</v>
      </c>
      <c r="D3944" t="s">
        <v>333</v>
      </c>
      <c r="F3944">
        <v>41175131</v>
      </c>
      <c r="G3944">
        <v>37487964</v>
      </c>
      <c r="H3944">
        <v>48424521</v>
      </c>
      <c r="I3944">
        <v>70567576</v>
      </c>
      <c r="P3944">
        <v>3022</v>
      </c>
      <c r="Q3944" t="s">
        <v>8234</v>
      </c>
    </row>
    <row r="3945" spans="1:17" x14ac:dyDescent="0.3">
      <c r="A3945" t="s">
        <v>4729</v>
      </c>
      <c r="B3945" t="str">
        <f>"300145"</f>
        <v>300145</v>
      </c>
      <c r="C3945" t="s">
        <v>8235</v>
      </c>
      <c r="D3945" t="s">
        <v>560</v>
      </c>
      <c r="F3945">
        <v>245833132</v>
      </c>
      <c r="G3945">
        <v>185490314</v>
      </c>
      <c r="H3945">
        <v>170730660</v>
      </c>
      <c r="I3945">
        <v>172914795</v>
      </c>
      <c r="P3945">
        <v>281</v>
      </c>
      <c r="Q3945" t="s">
        <v>8236</v>
      </c>
    </row>
    <row r="3946" spans="1:17" x14ac:dyDescent="0.3">
      <c r="A3946" t="s">
        <v>4729</v>
      </c>
      <c r="B3946" t="str">
        <f>"300146"</f>
        <v>300146</v>
      </c>
      <c r="C3946" t="s">
        <v>8237</v>
      </c>
      <c r="D3946" t="s">
        <v>838</v>
      </c>
      <c r="F3946">
        <v>150298906</v>
      </c>
      <c r="G3946">
        <v>139952411</v>
      </c>
      <c r="H3946">
        <v>126041296</v>
      </c>
      <c r="I3946">
        <v>103489887</v>
      </c>
      <c r="P3946">
        <v>2832</v>
      </c>
      <c r="Q3946" t="s">
        <v>8238</v>
      </c>
    </row>
    <row r="3947" spans="1:17" x14ac:dyDescent="0.3">
      <c r="A3947" t="s">
        <v>4729</v>
      </c>
      <c r="B3947" t="str">
        <f>"300147"</f>
        <v>300147</v>
      </c>
      <c r="C3947" t="s">
        <v>8239</v>
      </c>
      <c r="D3947" t="s">
        <v>188</v>
      </c>
      <c r="F3947">
        <v>90603637</v>
      </c>
      <c r="G3947">
        <v>66989910</v>
      </c>
      <c r="H3947">
        <v>61268400</v>
      </c>
      <c r="I3947">
        <v>38670789</v>
      </c>
      <c r="P3947">
        <v>166</v>
      </c>
      <c r="Q3947" t="s">
        <v>8240</v>
      </c>
    </row>
    <row r="3948" spans="1:17" x14ac:dyDescent="0.3">
      <c r="A3948" t="s">
        <v>4729</v>
      </c>
      <c r="B3948" t="str">
        <f>"300148"</f>
        <v>300148</v>
      </c>
      <c r="C3948" t="s">
        <v>8241</v>
      </c>
      <c r="D3948" t="s">
        <v>517</v>
      </c>
      <c r="F3948">
        <v>81290736</v>
      </c>
      <c r="G3948">
        <v>137839521</v>
      </c>
      <c r="H3948">
        <v>156867789</v>
      </c>
      <c r="I3948">
        <v>140218473</v>
      </c>
      <c r="P3948">
        <v>99</v>
      </c>
      <c r="Q3948" t="s">
        <v>8242</v>
      </c>
    </row>
    <row r="3949" spans="1:17" x14ac:dyDescent="0.3">
      <c r="A3949" t="s">
        <v>4729</v>
      </c>
      <c r="B3949" t="str">
        <f>"300149"</f>
        <v>300149</v>
      </c>
      <c r="C3949" t="s">
        <v>8243</v>
      </c>
      <c r="D3949" t="s">
        <v>1461</v>
      </c>
      <c r="F3949">
        <v>124652569</v>
      </c>
      <c r="G3949">
        <v>71677600</v>
      </c>
      <c r="H3949">
        <v>62885452</v>
      </c>
      <c r="I3949">
        <v>55280206</v>
      </c>
      <c r="P3949">
        <v>193</v>
      </c>
      <c r="Q3949" t="s">
        <v>8244</v>
      </c>
    </row>
    <row r="3950" spans="1:17" x14ac:dyDescent="0.3">
      <c r="A3950" t="s">
        <v>4729</v>
      </c>
      <c r="B3950" t="str">
        <f>"300150"</f>
        <v>300150</v>
      </c>
      <c r="C3950" t="s">
        <v>8245</v>
      </c>
      <c r="D3950" t="s">
        <v>316</v>
      </c>
      <c r="F3950">
        <v>88557501</v>
      </c>
      <c r="G3950">
        <v>93159959</v>
      </c>
      <c r="H3950">
        <v>85341567</v>
      </c>
      <c r="I3950">
        <v>76957031</v>
      </c>
      <c r="P3950">
        <v>121</v>
      </c>
      <c r="Q3950" t="s">
        <v>8246</v>
      </c>
    </row>
    <row r="3951" spans="1:17" x14ac:dyDescent="0.3">
      <c r="A3951" t="s">
        <v>4729</v>
      </c>
      <c r="B3951" t="str">
        <f>"300151"</f>
        <v>300151</v>
      </c>
      <c r="C3951" t="s">
        <v>8247</v>
      </c>
      <c r="D3951" t="s">
        <v>741</v>
      </c>
      <c r="F3951">
        <v>47467968</v>
      </c>
      <c r="G3951">
        <v>40048755</v>
      </c>
      <c r="H3951">
        <v>34421088</v>
      </c>
      <c r="I3951">
        <v>34280388</v>
      </c>
      <c r="P3951">
        <v>155</v>
      </c>
      <c r="Q3951" t="s">
        <v>8248</v>
      </c>
    </row>
    <row r="3952" spans="1:17" x14ac:dyDescent="0.3">
      <c r="A3952" t="s">
        <v>4729</v>
      </c>
      <c r="B3952" t="str">
        <f>"300152"</f>
        <v>300152</v>
      </c>
      <c r="C3952" t="s">
        <v>8249</v>
      </c>
      <c r="D3952" t="s">
        <v>3575</v>
      </c>
      <c r="F3952">
        <v>6625827</v>
      </c>
      <c r="G3952">
        <v>11249061</v>
      </c>
      <c r="H3952">
        <v>16225142</v>
      </c>
      <c r="I3952">
        <v>31513944</v>
      </c>
      <c r="P3952">
        <v>92</v>
      </c>
      <c r="Q3952" t="s">
        <v>8250</v>
      </c>
    </row>
    <row r="3953" spans="1:17" x14ac:dyDescent="0.3">
      <c r="A3953" t="s">
        <v>4729</v>
      </c>
      <c r="B3953" t="str">
        <f>"300153"</f>
        <v>300153</v>
      </c>
      <c r="C3953" t="s">
        <v>8251</v>
      </c>
      <c r="D3953" t="s">
        <v>880</v>
      </c>
      <c r="F3953">
        <v>27538514</v>
      </c>
      <c r="G3953">
        <v>27969987</v>
      </c>
      <c r="H3953">
        <v>26984020</v>
      </c>
      <c r="I3953">
        <v>34333033</v>
      </c>
      <c r="P3953">
        <v>108</v>
      </c>
      <c r="Q3953" t="s">
        <v>8252</v>
      </c>
    </row>
    <row r="3954" spans="1:17" x14ac:dyDescent="0.3">
      <c r="A3954" t="s">
        <v>4729</v>
      </c>
      <c r="B3954" t="str">
        <f>"300154"</f>
        <v>300154</v>
      </c>
      <c r="C3954" t="s">
        <v>8253</v>
      </c>
      <c r="D3954" t="s">
        <v>560</v>
      </c>
      <c r="F3954">
        <v>35644380</v>
      </c>
      <c r="G3954">
        <v>23833475</v>
      </c>
      <c r="H3954">
        <v>29723670</v>
      </c>
      <c r="I3954">
        <v>32742103</v>
      </c>
      <c r="P3954">
        <v>82</v>
      </c>
      <c r="Q3954" t="s">
        <v>8254</v>
      </c>
    </row>
    <row r="3955" spans="1:17" x14ac:dyDescent="0.3">
      <c r="A3955" t="s">
        <v>4729</v>
      </c>
      <c r="B3955" t="str">
        <f>"300155"</f>
        <v>300155</v>
      </c>
      <c r="C3955" t="s">
        <v>8255</v>
      </c>
      <c r="D3955" t="s">
        <v>2980</v>
      </c>
      <c r="F3955">
        <v>77730122</v>
      </c>
      <c r="G3955">
        <v>86517334</v>
      </c>
      <c r="H3955">
        <v>91636338</v>
      </c>
      <c r="I3955">
        <v>86842971</v>
      </c>
      <c r="P3955">
        <v>68</v>
      </c>
      <c r="Q3955" t="s">
        <v>8256</v>
      </c>
    </row>
    <row r="3956" spans="1:17" x14ac:dyDescent="0.3">
      <c r="A3956" t="s">
        <v>4729</v>
      </c>
      <c r="B3956" t="str">
        <f>"300156"</f>
        <v>300156</v>
      </c>
      <c r="C3956" t="s">
        <v>8257</v>
      </c>
      <c r="I3956">
        <v>14475921</v>
      </c>
      <c r="P3956">
        <v>300</v>
      </c>
      <c r="Q3956" t="s">
        <v>8258</v>
      </c>
    </row>
    <row r="3957" spans="1:17" x14ac:dyDescent="0.3">
      <c r="A3957" t="s">
        <v>4729</v>
      </c>
      <c r="B3957" t="str">
        <f>"300157"</f>
        <v>300157</v>
      </c>
      <c r="C3957" t="s">
        <v>8259</v>
      </c>
      <c r="D3957" t="s">
        <v>762</v>
      </c>
      <c r="F3957">
        <v>28112962</v>
      </c>
      <c r="G3957">
        <v>34065925</v>
      </c>
      <c r="H3957">
        <v>40875917</v>
      </c>
      <c r="I3957">
        <v>37509047</v>
      </c>
      <c r="P3957">
        <v>76</v>
      </c>
      <c r="Q3957" t="s">
        <v>8260</v>
      </c>
    </row>
    <row r="3958" spans="1:17" x14ac:dyDescent="0.3">
      <c r="A3958" t="s">
        <v>4729</v>
      </c>
      <c r="B3958" t="str">
        <f>"300158"</f>
        <v>300158</v>
      </c>
      <c r="C3958" t="s">
        <v>8261</v>
      </c>
      <c r="D3958" t="s">
        <v>143</v>
      </c>
      <c r="F3958">
        <v>218729925</v>
      </c>
      <c r="G3958">
        <v>136190231</v>
      </c>
      <c r="H3958">
        <v>145311094</v>
      </c>
      <c r="I3958">
        <v>123176071</v>
      </c>
      <c r="P3958">
        <v>176</v>
      </c>
      <c r="Q3958" t="s">
        <v>8262</v>
      </c>
    </row>
    <row r="3959" spans="1:17" x14ac:dyDescent="0.3">
      <c r="A3959" t="s">
        <v>4729</v>
      </c>
      <c r="B3959" t="str">
        <f>"300159"</f>
        <v>300159</v>
      </c>
      <c r="C3959" t="s">
        <v>8263</v>
      </c>
      <c r="D3959" t="s">
        <v>98</v>
      </c>
      <c r="F3959">
        <v>74861464</v>
      </c>
      <c r="G3959">
        <v>137303060</v>
      </c>
      <c r="H3959">
        <v>112350471</v>
      </c>
      <c r="I3959">
        <v>87580198</v>
      </c>
      <c r="P3959">
        <v>126</v>
      </c>
      <c r="Q3959" t="s">
        <v>8264</v>
      </c>
    </row>
    <row r="3960" spans="1:17" x14ac:dyDescent="0.3">
      <c r="A3960" t="s">
        <v>4729</v>
      </c>
      <c r="B3960" t="str">
        <f>"300160"</f>
        <v>300160</v>
      </c>
      <c r="C3960" t="s">
        <v>8265</v>
      </c>
      <c r="D3960" t="s">
        <v>1253</v>
      </c>
      <c r="F3960">
        <v>59982159</v>
      </c>
      <c r="G3960">
        <v>45001213</v>
      </c>
      <c r="H3960">
        <v>41363132</v>
      </c>
      <c r="I3960">
        <v>43934931</v>
      </c>
      <c r="P3960">
        <v>150</v>
      </c>
      <c r="Q3960" t="s">
        <v>8266</v>
      </c>
    </row>
    <row r="3961" spans="1:17" x14ac:dyDescent="0.3">
      <c r="A3961" t="s">
        <v>4729</v>
      </c>
      <c r="B3961" t="str">
        <f>"300161"</f>
        <v>300161</v>
      </c>
      <c r="C3961" t="s">
        <v>8267</v>
      </c>
      <c r="D3961" t="s">
        <v>2321</v>
      </c>
      <c r="F3961">
        <v>206865580</v>
      </c>
      <c r="G3961">
        <v>220604790</v>
      </c>
      <c r="H3961">
        <v>252047869</v>
      </c>
      <c r="I3961">
        <v>185424038</v>
      </c>
      <c r="P3961">
        <v>159</v>
      </c>
      <c r="Q3961" t="s">
        <v>8268</v>
      </c>
    </row>
    <row r="3962" spans="1:17" x14ac:dyDescent="0.3">
      <c r="A3962" t="s">
        <v>4729</v>
      </c>
      <c r="B3962" t="str">
        <f>"300162"</f>
        <v>300162</v>
      </c>
      <c r="C3962" t="s">
        <v>8269</v>
      </c>
      <c r="D3962" t="s">
        <v>803</v>
      </c>
      <c r="F3962">
        <v>63341673</v>
      </c>
      <c r="G3962">
        <v>58616300</v>
      </c>
      <c r="H3962">
        <v>44386036</v>
      </c>
      <c r="I3962">
        <v>39689290</v>
      </c>
      <c r="P3962">
        <v>76</v>
      </c>
      <c r="Q3962" t="s">
        <v>8270</v>
      </c>
    </row>
    <row r="3963" spans="1:17" x14ac:dyDescent="0.3">
      <c r="A3963" t="s">
        <v>4729</v>
      </c>
      <c r="B3963" t="str">
        <f>"300163"</f>
        <v>300163</v>
      </c>
      <c r="C3963" t="s">
        <v>8271</v>
      </c>
      <c r="D3963" t="s">
        <v>386</v>
      </c>
      <c r="F3963">
        <v>10058871</v>
      </c>
      <c r="G3963">
        <v>16481022</v>
      </c>
      <c r="H3963">
        <v>14638303</v>
      </c>
      <c r="I3963">
        <v>17338061</v>
      </c>
      <c r="P3963">
        <v>75</v>
      </c>
      <c r="Q3963" t="s">
        <v>8272</v>
      </c>
    </row>
    <row r="3964" spans="1:17" x14ac:dyDescent="0.3">
      <c r="A3964" t="s">
        <v>4729</v>
      </c>
      <c r="B3964" t="str">
        <f>"300164"</f>
        <v>300164</v>
      </c>
      <c r="C3964" t="s">
        <v>8273</v>
      </c>
      <c r="D3964" t="s">
        <v>762</v>
      </c>
      <c r="F3964">
        <v>15046046</v>
      </c>
      <c r="G3964">
        <v>23555562</v>
      </c>
      <c r="H3964">
        <v>15657112</v>
      </c>
      <c r="I3964">
        <v>17431983</v>
      </c>
      <c r="P3964">
        <v>82</v>
      </c>
      <c r="Q3964" t="s">
        <v>8274</v>
      </c>
    </row>
    <row r="3965" spans="1:17" x14ac:dyDescent="0.3">
      <c r="A3965" t="s">
        <v>4729</v>
      </c>
      <c r="B3965" t="str">
        <f>"300165"</f>
        <v>300165</v>
      </c>
      <c r="C3965" t="s">
        <v>8275</v>
      </c>
      <c r="D3965" t="s">
        <v>2566</v>
      </c>
      <c r="F3965">
        <v>75084241</v>
      </c>
      <c r="G3965">
        <v>58949709</v>
      </c>
      <c r="H3965">
        <v>71632074</v>
      </c>
      <c r="I3965">
        <v>68924190</v>
      </c>
      <c r="P3965">
        <v>103</v>
      </c>
      <c r="Q3965" t="s">
        <v>8276</v>
      </c>
    </row>
    <row r="3966" spans="1:17" x14ac:dyDescent="0.3">
      <c r="A3966" t="s">
        <v>4729</v>
      </c>
      <c r="B3966" t="str">
        <f>"300166"</f>
        <v>300166</v>
      </c>
      <c r="C3966" t="s">
        <v>8277</v>
      </c>
      <c r="D3966" t="s">
        <v>316</v>
      </c>
      <c r="F3966">
        <v>381673716</v>
      </c>
      <c r="G3966">
        <v>351609707</v>
      </c>
      <c r="H3966">
        <v>256969957</v>
      </c>
      <c r="I3966">
        <v>111663505</v>
      </c>
      <c r="P3966">
        <v>461</v>
      </c>
      <c r="Q3966" t="s">
        <v>8278</v>
      </c>
    </row>
    <row r="3967" spans="1:17" x14ac:dyDescent="0.3">
      <c r="A3967" t="s">
        <v>4729</v>
      </c>
      <c r="B3967" t="str">
        <f>"300167"</f>
        <v>300167</v>
      </c>
      <c r="C3967" t="s">
        <v>8279</v>
      </c>
      <c r="D3967" t="s">
        <v>316</v>
      </c>
      <c r="F3967">
        <v>10446087</v>
      </c>
      <c r="G3967">
        <v>13936258</v>
      </c>
      <c r="H3967">
        <v>14841150</v>
      </c>
      <c r="I3967">
        <v>9349944</v>
      </c>
      <c r="P3967">
        <v>131</v>
      </c>
      <c r="Q3967" t="s">
        <v>8280</v>
      </c>
    </row>
    <row r="3968" spans="1:17" x14ac:dyDescent="0.3">
      <c r="A3968" t="s">
        <v>4729</v>
      </c>
      <c r="B3968" t="str">
        <f>"300168"</f>
        <v>300168</v>
      </c>
      <c r="C3968" t="s">
        <v>8281</v>
      </c>
      <c r="D3968" t="s">
        <v>316</v>
      </c>
      <c r="F3968">
        <v>471832565</v>
      </c>
      <c r="G3968">
        <v>641113753</v>
      </c>
      <c r="H3968">
        <v>367272486</v>
      </c>
      <c r="I3968">
        <v>91768409</v>
      </c>
      <c r="P3968">
        <v>368</v>
      </c>
      <c r="Q3968" t="s">
        <v>8282</v>
      </c>
    </row>
    <row r="3969" spans="1:17" x14ac:dyDescent="0.3">
      <c r="A3969" t="s">
        <v>4729</v>
      </c>
      <c r="B3969" t="str">
        <f>"300169"</f>
        <v>300169</v>
      </c>
      <c r="C3969" t="s">
        <v>8283</v>
      </c>
      <c r="D3969" t="s">
        <v>386</v>
      </c>
      <c r="F3969">
        <v>15759559</v>
      </c>
      <c r="G3969">
        <v>17680199</v>
      </c>
      <c r="H3969">
        <v>13131077</v>
      </c>
      <c r="I3969">
        <v>21277054</v>
      </c>
      <c r="P3969">
        <v>68</v>
      </c>
      <c r="Q3969" t="s">
        <v>8284</v>
      </c>
    </row>
    <row r="3970" spans="1:17" x14ac:dyDescent="0.3">
      <c r="A3970" t="s">
        <v>4729</v>
      </c>
      <c r="B3970" t="str">
        <f>"300170"</f>
        <v>300170</v>
      </c>
      <c r="C3970" t="s">
        <v>8285</v>
      </c>
      <c r="D3970" t="s">
        <v>316</v>
      </c>
      <c r="F3970">
        <v>223210090</v>
      </c>
      <c r="G3970">
        <v>240812431</v>
      </c>
      <c r="H3970">
        <v>273093954</v>
      </c>
      <c r="I3970">
        <v>225093638</v>
      </c>
      <c r="P3970">
        <v>3197</v>
      </c>
      <c r="Q3970" t="s">
        <v>8286</v>
      </c>
    </row>
    <row r="3971" spans="1:17" x14ac:dyDescent="0.3">
      <c r="A3971" t="s">
        <v>4729</v>
      </c>
      <c r="B3971" t="str">
        <f>"300171"</f>
        <v>300171</v>
      </c>
      <c r="C3971" t="s">
        <v>8287</v>
      </c>
      <c r="D3971" t="s">
        <v>122</v>
      </c>
      <c r="F3971">
        <v>284501060</v>
      </c>
      <c r="G3971">
        <v>156134206</v>
      </c>
      <c r="H3971">
        <v>119045391</v>
      </c>
      <c r="I3971">
        <v>97727917</v>
      </c>
      <c r="P3971">
        <v>248</v>
      </c>
      <c r="Q3971" t="s">
        <v>8288</v>
      </c>
    </row>
    <row r="3972" spans="1:17" x14ac:dyDescent="0.3">
      <c r="A3972" t="s">
        <v>4729</v>
      </c>
      <c r="B3972" t="str">
        <f>"300172"</f>
        <v>300172</v>
      </c>
      <c r="C3972" t="s">
        <v>8289</v>
      </c>
      <c r="D3972" t="s">
        <v>33</v>
      </c>
      <c r="F3972">
        <v>37842391</v>
      </c>
      <c r="G3972">
        <v>35296167</v>
      </c>
      <c r="H3972">
        <v>43623728</v>
      </c>
      <c r="I3972">
        <v>36394139</v>
      </c>
      <c r="P3972">
        <v>110</v>
      </c>
      <c r="Q3972" t="s">
        <v>8290</v>
      </c>
    </row>
    <row r="3973" spans="1:17" x14ac:dyDescent="0.3">
      <c r="A3973" t="s">
        <v>4729</v>
      </c>
      <c r="B3973" t="str">
        <f>"300173"</f>
        <v>300173</v>
      </c>
      <c r="C3973" t="s">
        <v>8291</v>
      </c>
      <c r="D3973" t="s">
        <v>2432</v>
      </c>
      <c r="F3973">
        <v>89688844</v>
      </c>
      <c r="G3973">
        <v>44590717</v>
      </c>
      <c r="H3973">
        <v>16063591</v>
      </c>
      <c r="I3973">
        <v>21921371</v>
      </c>
      <c r="P3973">
        <v>61</v>
      </c>
      <c r="Q3973" t="s">
        <v>8292</v>
      </c>
    </row>
    <row r="3974" spans="1:17" x14ac:dyDescent="0.3">
      <c r="A3974" t="s">
        <v>4729</v>
      </c>
      <c r="B3974" t="str">
        <f>"300174"</f>
        <v>300174</v>
      </c>
      <c r="C3974" t="s">
        <v>8293</v>
      </c>
      <c r="D3974" t="s">
        <v>386</v>
      </c>
      <c r="F3974">
        <v>56911937</v>
      </c>
      <c r="G3974">
        <v>26079538</v>
      </c>
      <c r="H3974">
        <v>90458795</v>
      </c>
      <c r="I3974">
        <v>118890040</v>
      </c>
      <c r="P3974">
        <v>90</v>
      </c>
      <c r="Q3974" t="s">
        <v>8294</v>
      </c>
    </row>
    <row r="3975" spans="1:17" x14ac:dyDescent="0.3">
      <c r="A3975" t="s">
        <v>4729</v>
      </c>
      <c r="B3975" t="str">
        <f>"300175"</f>
        <v>300175</v>
      </c>
      <c r="C3975" t="s">
        <v>8295</v>
      </c>
      <c r="D3975" t="s">
        <v>574</v>
      </c>
      <c r="F3975">
        <v>0</v>
      </c>
      <c r="G3975">
        <v>5436374</v>
      </c>
      <c r="H3975">
        <v>11615363</v>
      </c>
      <c r="P3975">
        <v>84</v>
      </c>
      <c r="Q3975" t="s">
        <v>8296</v>
      </c>
    </row>
    <row r="3976" spans="1:17" x14ac:dyDescent="0.3">
      <c r="A3976" t="s">
        <v>4729</v>
      </c>
      <c r="B3976" t="str">
        <f>"300176"</f>
        <v>300176</v>
      </c>
      <c r="C3976" t="s">
        <v>8297</v>
      </c>
      <c r="D3976" t="s">
        <v>348</v>
      </c>
      <c r="F3976">
        <v>45774565</v>
      </c>
      <c r="G3976">
        <v>47180318</v>
      </c>
      <c r="H3976">
        <v>74738835</v>
      </c>
      <c r="I3976">
        <v>136858609</v>
      </c>
      <c r="P3976">
        <v>151</v>
      </c>
      <c r="Q3976" t="s">
        <v>8298</v>
      </c>
    </row>
    <row r="3977" spans="1:17" x14ac:dyDescent="0.3">
      <c r="A3977" t="s">
        <v>4729</v>
      </c>
      <c r="B3977" t="str">
        <f>"300177"</f>
        <v>300177</v>
      </c>
      <c r="C3977" t="s">
        <v>8299</v>
      </c>
      <c r="D3977" t="s">
        <v>1136</v>
      </c>
      <c r="F3977">
        <v>236130823</v>
      </c>
      <c r="G3977">
        <v>214881040</v>
      </c>
      <c r="H3977">
        <v>221509987</v>
      </c>
      <c r="I3977">
        <v>143613855</v>
      </c>
      <c r="P3977">
        <v>232</v>
      </c>
      <c r="Q3977" t="s">
        <v>8300</v>
      </c>
    </row>
    <row r="3978" spans="1:17" x14ac:dyDescent="0.3">
      <c r="A3978" t="s">
        <v>4729</v>
      </c>
      <c r="B3978" t="str">
        <f>"300178"</f>
        <v>300178</v>
      </c>
      <c r="C3978" t="s">
        <v>8301</v>
      </c>
      <c r="D3978" t="s">
        <v>1120</v>
      </c>
      <c r="F3978">
        <v>14345763</v>
      </c>
      <c r="G3978">
        <v>11582594</v>
      </c>
      <c r="H3978">
        <v>9024095</v>
      </c>
      <c r="I3978">
        <v>7231980</v>
      </c>
      <c r="P3978">
        <v>152</v>
      </c>
      <c r="Q3978" t="s">
        <v>8302</v>
      </c>
    </row>
    <row r="3979" spans="1:17" x14ac:dyDescent="0.3">
      <c r="A3979" t="s">
        <v>4729</v>
      </c>
      <c r="B3979" t="str">
        <f>"300179"</f>
        <v>300179</v>
      </c>
      <c r="C3979" t="s">
        <v>8303</v>
      </c>
      <c r="D3979" t="s">
        <v>404</v>
      </c>
      <c r="F3979">
        <v>45077976</v>
      </c>
      <c r="G3979">
        <v>33863493</v>
      </c>
      <c r="H3979">
        <v>40943136</v>
      </c>
      <c r="I3979">
        <v>37011113</v>
      </c>
      <c r="P3979">
        <v>166</v>
      </c>
      <c r="Q3979" t="s">
        <v>8304</v>
      </c>
    </row>
    <row r="3980" spans="1:17" x14ac:dyDescent="0.3">
      <c r="A3980" t="s">
        <v>4729</v>
      </c>
      <c r="B3980" t="str">
        <f>"300180"</f>
        <v>300180</v>
      </c>
      <c r="C3980" t="s">
        <v>8305</v>
      </c>
      <c r="D3980" t="s">
        <v>1192</v>
      </c>
      <c r="F3980">
        <v>201029889</v>
      </c>
      <c r="G3980">
        <v>174988156</v>
      </c>
      <c r="H3980">
        <v>164156709</v>
      </c>
      <c r="I3980">
        <v>140104208</v>
      </c>
      <c r="P3980">
        <v>141</v>
      </c>
      <c r="Q3980" t="s">
        <v>8306</v>
      </c>
    </row>
    <row r="3981" spans="1:17" x14ac:dyDescent="0.3">
      <c r="A3981" t="s">
        <v>4729</v>
      </c>
      <c r="B3981" t="str">
        <f>"300181"</f>
        <v>300181</v>
      </c>
      <c r="C3981" t="s">
        <v>8307</v>
      </c>
      <c r="D3981" t="s">
        <v>188</v>
      </c>
      <c r="F3981">
        <v>45633291</v>
      </c>
      <c r="G3981">
        <v>30386918</v>
      </c>
      <c r="H3981">
        <v>27157823</v>
      </c>
      <c r="I3981">
        <v>26938732</v>
      </c>
      <c r="P3981">
        <v>174</v>
      </c>
      <c r="Q3981" t="s">
        <v>8308</v>
      </c>
    </row>
    <row r="3982" spans="1:17" x14ac:dyDescent="0.3">
      <c r="A3982" t="s">
        <v>4729</v>
      </c>
      <c r="B3982" t="str">
        <f>"300182"</f>
        <v>300182</v>
      </c>
      <c r="C3982" t="s">
        <v>8309</v>
      </c>
      <c r="D3982" t="s">
        <v>113</v>
      </c>
      <c r="F3982">
        <v>24247303</v>
      </c>
      <c r="G3982">
        <v>53405893</v>
      </c>
      <c r="H3982">
        <v>59153529</v>
      </c>
      <c r="I3982">
        <v>85695241</v>
      </c>
      <c r="P3982">
        <v>514</v>
      </c>
      <c r="Q3982" t="s">
        <v>8310</v>
      </c>
    </row>
    <row r="3983" spans="1:17" x14ac:dyDescent="0.3">
      <c r="A3983" t="s">
        <v>4729</v>
      </c>
      <c r="B3983" t="str">
        <f>"300183"</f>
        <v>300183</v>
      </c>
      <c r="C3983" t="s">
        <v>8311</v>
      </c>
      <c r="D3983" t="s">
        <v>595</v>
      </c>
      <c r="F3983">
        <v>157144690</v>
      </c>
      <c r="G3983">
        <v>146959448</v>
      </c>
      <c r="H3983">
        <v>159194263</v>
      </c>
      <c r="I3983">
        <v>190517860</v>
      </c>
      <c r="P3983">
        <v>276</v>
      </c>
      <c r="Q3983" t="s">
        <v>8312</v>
      </c>
    </row>
    <row r="3984" spans="1:17" x14ac:dyDescent="0.3">
      <c r="A3984" t="s">
        <v>4729</v>
      </c>
      <c r="B3984" t="str">
        <f>"300184"</f>
        <v>300184</v>
      </c>
      <c r="C3984" t="s">
        <v>8313</v>
      </c>
      <c r="D3984" t="s">
        <v>651</v>
      </c>
      <c r="F3984">
        <v>62251699</v>
      </c>
      <c r="G3984">
        <v>46719021</v>
      </c>
      <c r="H3984">
        <v>40160521</v>
      </c>
      <c r="I3984">
        <v>34214007</v>
      </c>
      <c r="P3984">
        <v>252</v>
      </c>
      <c r="Q3984" t="s">
        <v>8314</v>
      </c>
    </row>
    <row r="3985" spans="1:17" x14ac:dyDescent="0.3">
      <c r="A3985" t="s">
        <v>4729</v>
      </c>
      <c r="B3985" t="str">
        <f>"300185"</f>
        <v>300185</v>
      </c>
      <c r="C3985" t="s">
        <v>8315</v>
      </c>
      <c r="D3985" t="s">
        <v>950</v>
      </c>
      <c r="F3985">
        <v>152365521</v>
      </c>
      <c r="G3985">
        <v>157380412</v>
      </c>
      <c r="H3985">
        <v>112030191</v>
      </c>
      <c r="I3985">
        <v>50995085</v>
      </c>
      <c r="P3985">
        <v>201</v>
      </c>
      <c r="Q3985" t="s">
        <v>8316</v>
      </c>
    </row>
    <row r="3986" spans="1:17" x14ac:dyDescent="0.3">
      <c r="A3986" t="s">
        <v>4729</v>
      </c>
      <c r="B3986" t="str">
        <f>"300186"</f>
        <v>300186</v>
      </c>
      <c r="C3986" t="s">
        <v>8317</v>
      </c>
      <c r="P3986">
        <v>5</v>
      </c>
      <c r="Q3986" t="s">
        <v>8318</v>
      </c>
    </row>
    <row r="3987" spans="1:17" x14ac:dyDescent="0.3">
      <c r="A3987" t="s">
        <v>4729</v>
      </c>
      <c r="B3987" t="str">
        <f>"300187"</f>
        <v>300187</v>
      </c>
      <c r="C3987" t="s">
        <v>8319</v>
      </c>
      <c r="D3987" t="s">
        <v>499</v>
      </c>
      <c r="F3987">
        <v>31475489</v>
      </c>
      <c r="G3987">
        <v>16033147</v>
      </c>
      <c r="H3987">
        <v>22590316</v>
      </c>
      <c r="I3987">
        <v>30870832</v>
      </c>
      <c r="P3987">
        <v>110</v>
      </c>
      <c r="Q3987" t="s">
        <v>8320</v>
      </c>
    </row>
    <row r="3988" spans="1:17" x14ac:dyDescent="0.3">
      <c r="A3988" t="s">
        <v>4729</v>
      </c>
      <c r="B3988" t="str">
        <f>"300188"</f>
        <v>300188</v>
      </c>
      <c r="C3988" t="s">
        <v>8321</v>
      </c>
      <c r="D3988" t="s">
        <v>945</v>
      </c>
      <c r="F3988">
        <v>448704585</v>
      </c>
      <c r="G3988">
        <v>364984509</v>
      </c>
      <c r="H3988">
        <v>293172951</v>
      </c>
      <c r="I3988">
        <v>223666196</v>
      </c>
      <c r="P3988">
        <v>557</v>
      </c>
      <c r="Q3988" t="s">
        <v>8322</v>
      </c>
    </row>
    <row r="3989" spans="1:17" x14ac:dyDescent="0.3">
      <c r="A3989" t="s">
        <v>4729</v>
      </c>
      <c r="B3989" t="str">
        <f>"300189"</f>
        <v>300189</v>
      </c>
      <c r="C3989" t="s">
        <v>8323</v>
      </c>
      <c r="D3989" t="s">
        <v>706</v>
      </c>
      <c r="F3989">
        <v>13370366</v>
      </c>
      <c r="G3989">
        <v>4252995</v>
      </c>
      <c r="H3989">
        <v>5852520</v>
      </c>
      <c r="I3989">
        <v>7069254</v>
      </c>
      <c r="P3989">
        <v>111</v>
      </c>
      <c r="Q3989" t="s">
        <v>8324</v>
      </c>
    </row>
    <row r="3990" spans="1:17" x14ac:dyDescent="0.3">
      <c r="A3990" t="s">
        <v>4729</v>
      </c>
      <c r="B3990" t="str">
        <f>"300190"</f>
        <v>300190</v>
      </c>
      <c r="C3990" t="s">
        <v>8325</v>
      </c>
      <c r="D3990" t="s">
        <v>3575</v>
      </c>
      <c r="F3990">
        <v>116859120</v>
      </c>
      <c r="G3990">
        <v>110527911</v>
      </c>
      <c r="H3990">
        <v>90054094</v>
      </c>
      <c r="I3990">
        <v>67234115</v>
      </c>
      <c r="P3990">
        <v>233</v>
      </c>
      <c r="Q3990" t="s">
        <v>8326</v>
      </c>
    </row>
    <row r="3991" spans="1:17" x14ac:dyDescent="0.3">
      <c r="A3991" t="s">
        <v>4729</v>
      </c>
      <c r="B3991" t="str">
        <f>"300191"</f>
        <v>300191</v>
      </c>
      <c r="C3991" t="s">
        <v>8327</v>
      </c>
      <c r="D3991" t="s">
        <v>762</v>
      </c>
      <c r="F3991">
        <v>0</v>
      </c>
      <c r="G3991">
        <v>0</v>
      </c>
      <c r="P3991">
        <v>75</v>
      </c>
      <c r="Q3991" t="s">
        <v>8328</v>
      </c>
    </row>
    <row r="3992" spans="1:17" x14ac:dyDescent="0.3">
      <c r="A3992" t="s">
        <v>4729</v>
      </c>
      <c r="B3992" t="str">
        <f>"300192"</f>
        <v>300192</v>
      </c>
      <c r="C3992" t="s">
        <v>8329</v>
      </c>
      <c r="D3992" t="s">
        <v>1336</v>
      </c>
      <c r="F3992">
        <v>16809926</v>
      </c>
      <c r="G3992">
        <v>14970242</v>
      </c>
      <c r="H3992">
        <v>14645325</v>
      </c>
      <c r="I3992">
        <v>18778704</v>
      </c>
      <c r="P3992">
        <v>182</v>
      </c>
      <c r="Q3992" t="s">
        <v>8330</v>
      </c>
    </row>
    <row r="3993" spans="1:17" x14ac:dyDescent="0.3">
      <c r="A3993" t="s">
        <v>4729</v>
      </c>
      <c r="B3993" t="str">
        <f>"300193"</f>
        <v>300193</v>
      </c>
      <c r="C3993" t="s">
        <v>8331</v>
      </c>
      <c r="D3993" t="s">
        <v>560</v>
      </c>
      <c r="F3993">
        <v>69167322</v>
      </c>
      <c r="G3993">
        <v>59060886</v>
      </c>
      <c r="H3993">
        <v>59038700</v>
      </c>
      <c r="I3993">
        <v>54191242</v>
      </c>
      <c r="P3993">
        <v>154</v>
      </c>
      <c r="Q3993" t="s">
        <v>8332</v>
      </c>
    </row>
    <row r="3994" spans="1:17" x14ac:dyDescent="0.3">
      <c r="A3994" t="s">
        <v>4729</v>
      </c>
      <c r="B3994" t="str">
        <f>"300194"</f>
        <v>300194</v>
      </c>
      <c r="C3994" t="s">
        <v>8333</v>
      </c>
      <c r="D3994" t="s">
        <v>143</v>
      </c>
      <c r="F3994">
        <v>120383270</v>
      </c>
      <c r="G3994">
        <v>86944092</v>
      </c>
      <c r="H3994">
        <v>108022180</v>
      </c>
      <c r="I3994">
        <v>119760732</v>
      </c>
      <c r="P3994">
        <v>149</v>
      </c>
      <c r="Q3994" t="s">
        <v>8334</v>
      </c>
    </row>
    <row r="3995" spans="1:17" x14ac:dyDescent="0.3">
      <c r="A3995" t="s">
        <v>4729</v>
      </c>
      <c r="B3995" t="str">
        <f>"300195"</f>
        <v>300195</v>
      </c>
      <c r="C3995" t="s">
        <v>8335</v>
      </c>
      <c r="D3995" t="s">
        <v>3415</v>
      </c>
      <c r="F3995">
        <v>69273108</v>
      </c>
      <c r="G3995">
        <v>79564458</v>
      </c>
      <c r="H3995">
        <v>81802290</v>
      </c>
      <c r="I3995">
        <v>55735955</v>
      </c>
      <c r="P3995">
        <v>90</v>
      </c>
      <c r="Q3995" t="s">
        <v>8336</v>
      </c>
    </row>
    <row r="3996" spans="1:17" x14ac:dyDescent="0.3">
      <c r="A3996" t="s">
        <v>4729</v>
      </c>
      <c r="B3996" t="str">
        <f>"300196"</f>
        <v>300196</v>
      </c>
      <c r="C3996" t="s">
        <v>8337</v>
      </c>
      <c r="D3996" t="s">
        <v>411</v>
      </c>
      <c r="F3996">
        <v>103301573</v>
      </c>
      <c r="G3996">
        <v>83706875</v>
      </c>
      <c r="H3996">
        <v>91296850</v>
      </c>
      <c r="I3996">
        <v>83361090</v>
      </c>
      <c r="P3996">
        <v>232</v>
      </c>
      <c r="Q3996" t="s">
        <v>8338</v>
      </c>
    </row>
    <row r="3997" spans="1:17" x14ac:dyDescent="0.3">
      <c r="A3997" t="s">
        <v>4729</v>
      </c>
      <c r="B3997" t="str">
        <f>"300197"</f>
        <v>300197</v>
      </c>
      <c r="C3997" t="s">
        <v>8339</v>
      </c>
      <c r="D3997" t="s">
        <v>2417</v>
      </c>
      <c r="F3997">
        <v>124649503</v>
      </c>
      <c r="G3997">
        <v>151771669</v>
      </c>
      <c r="H3997">
        <v>218491071</v>
      </c>
      <c r="I3997">
        <v>294797319</v>
      </c>
      <c r="P3997">
        <v>356</v>
      </c>
      <c r="Q3997" t="s">
        <v>8340</v>
      </c>
    </row>
    <row r="3998" spans="1:17" x14ac:dyDescent="0.3">
      <c r="A3998" t="s">
        <v>4729</v>
      </c>
      <c r="B3998" t="str">
        <f>"300198"</f>
        <v>300198</v>
      </c>
      <c r="C3998" t="s">
        <v>8341</v>
      </c>
      <c r="D3998" t="s">
        <v>3347</v>
      </c>
      <c r="F3998">
        <v>28431737</v>
      </c>
      <c r="G3998">
        <v>31452146</v>
      </c>
      <c r="H3998">
        <v>31039032</v>
      </c>
      <c r="I3998">
        <v>29891021</v>
      </c>
      <c r="P3998">
        <v>82</v>
      </c>
      <c r="Q3998" t="s">
        <v>8342</v>
      </c>
    </row>
    <row r="3999" spans="1:17" x14ac:dyDescent="0.3">
      <c r="A3999" t="s">
        <v>4729</v>
      </c>
      <c r="B3999" t="str">
        <f>"300199"</f>
        <v>300199</v>
      </c>
      <c r="C3999" t="s">
        <v>8343</v>
      </c>
      <c r="D3999" t="s">
        <v>143</v>
      </c>
      <c r="F3999">
        <v>105679384</v>
      </c>
      <c r="G3999">
        <v>143926868</v>
      </c>
      <c r="H3999">
        <v>180311315</v>
      </c>
      <c r="I3999">
        <v>94894166</v>
      </c>
      <c r="P3999">
        <v>242</v>
      </c>
      <c r="Q3999" t="s">
        <v>8344</v>
      </c>
    </row>
    <row r="4000" spans="1:17" x14ac:dyDescent="0.3">
      <c r="A4000" t="s">
        <v>4729</v>
      </c>
      <c r="B4000" t="str">
        <f>"300200"</f>
        <v>300200</v>
      </c>
      <c r="C4000" t="s">
        <v>8345</v>
      </c>
      <c r="D4000" t="s">
        <v>528</v>
      </c>
      <c r="F4000">
        <v>63556847</v>
      </c>
      <c r="G4000">
        <v>52752548</v>
      </c>
      <c r="H4000">
        <v>54758757</v>
      </c>
      <c r="I4000">
        <v>51235080</v>
      </c>
      <c r="P4000">
        <v>160</v>
      </c>
      <c r="Q4000" t="s">
        <v>8346</v>
      </c>
    </row>
    <row r="4001" spans="1:17" x14ac:dyDescent="0.3">
      <c r="A4001" t="s">
        <v>4729</v>
      </c>
      <c r="B4001" t="str">
        <f>"300201"</f>
        <v>300201</v>
      </c>
      <c r="C4001" t="s">
        <v>8347</v>
      </c>
      <c r="D4001" t="s">
        <v>83</v>
      </c>
      <c r="F4001">
        <v>66230578</v>
      </c>
      <c r="G4001">
        <v>88999750</v>
      </c>
      <c r="H4001">
        <v>67075891</v>
      </c>
      <c r="I4001">
        <v>93943233</v>
      </c>
      <c r="P4001">
        <v>77</v>
      </c>
      <c r="Q4001" t="s">
        <v>8348</v>
      </c>
    </row>
    <row r="4002" spans="1:17" x14ac:dyDescent="0.3">
      <c r="A4002" t="s">
        <v>4729</v>
      </c>
      <c r="B4002" t="str">
        <f>"300202"</f>
        <v>300202</v>
      </c>
      <c r="C4002" t="s">
        <v>8349</v>
      </c>
      <c r="D4002" t="s">
        <v>236</v>
      </c>
      <c r="F4002">
        <v>48283248</v>
      </c>
      <c r="G4002">
        <v>50617311</v>
      </c>
      <c r="H4002">
        <v>48458914</v>
      </c>
      <c r="I4002">
        <v>53966747</v>
      </c>
      <c r="P4002">
        <v>2978</v>
      </c>
      <c r="Q4002" t="s">
        <v>8350</v>
      </c>
    </row>
    <row r="4003" spans="1:17" x14ac:dyDescent="0.3">
      <c r="A4003" t="s">
        <v>4729</v>
      </c>
      <c r="B4003" t="str">
        <f>"300203"</f>
        <v>300203</v>
      </c>
      <c r="C4003" t="s">
        <v>8351</v>
      </c>
      <c r="D4003" t="s">
        <v>3575</v>
      </c>
      <c r="F4003">
        <v>561800326</v>
      </c>
      <c r="G4003">
        <v>489424754</v>
      </c>
      <c r="H4003">
        <v>323436607</v>
      </c>
      <c r="I4003">
        <v>289032427</v>
      </c>
      <c r="P4003">
        <v>431</v>
      </c>
      <c r="Q4003" t="s">
        <v>8352</v>
      </c>
    </row>
    <row r="4004" spans="1:17" x14ac:dyDescent="0.3">
      <c r="A4004" t="s">
        <v>4729</v>
      </c>
      <c r="B4004" t="str">
        <f>"300204"</f>
        <v>300204</v>
      </c>
      <c r="C4004" t="s">
        <v>8353</v>
      </c>
      <c r="D4004" t="s">
        <v>1379</v>
      </c>
      <c r="F4004">
        <v>362505937</v>
      </c>
      <c r="G4004">
        <v>243679306</v>
      </c>
      <c r="H4004">
        <v>160735743</v>
      </c>
      <c r="I4004">
        <v>121418726</v>
      </c>
      <c r="P4004">
        <v>202</v>
      </c>
      <c r="Q4004" t="s">
        <v>8354</v>
      </c>
    </row>
    <row r="4005" spans="1:17" x14ac:dyDescent="0.3">
      <c r="A4005" t="s">
        <v>4729</v>
      </c>
      <c r="B4005" t="str">
        <f>"300205"</f>
        <v>300205</v>
      </c>
      <c r="C4005" t="s">
        <v>8355</v>
      </c>
      <c r="D4005" t="s">
        <v>786</v>
      </c>
      <c r="F4005">
        <v>190831899</v>
      </c>
      <c r="G4005">
        <v>185114902</v>
      </c>
      <c r="H4005">
        <v>221916956</v>
      </c>
      <c r="I4005">
        <v>182330033</v>
      </c>
      <c r="P4005">
        <v>222</v>
      </c>
      <c r="Q4005" t="s">
        <v>8356</v>
      </c>
    </row>
    <row r="4006" spans="1:17" x14ac:dyDescent="0.3">
      <c r="A4006" t="s">
        <v>4729</v>
      </c>
      <c r="B4006" t="str">
        <f>"300206"</f>
        <v>300206</v>
      </c>
      <c r="C4006" t="s">
        <v>8357</v>
      </c>
      <c r="D4006" t="s">
        <v>122</v>
      </c>
      <c r="F4006">
        <v>252253177</v>
      </c>
      <c r="G4006">
        <v>218045857</v>
      </c>
      <c r="H4006">
        <v>194613322</v>
      </c>
      <c r="I4006">
        <v>177876601</v>
      </c>
      <c r="P4006">
        <v>426</v>
      </c>
      <c r="Q4006" t="s">
        <v>8358</v>
      </c>
    </row>
    <row r="4007" spans="1:17" x14ac:dyDescent="0.3">
      <c r="A4007" t="s">
        <v>4729</v>
      </c>
      <c r="B4007" t="str">
        <f>"300207"</f>
        <v>300207</v>
      </c>
      <c r="C4007" t="s">
        <v>8359</v>
      </c>
      <c r="D4007" t="s">
        <v>359</v>
      </c>
      <c r="F4007">
        <v>2326672632</v>
      </c>
      <c r="G4007">
        <v>1806287309</v>
      </c>
      <c r="H4007">
        <v>1522671234</v>
      </c>
      <c r="I4007">
        <v>1059930908</v>
      </c>
      <c r="P4007">
        <v>1012</v>
      </c>
      <c r="Q4007" t="s">
        <v>8360</v>
      </c>
    </row>
    <row r="4008" spans="1:17" x14ac:dyDescent="0.3">
      <c r="A4008" t="s">
        <v>4729</v>
      </c>
      <c r="B4008" t="str">
        <f>"300208"</f>
        <v>300208</v>
      </c>
      <c r="C4008" t="s">
        <v>8361</v>
      </c>
      <c r="D4008" t="s">
        <v>110</v>
      </c>
      <c r="F4008">
        <v>3534440</v>
      </c>
      <c r="G4008">
        <v>4618345</v>
      </c>
      <c r="H4008">
        <v>8760243</v>
      </c>
      <c r="I4008">
        <v>30221318</v>
      </c>
      <c r="P4008">
        <v>144</v>
      </c>
      <c r="Q4008" t="s">
        <v>8362</v>
      </c>
    </row>
    <row r="4009" spans="1:17" x14ac:dyDescent="0.3">
      <c r="A4009" t="s">
        <v>4729</v>
      </c>
      <c r="B4009" t="str">
        <f>"300209"</f>
        <v>300209</v>
      </c>
      <c r="C4009" t="s">
        <v>8363</v>
      </c>
      <c r="D4009" t="s">
        <v>945</v>
      </c>
      <c r="F4009">
        <v>22899393</v>
      </c>
      <c r="G4009">
        <v>59170291</v>
      </c>
      <c r="H4009">
        <v>44269177</v>
      </c>
      <c r="I4009">
        <v>44836312</v>
      </c>
      <c r="P4009">
        <v>143</v>
      </c>
      <c r="Q4009" t="s">
        <v>8364</v>
      </c>
    </row>
    <row r="4010" spans="1:17" x14ac:dyDescent="0.3">
      <c r="A4010" t="s">
        <v>4729</v>
      </c>
      <c r="B4010" t="str">
        <f>"300210"</f>
        <v>300210</v>
      </c>
      <c r="C4010" t="s">
        <v>8365</v>
      </c>
      <c r="D4010" t="s">
        <v>1070</v>
      </c>
      <c r="F4010">
        <v>23747781</v>
      </c>
      <c r="G4010">
        <v>23430159</v>
      </c>
      <c r="H4010">
        <v>23816955</v>
      </c>
      <c r="I4010">
        <v>12023134</v>
      </c>
      <c r="P4010">
        <v>50</v>
      </c>
      <c r="Q4010" t="s">
        <v>8366</v>
      </c>
    </row>
    <row r="4011" spans="1:17" x14ac:dyDescent="0.3">
      <c r="A4011" t="s">
        <v>4729</v>
      </c>
      <c r="B4011" t="str">
        <f>"300211"</f>
        <v>300211</v>
      </c>
      <c r="C4011" t="s">
        <v>8367</v>
      </c>
      <c r="D4011" t="s">
        <v>654</v>
      </c>
      <c r="F4011">
        <v>26192707</v>
      </c>
      <c r="G4011">
        <v>7090469</v>
      </c>
      <c r="H4011">
        <v>7699836</v>
      </c>
      <c r="I4011">
        <v>8284788</v>
      </c>
      <c r="P4011">
        <v>63</v>
      </c>
      <c r="Q4011" t="s">
        <v>8368</v>
      </c>
    </row>
    <row r="4012" spans="1:17" x14ac:dyDescent="0.3">
      <c r="A4012" t="s">
        <v>4729</v>
      </c>
      <c r="B4012" t="str">
        <f>"300212"</f>
        <v>300212</v>
      </c>
      <c r="C4012" t="s">
        <v>8369</v>
      </c>
      <c r="D4012" t="s">
        <v>316</v>
      </c>
      <c r="F4012">
        <v>90578647</v>
      </c>
      <c r="G4012">
        <v>87656396</v>
      </c>
      <c r="H4012">
        <v>63188427</v>
      </c>
      <c r="I4012">
        <v>107589726</v>
      </c>
      <c r="P4012">
        <v>389</v>
      </c>
      <c r="Q4012" t="s">
        <v>8370</v>
      </c>
    </row>
    <row r="4013" spans="1:17" x14ac:dyDescent="0.3">
      <c r="A4013" t="s">
        <v>4729</v>
      </c>
      <c r="B4013" t="str">
        <f>"300213"</f>
        <v>300213</v>
      </c>
      <c r="C4013" t="s">
        <v>8371</v>
      </c>
      <c r="D4013" t="s">
        <v>595</v>
      </c>
      <c r="F4013">
        <v>110423848</v>
      </c>
      <c r="G4013">
        <v>88418761</v>
      </c>
      <c r="H4013">
        <v>99292487</v>
      </c>
      <c r="I4013">
        <v>86846528</v>
      </c>
      <c r="P4013">
        <v>187</v>
      </c>
      <c r="Q4013" t="s">
        <v>8372</v>
      </c>
    </row>
    <row r="4014" spans="1:17" x14ac:dyDescent="0.3">
      <c r="A4014" t="s">
        <v>4729</v>
      </c>
      <c r="B4014" t="str">
        <f>"300214"</f>
        <v>300214</v>
      </c>
      <c r="C4014" t="s">
        <v>8373</v>
      </c>
      <c r="D4014" t="s">
        <v>1192</v>
      </c>
      <c r="F4014">
        <v>24492712</v>
      </c>
      <c r="G4014">
        <v>14196824</v>
      </c>
      <c r="H4014">
        <v>11511989</v>
      </c>
      <c r="I4014">
        <v>10069807</v>
      </c>
      <c r="P4014">
        <v>107</v>
      </c>
      <c r="Q4014" t="s">
        <v>8374</v>
      </c>
    </row>
    <row r="4015" spans="1:17" x14ac:dyDescent="0.3">
      <c r="A4015" t="s">
        <v>4729</v>
      </c>
      <c r="B4015" t="str">
        <f>"300215"</f>
        <v>300215</v>
      </c>
      <c r="C4015" t="s">
        <v>8375</v>
      </c>
      <c r="D4015" t="s">
        <v>2510</v>
      </c>
      <c r="F4015">
        <v>79134212</v>
      </c>
      <c r="G4015">
        <v>76821771</v>
      </c>
      <c r="H4015">
        <v>80875782</v>
      </c>
      <c r="I4015">
        <v>70790919</v>
      </c>
      <c r="P4015">
        <v>178</v>
      </c>
      <c r="Q4015" t="s">
        <v>8376</v>
      </c>
    </row>
    <row r="4016" spans="1:17" x14ac:dyDescent="0.3">
      <c r="A4016" t="s">
        <v>4729</v>
      </c>
      <c r="B4016" t="str">
        <f>"300216"</f>
        <v>300216</v>
      </c>
      <c r="C4016" t="s">
        <v>8377</v>
      </c>
      <c r="H4016">
        <v>13669444</v>
      </c>
      <c r="I4016">
        <v>34774606</v>
      </c>
      <c r="P4016">
        <v>53</v>
      </c>
      <c r="Q4016" t="s">
        <v>8378</v>
      </c>
    </row>
    <row r="4017" spans="1:17" x14ac:dyDescent="0.3">
      <c r="A4017" t="s">
        <v>4729</v>
      </c>
      <c r="B4017" t="str">
        <f>"300217"</f>
        <v>300217</v>
      </c>
      <c r="C4017" t="s">
        <v>8379</v>
      </c>
      <c r="D4017" t="s">
        <v>1253</v>
      </c>
      <c r="F4017">
        <v>110533484</v>
      </c>
      <c r="G4017">
        <v>84725833</v>
      </c>
      <c r="H4017">
        <v>81878567</v>
      </c>
      <c r="I4017">
        <v>77685311</v>
      </c>
      <c r="P4017">
        <v>160</v>
      </c>
      <c r="Q4017" t="s">
        <v>8380</v>
      </c>
    </row>
    <row r="4018" spans="1:17" x14ac:dyDescent="0.3">
      <c r="A4018" t="s">
        <v>4729</v>
      </c>
      <c r="B4018" t="str">
        <f>"300218"</f>
        <v>300218</v>
      </c>
      <c r="C4018" t="s">
        <v>8381</v>
      </c>
      <c r="D4018" t="s">
        <v>1192</v>
      </c>
      <c r="F4018">
        <v>127704651</v>
      </c>
      <c r="G4018">
        <v>84579896</v>
      </c>
      <c r="H4018">
        <v>86275598</v>
      </c>
      <c r="I4018">
        <v>82075549</v>
      </c>
      <c r="P4018">
        <v>108</v>
      </c>
      <c r="Q4018" t="s">
        <v>8382</v>
      </c>
    </row>
    <row r="4019" spans="1:17" x14ac:dyDescent="0.3">
      <c r="A4019" t="s">
        <v>4729</v>
      </c>
      <c r="B4019" t="str">
        <f>"300219"</f>
        <v>300219</v>
      </c>
      <c r="C4019" t="s">
        <v>8383</v>
      </c>
      <c r="D4019" t="s">
        <v>803</v>
      </c>
      <c r="F4019">
        <v>218755761</v>
      </c>
      <c r="G4019">
        <v>183903372</v>
      </c>
      <c r="H4019">
        <v>173258319</v>
      </c>
      <c r="I4019">
        <v>178772498</v>
      </c>
      <c r="P4019">
        <v>137</v>
      </c>
      <c r="Q4019" t="s">
        <v>8384</v>
      </c>
    </row>
    <row r="4020" spans="1:17" x14ac:dyDescent="0.3">
      <c r="A4020" t="s">
        <v>4729</v>
      </c>
      <c r="B4020" t="str">
        <f>"300220"</f>
        <v>300220</v>
      </c>
      <c r="C4020" t="s">
        <v>8385</v>
      </c>
      <c r="D4020" t="s">
        <v>3811</v>
      </c>
      <c r="F4020">
        <v>13877571</v>
      </c>
      <c r="G4020">
        <v>11772330</v>
      </c>
      <c r="H4020">
        <v>14730884</v>
      </c>
      <c r="I4020">
        <v>12369532</v>
      </c>
      <c r="P4020">
        <v>91</v>
      </c>
      <c r="Q4020" t="s">
        <v>8386</v>
      </c>
    </row>
    <row r="4021" spans="1:17" x14ac:dyDescent="0.3">
      <c r="A4021" t="s">
        <v>4729</v>
      </c>
      <c r="B4021" t="str">
        <f>"300221"</f>
        <v>300221</v>
      </c>
      <c r="C4021" t="s">
        <v>8387</v>
      </c>
      <c r="D4021" t="s">
        <v>341</v>
      </c>
      <c r="F4021">
        <v>105850363</v>
      </c>
      <c r="G4021">
        <v>86922205</v>
      </c>
      <c r="H4021">
        <v>86087024</v>
      </c>
      <c r="I4021">
        <v>109948736</v>
      </c>
      <c r="P4021">
        <v>173</v>
      </c>
      <c r="Q4021" t="s">
        <v>8388</v>
      </c>
    </row>
    <row r="4022" spans="1:17" x14ac:dyDescent="0.3">
      <c r="A4022" t="s">
        <v>4729</v>
      </c>
      <c r="B4022" t="str">
        <f>"300222"</f>
        <v>300222</v>
      </c>
      <c r="C4022" t="s">
        <v>8389</v>
      </c>
      <c r="D4022" t="s">
        <v>610</v>
      </c>
      <c r="F4022">
        <v>221711051</v>
      </c>
      <c r="G4022">
        <v>193406616</v>
      </c>
      <c r="H4022">
        <v>233854967</v>
      </c>
      <c r="I4022">
        <v>190720024</v>
      </c>
      <c r="P4022">
        <v>221</v>
      </c>
      <c r="Q4022" t="s">
        <v>8390</v>
      </c>
    </row>
    <row r="4023" spans="1:17" x14ac:dyDescent="0.3">
      <c r="A4023" t="s">
        <v>4729</v>
      </c>
      <c r="B4023" t="str">
        <f>"300223"</f>
        <v>300223</v>
      </c>
      <c r="C4023" t="s">
        <v>8391</v>
      </c>
      <c r="D4023" t="s">
        <v>461</v>
      </c>
      <c r="F4023">
        <v>521200919</v>
      </c>
      <c r="G4023">
        <v>333158896</v>
      </c>
      <c r="H4023">
        <v>62015627</v>
      </c>
      <c r="I4023">
        <v>73964380</v>
      </c>
      <c r="P4023">
        <v>612</v>
      </c>
      <c r="Q4023" t="s">
        <v>8392</v>
      </c>
    </row>
    <row r="4024" spans="1:17" x14ac:dyDescent="0.3">
      <c r="A4024" t="s">
        <v>4729</v>
      </c>
      <c r="B4024" t="str">
        <f>"300224"</f>
        <v>300224</v>
      </c>
      <c r="C4024" t="s">
        <v>8393</v>
      </c>
      <c r="D4024" t="s">
        <v>808</v>
      </c>
      <c r="F4024">
        <v>178808816</v>
      </c>
      <c r="G4024">
        <v>141708559</v>
      </c>
      <c r="H4024">
        <v>126419236</v>
      </c>
      <c r="I4024">
        <v>100502045</v>
      </c>
      <c r="P4024">
        <v>198</v>
      </c>
      <c r="Q4024" t="s">
        <v>8394</v>
      </c>
    </row>
    <row r="4025" spans="1:17" x14ac:dyDescent="0.3">
      <c r="A4025" t="s">
        <v>4729</v>
      </c>
      <c r="B4025" t="str">
        <f>"300225"</f>
        <v>300225</v>
      </c>
      <c r="C4025" t="s">
        <v>8395</v>
      </c>
      <c r="D4025" t="s">
        <v>2585</v>
      </c>
      <c r="F4025">
        <v>40372364</v>
      </c>
      <c r="G4025">
        <v>31046569</v>
      </c>
      <c r="H4025">
        <v>28672790</v>
      </c>
      <c r="I4025">
        <v>26594782</v>
      </c>
      <c r="P4025">
        <v>94</v>
      </c>
      <c r="Q4025" t="s">
        <v>8396</v>
      </c>
    </row>
    <row r="4026" spans="1:17" x14ac:dyDescent="0.3">
      <c r="A4026" t="s">
        <v>4729</v>
      </c>
      <c r="B4026" t="str">
        <f>"300226"</f>
        <v>300226</v>
      </c>
      <c r="C4026" t="s">
        <v>8397</v>
      </c>
      <c r="D4026" t="s">
        <v>945</v>
      </c>
      <c r="F4026">
        <v>105272030</v>
      </c>
      <c r="G4026">
        <v>88290225</v>
      </c>
      <c r="H4026">
        <v>84087600</v>
      </c>
      <c r="I4026">
        <v>49682092</v>
      </c>
      <c r="P4026">
        <v>253</v>
      </c>
      <c r="Q4026" t="s">
        <v>8398</v>
      </c>
    </row>
    <row r="4027" spans="1:17" x14ac:dyDescent="0.3">
      <c r="A4027" t="s">
        <v>4729</v>
      </c>
      <c r="B4027" t="str">
        <f>"300227"</f>
        <v>300227</v>
      </c>
      <c r="C4027" t="s">
        <v>8399</v>
      </c>
      <c r="D4027" t="s">
        <v>3811</v>
      </c>
      <c r="F4027">
        <v>76410909</v>
      </c>
      <c r="G4027">
        <v>62330680</v>
      </c>
      <c r="H4027">
        <v>66609514</v>
      </c>
      <c r="I4027">
        <v>41271504</v>
      </c>
      <c r="P4027">
        <v>220</v>
      </c>
      <c r="Q4027" t="s">
        <v>8400</v>
      </c>
    </row>
    <row r="4028" spans="1:17" x14ac:dyDescent="0.3">
      <c r="A4028" t="s">
        <v>4729</v>
      </c>
      <c r="B4028" t="str">
        <f>"300228"</f>
        <v>300228</v>
      </c>
      <c r="C4028" t="s">
        <v>8401</v>
      </c>
      <c r="D4028" t="s">
        <v>274</v>
      </c>
      <c r="F4028">
        <v>77538854</v>
      </c>
      <c r="G4028">
        <v>79950069</v>
      </c>
      <c r="H4028">
        <v>80344342</v>
      </c>
      <c r="I4028">
        <v>71648849</v>
      </c>
      <c r="P4028">
        <v>128</v>
      </c>
      <c r="Q4028" t="s">
        <v>8402</v>
      </c>
    </row>
    <row r="4029" spans="1:17" x14ac:dyDescent="0.3">
      <c r="A4029" t="s">
        <v>4729</v>
      </c>
      <c r="B4029" t="str">
        <f>"300229"</f>
        <v>300229</v>
      </c>
      <c r="C4029" t="s">
        <v>8403</v>
      </c>
      <c r="D4029" t="s">
        <v>945</v>
      </c>
      <c r="F4029">
        <v>98036312</v>
      </c>
      <c r="G4029">
        <v>82032818</v>
      </c>
      <c r="H4029">
        <v>91373888</v>
      </c>
      <c r="I4029">
        <v>99876863</v>
      </c>
      <c r="P4029">
        <v>209</v>
      </c>
      <c r="Q4029" t="s">
        <v>8404</v>
      </c>
    </row>
    <row r="4030" spans="1:17" x14ac:dyDescent="0.3">
      <c r="A4030" t="s">
        <v>4729</v>
      </c>
      <c r="B4030" t="str">
        <f>"300230"</f>
        <v>300230</v>
      </c>
      <c r="C4030" t="s">
        <v>8405</v>
      </c>
      <c r="D4030" t="s">
        <v>1192</v>
      </c>
      <c r="F4030">
        <v>115909216</v>
      </c>
      <c r="G4030">
        <v>121736097</v>
      </c>
      <c r="H4030">
        <v>106476209</v>
      </c>
      <c r="I4030">
        <v>110844445</v>
      </c>
      <c r="P4030">
        <v>169</v>
      </c>
      <c r="Q4030" t="s">
        <v>8406</v>
      </c>
    </row>
    <row r="4031" spans="1:17" x14ac:dyDescent="0.3">
      <c r="A4031" t="s">
        <v>4729</v>
      </c>
      <c r="B4031" t="str">
        <f>"300231"</f>
        <v>300231</v>
      </c>
      <c r="C4031" t="s">
        <v>8407</v>
      </c>
      <c r="D4031" t="s">
        <v>316</v>
      </c>
      <c r="F4031">
        <v>85442814</v>
      </c>
      <c r="G4031">
        <v>58396306</v>
      </c>
      <c r="H4031">
        <v>51207795</v>
      </c>
      <c r="I4031">
        <v>45236057</v>
      </c>
      <c r="P4031">
        <v>264</v>
      </c>
      <c r="Q4031" t="s">
        <v>8408</v>
      </c>
    </row>
    <row r="4032" spans="1:17" x14ac:dyDescent="0.3">
      <c r="A4032" t="s">
        <v>4729</v>
      </c>
      <c r="B4032" t="str">
        <f>"300232"</f>
        <v>300232</v>
      </c>
      <c r="C4032" t="s">
        <v>8409</v>
      </c>
      <c r="D4032" t="s">
        <v>803</v>
      </c>
      <c r="F4032">
        <v>304461049</v>
      </c>
      <c r="G4032">
        <v>223958092</v>
      </c>
      <c r="H4032">
        <v>234745728</v>
      </c>
      <c r="I4032">
        <v>206555933</v>
      </c>
      <c r="P4032">
        <v>922</v>
      </c>
      <c r="Q4032" t="s">
        <v>8410</v>
      </c>
    </row>
    <row r="4033" spans="1:17" x14ac:dyDescent="0.3">
      <c r="A4033" t="s">
        <v>4729</v>
      </c>
      <c r="B4033" t="str">
        <f>"300233"</f>
        <v>300233</v>
      </c>
      <c r="C4033" t="s">
        <v>8411</v>
      </c>
      <c r="D4033" t="s">
        <v>143</v>
      </c>
      <c r="F4033">
        <v>178338406</v>
      </c>
      <c r="G4033">
        <v>191909507</v>
      </c>
      <c r="H4033">
        <v>263916394</v>
      </c>
      <c r="I4033">
        <v>218107100</v>
      </c>
      <c r="P4033">
        <v>202</v>
      </c>
      <c r="Q4033" t="s">
        <v>8412</v>
      </c>
    </row>
    <row r="4034" spans="1:17" x14ac:dyDescent="0.3">
      <c r="A4034" t="s">
        <v>4729</v>
      </c>
      <c r="B4034" t="str">
        <f>"300234"</f>
        <v>300234</v>
      </c>
      <c r="C4034" t="s">
        <v>8413</v>
      </c>
      <c r="D4034" t="s">
        <v>722</v>
      </c>
      <c r="F4034">
        <v>22476383</v>
      </c>
      <c r="G4034">
        <v>19187832</v>
      </c>
      <c r="H4034">
        <v>22609086</v>
      </c>
      <c r="I4034">
        <v>18029350</v>
      </c>
      <c r="P4034">
        <v>111</v>
      </c>
      <c r="Q4034" t="s">
        <v>8414</v>
      </c>
    </row>
    <row r="4035" spans="1:17" x14ac:dyDescent="0.3">
      <c r="A4035" t="s">
        <v>4729</v>
      </c>
      <c r="B4035" t="str">
        <f>"300235"</f>
        <v>300235</v>
      </c>
      <c r="C4035" t="s">
        <v>8415</v>
      </c>
      <c r="D4035" t="s">
        <v>945</v>
      </c>
      <c r="F4035">
        <v>33705282</v>
      </c>
      <c r="G4035">
        <v>26905681</v>
      </c>
      <c r="H4035">
        <v>24646512</v>
      </c>
      <c r="I4035">
        <v>29817735</v>
      </c>
      <c r="P4035">
        <v>114</v>
      </c>
      <c r="Q4035" t="s">
        <v>8416</v>
      </c>
    </row>
    <row r="4036" spans="1:17" x14ac:dyDescent="0.3">
      <c r="A4036" t="s">
        <v>4729</v>
      </c>
      <c r="B4036" t="str">
        <f>"300236"</f>
        <v>300236</v>
      </c>
      <c r="C4036" t="s">
        <v>8417</v>
      </c>
      <c r="D4036" t="s">
        <v>2408</v>
      </c>
      <c r="F4036">
        <v>237043318</v>
      </c>
      <c r="G4036">
        <v>80274587</v>
      </c>
      <c r="H4036">
        <v>53032209</v>
      </c>
      <c r="I4036">
        <v>50826531</v>
      </c>
      <c r="P4036">
        <v>413</v>
      </c>
      <c r="Q4036" t="s">
        <v>8418</v>
      </c>
    </row>
    <row r="4037" spans="1:17" x14ac:dyDescent="0.3">
      <c r="A4037" t="s">
        <v>4729</v>
      </c>
      <c r="B4037" t="str">
        <f>"300237"</f>
        <v>300237</v>
      </c>
      <c r="C4037" t="s">
        <v>8419</v>
      </c>
      <c r="D4037" t="s">
        <v>2417</v>
      </c>
      <c r="F4037">
        <v>113605116</v>
      </c>
      <c r="G4037">
        <v>126812969</v>
      </c>
      <c r="H4037">
        <v>147187226</v>
      </c>
      <c r="I4037">
        <v>170085242</v>
      </c>
      <c r="P4037">
        <v>315</v>
      </c>
      <c r="Q4037" t="s">
        <v>8420</v>
      </c>
    </row>
    <row r="4038" spans="1:17" x14ac:dyDescent="0.3">
      <c r="A4038" t="s">
        <v>4729</v>
      </c>
      <c r="B4038" t="str">
        <f>"300238"</f>
        <v>300238</v>
      </c>
      <c r="C4038" t="s">
        <v>8421</v>
      </c>
      <c r="D4038" t="s">
        <v>1077</v>
      </c>
      <c r="F4038">
        <v>46620436</v>
      </c>
      <c r="G4038">
        <v>34253225</v>
      </c>
      <c r="H4038">
        <v>69951324</v>
      </c>
      <c r="I4038">
        <v>42956249</v>
      </c>
      <c r="P4038">
        <v>195</v>
      </c>
      <c r="Q4038" t="s">
        <v>8422</v>
      </c>
    </row>
    <row r="4039" spans="1:17" x14ac:dyDescent="0.3">
      <c r="A4039" t="s">
        <v>4729</v>
      </c>
      <c r="B4039" t="str">
        <f>"300239"</f>
        <v>300239</v>
      </c>
      <c r="C4039" t="s">
        <v>8423</v>
      </c>
      <c r="D4039" t="s">
        <v>1379</v>
      </c>
      <c r="F4039">
        <v>12977299</v>
      </c>
      <c r="G4039">
        <v>9942966</v>
      </c>
      <c r="H4039">
        <v>11262758</v>
      </c>
      <c r="I4039">
        <v>7794457</v>
      </c>
      <c r="P4039">
        <v>107</v>
      </c>
      <c r="Q4039" t="s">
        <v>8424</v>
      </c>
    </row>
    <row r="4040" spans="1:17" x14ac:dyDescent="0.3">
      <c r="A4040" t="s">
        <v>4729</v>
      </c>
      <c r="B4040" t="str">
        <f>"300240"</f>
        <v>300240</v>
      </c>
      <c r="C4040" t="s">
        <v>8425</v>
      </c>
      <c r="D4040" t="s">
        <v>3125</v>
      </c>
      <c r="F4040">
        <v>30899398</v>
      </c>
      <c r="G4040">
        <v>37080124</v>
      </c>
      <c r="H4040">
        <v>35569760</v>
      </c>
      <c r="I4040">
        <v>35892809</v>
      </c>
      <c r="P4040">
        <v>67</v>
      </c>
      <c r="Q4040" t="s">
        <v>8426</v>
      </c>
    </row>
    <row r="4041" spans="1:17" x14ac:dyDescent="0.3">
      <c r="A4041" t="s">
        <v>4729</v>
      </c>
      <c r="B4041" t="str">
        <f>"300241"</f>
        <v>300241</v>
      </c>
      <c r="C4041" t="s">
        <v>8427</v>
      </c>
      <c r="D4041" t="s">
        <v>803</v>
      </c>
      <c r="F4041">
        <v>110370363</v>
      </c>
      <c r="G4041">
        <v>91669121</v>
      </c>
      <c r="H4041">
        <v>82196647</v>
      </c>
      <c r="I4041">
        <v>91271119</v>
      </c>
      <c r="P4041">
        <v>170</v>
      </c>
      <c r="Q4041" t="s">
        <v>8428</v>
      </c>
    </row>
    <row r="4042" spans="1:17" x14ac:dyDescent="0.3">
      <c r="A4042" t="s">
        <v>4729</v>
      </c>
      <c r="B4042" t="str">
        <f>"300242"</f>
        <v>300242</v>
      </c>
      <c r="C4042" t="s">
        <v>8429</v>
      </c>
      <c r="D4042" t="s">
        <v>207</v>
      </c>
      <c r="F4042">
        <v>40556803</v>
      </c>
      <c r="G4042">
        <v>39097603</v>
      </c>
      <c r="H4042">
        <v>43694948</v>
      </c>
      <c r="I4042">
        <v>54103153</v>
      </c>
      <c r="P4042">
        <v>95</v>
      </c>
      <c r="Q4042" t="s">
        <v>8430</v>
      </c>
    </row>
    <row r="4043" spans="1:17" x14ac:dyDescent="0.3">
      <c r="A4043" t="s">
        <v>4729</v>
      </c>
      <c r="B4043" t="str">
        <f>"300243"</f>
        <v>300243</v>
      </c>
      <c r="C4043" t="s">
        <v>8431</v>
      </c>
      <c r="D4043" t="s">
        <v>1192</v>
      </c>
      <c r="F4043">
        <v>4311005</v>
      </c>
      <c r="G4043">
        <v>4322377</v>
      </c>
      <c r="H4043">
        <v>5059713</v>
      </c>
      <c r="I4043">
        <v>4222113</v>
      </c>
      <c r="P4043">
        <v>103</v>
      </c>
      <c r="Q4043" t="s">
        <v>8432</v>
      </c>
    </row>
    <row r="4044" spans="1:17" x14ac:dyDescent="0.3">
      <c r="A4044" t="s">
        <v>4729</v>
      </c>
      <c r="B4044" t="str">
        <f>"300244"</f>
        <v>300244</v>
      </c>
      <c r="C4044" t="s">
        <v>8433</v>
      </c>
      <c r="D4044" t="s">
        <v>2580</v>
      </c>
      <c r="F4044">
        <v>424748905</v>
      </c>
      <c r="G4044">
        <v>319104205</v>
      </c>
      <c r="H4044">
        <v>211911491</v>
      </c>
      <c r="I4044">
        <v>166265359</v>
      </c>
      <c r="P4044">
        <v>1268</v>
      </c>
      <c r="Q4044" t="s">
        <v>8434</v>
      </c>
    </row>
    <row r="4045" spans="1:17" x14ac:dyDescent="0.3">
      <c r="A4045" t="s">
        <v>4729</v>
      </c>
      <c r="B4045" t="str">
        <f>"300245"</f>
        <v>300245</v>
      </c>
      <c r="C4045" t="s">
        <v>8435</v>
      </c>
      <c r="D4045" t="s">
        <v>316</v>
      </c>
      <c r="F4045">
        <v>49317819</v>
      </c>
      <c r="G4045">
        <v>49241959</v>
      </c>
      <c r="H4045">
        <v>40171797</v>
      </c>
      <c r="I4045">
        <v>33248730</v>
      </c>
      <c r="P4045">
        <v>128</v>
      </c>
      <c r="Q4045" t="s">
        <v>8436</v>
      </c>
    </row>
    <row r="4046" spans="1:17" x14ac:dyDescent="0.3">
      <c r="A4046" t="s">
        <v>4729</v>
      </c>
      <c r="B4046" t="str">
        <f>"300246"</f>
        <v>300246</v>
      </c>
      <c r="C4046" t="s">
        <v>8437</v>
      </c>
      <c r="D4046" t="s">
        <v>122</v>
      </c>
      <c r="F4046">
        <v>74335487</v>
      </c>
      <c r="G4046">
        <v>57169939</v>
      </c>
      <c r="H4046">
        <v>45439076</v>
      </c>
      <c r="I4046">
        <v>42350904</v>
      </c>
      <c r="P4046">
        <v>511</v>
      </c>
      <c r="Q4046" t="s">
        <v>8438</v>
      </c>
    </row>
    <row r="4047" spans="1:17" x14ac:dyDescent="0.3">
      <c r="A4047" t="s">
        <v>4729</v>
      </c>
      <c r="B4047" t="str">
        <f>"300247"</f>
        <v>300247</v>
      </c>
      <c r="C4047" t="s">
        <v>8439</v>
      </c>
      <c r="D4047" t="s">
        <v>3042</v>
      </c>
      <c r="F4047">
        <v>13515661</v>
      </c>
      <c r="G4047">
        <v>13406913</v>
      </c>
      <c r="H4047">
        <v>35237407</v>
      </c>
      <c r="I4047">
        <v>63711807</v>
      </c>
      <c r="J4047">
        <v>52241310</v>
      </c>
      <c r="P4047">
        <v>107</v>
      </c>
      <c r="Q4047" t="s">
        <v>8440</v>
      </c>
    </row>
    <row r="4048" spans="1:17" x14ac:dyDescent="0.3">
      <c r="A4048" t="s">
        <v>4729</v>
      </c>
      <c r="B4048" t="str">
        <f>"300248"</f>
        <v>300248</v>
      </c>
      <c r="C4048" t="s">
        <v>8441</v>
      </c>
      <c r="D4048" t="s">
        <v>236</v>
      </c>
      <c r="F4048">
        <v>113200137</v>
      </c>
      <c r="G4048">
        <v>96017310</v>
      </c>
      <c r="H4048">
        <v>105853250</v>
      </c>
      <c r="I4048">
        <v>87499161</v>
      </c>
      <c r="P4048">
        <v>209</v>
      </c>
      <c r="Q4048" t="s">
        <v>8442</v>
      </c>
    </row>
    <row r="4049" spans="1:17" x14ac:dyDescent="0.3">
      <c r="A4049" t="s">
        <v>4729</v>
      </c>
      <c r="B4049" t="str">
        <f>"300249"</f>
        <v>300249</v>
      </c>
      <c r="C4049" t="s">
        <v>8443</v>
      </c>
      <c r="D4049" t="s">
        <v>236</v>
      </c>
      <c r="F4049">
        <v>58291019</v>
      </c>
      <c r="G4049">
        <v>61468070</v>
      </c>
      <c r="H4049">
        <v>63555698</v>
      </c>
      <c r="I4049">
        <v>72027855</v>
      </c>
      <c r="P4049">
        <v>195</v>
      </c>
      <c r="Q4049" t="s">
        <v>8444</v>
      </c>
    </row>
    <row r="4050" spans="1:17" x14ac:dyDescent="0.3">
      <c r="A4050" t="s">
        <v>4729</v>
      </c>
      <c r="B4050" t="str">
        <f>"300250"</f>
        <v>300250</v>
      </c>
      <c r="C4050" t="s">
        <v>8445</v>
      </c>
      <c r="D4050" t="s">
        <v>316</v>
      </c>
      <c r="F4050">
        <v>90870413</v>
      </c>
      <c r="G4050">
        <v>108860488</v>
      </c>
      <c r="H4050">
        <v>78107778</v>
      </c>
      <c r="I4050">
        <v>80062145</v>
      </c>
      <c r="P4050">
        <v>159</v>
      </c>
      <c r="Q4050" t="s">
        <v>8446</v>
      </c>
    </row>
    <row r="4051" spans="1:17" x14ac:dyDescent="0.3">
      <c r="A4051" t="s">
        <v>4729</v>
      </c>
      <c r="B4051" t="str">
        <f>"300251"</f>
        <v>300251</v>
      </c>
      <c r="C4051" t="s">
        <v>8447</v>
      </c>
      <c r="D4051" t="s">
        <v>113</v>
      </c>
      <c r="F4051">
        <v>18998446</v>
      </c>
      <c r="G4051">
        <v>17571642</v>
      </c>
      <c r="H4051">
        <v>14396045</v>
      </c>
      <c r="I4051">
        <v>9861906</v>
      </c>
      <c r="P4051">
        <v>807</v>
      </c>
      <c r="Q4051" t="s">
        <v>8448</v>
      </c>
    </row>
    <row r="4052" spans="1:17" x14ac:dyDescent="0.3">
      <c r="A4052" t="s">
        <v>4729</v>
      </c>
      <c r="B4052" t="str">
        <f>"300252"</f>
        <v>300252</v>
      </c>
      <c r="C4052" t="s">
        <v>8449</v>
      </c>
      <c r="D4052" t="s">
        <v>1136</v>
      </c>
      <c r="F4052">
        <v>138408435</v>
      </c>
      <c r="G4052">
        <v>114978890</v>
      </c>
      <c r="H4052">
        <v>121590519</v>
      </c>
      <c r="I4052">
        <v>110057523</v>
      </c>
      <c r="P4052">
        <v>217</v>
      </c>
      <c r="Q4052" t="s">
        <v>8450</v>
      </c>
    </row>
    <row r="4053" spans="1:17" x14ac:dyDescent="0.3">
      <c r="A4053" t="s">
        <v>4729</v>
      </c>
      <c r="B4053" t="str">
        <f>"300253"</f>
        <v>300253</v>
      </c>
      <c r="C4053" t="s">
        <v>8451</v>
      </c>
      <c r="D4053" t="s">
        <v>945</v>
      </c>
      <c r="F4053">
        <v>255668046</v>
      </c>
      <c r="G4053">
        <v>229446957</v>
      </c>
      <c r="H4053">
        <v>205633105</v>
      </c>
      <c r="I4053">
        <v>147208168</v>
      </c>
      <c r="P4053">
        <v>935</v>
      </c>
      <c r="Q4053" t="s">
        <v>8452</v>
      </c>
    </row>
    <row r="4054" spans="1:17" x14ac:dyDescent="0.3">
      <c r="A4054" t="s">
        <v>4729</v>
      </c>
      <c r="B4054" t="str">
        <f>"300254"</f>
        <v>300254</v>
      </c>
      <c r="C4054" t="s">
        <v>8453</v>
      </c>
      <c r="D4054" t="s">
        <v>143</v>
      </c>
      <c r="F4054">
        <v>57119584</v>
      </c>
      <c r="G4054">
        <v>72393297</v>
      </c>
      <c r="H4054">
        <v>48951413</v>
      </c>
      <c r="I4054">
        <v>53540668</v>
      </c>
      <c r="P4054">
        <v>82</v>
      </c>
      <c r="Q4054" t="s">
        <v>8454</v>
      </c>
    </row>
    <row r="4055" spans="1:17" x14ac:dyDescent="0.3">
      <c r="A4055" t="s">
        <v>4729</v>
      </c>
      <c r="B4055" t="str">
        <f>"300255"</f>
        <v>300255</v>
      </c>
      <c r="C4055" t="s">
        <v>8455</v>
      </c>
      <c r="D4055" t="s">
        <v>143</v>
      </c>
      <c r="F4055">
        <v>150626662</v>
      </c>
      <c r="G4055">
        <v>127543413</v>
      </c>
      <c r="H4055">
        <v>135911582</v>
      </c>
      <c r="I4055">
        <v>98887104</v>
      </c>
      <c r="P4055">
        <v>175</v>
      </c>
      <c r="Q4055" t="s">
        <v>8456</v>
      </c>
    </row>
    <row r="4056" spans="1:17" x14ac:dyDescent="0.3">
      <c r="A4056" t="s">
        <v>4729</v>
      </c>
      <c r="B4056" t="str">
        <f>"300256"</f>
        <v>300256</v>
      </c>
      <c r="C4056" t="s">
        <v>8457</v>
      </c>
      <c r="D4056" t="s">
        <v>313</v>
      </c>
      <c r="F4056">
        <v>185747431</v>
      </c>
      <c r="G4056">
        <v>303480800</v>
      </c>
      <c r="H4056">
        <v>239906697</v>
      </c>
      <c r="I4056">
        <v>224919386</v>
      </c>
      <c r="P4056">
        <v>206</v>
      </c>
      <c r="Q4056" t="s">
        <v>8458</v>
      </c>
    </row>
    <row r="4057" spans="1:17" x14ac:dyDescent="0.3">
      <c r="A4057" t="s">
        <v>4729</v>
      </c>
      <c r="B4057" t="str">
        <f>"300257"</f>
        <v>300257</v>
      </c>
      <c r="C4057" t="s">
        <v>8459</v>
      </c>
      <c r="D4057" t="s">
        <v>560</v>
      </c>
      <c r="F4057">
        <v>118170039</v>
      </c>
      <c r="G4057">
        <v>106375457</v>
      </c>
      <c r="H4057">
        <v>86961117</v>
      </c>
      <c r="I4057">
        <v>92017688</v>
      </c>
      <c r="P4057">
        <v>147</v>
      </c>
      <c r="Q4057" t="s">
        <v>8460</v>
      </c>
    </row>
    <row r="4058" spans="1:17" x14ac:dyDescent="0.3">
      <c r="A4058" t="s">
        <v>4729</v>
      </c>
      <c r="B4058" t="str">
        <f>"300258"</f>
        <v>300258</v>
      </c>
      <c r="C4058" t="s">
        <v>8461</v>
      </c>
      <c r="D4058" t="s">
        <v>348</v>
      </c>
      <c r="F4058">
        <v>73352855</v>
      </c>
      <c r="G4058">
        <v>81218645</v>
      </c>
      <c r="H4058">
        <v>61127946</v>
      </c>
      <c r="I4058">
        <v>61434112</v>
      </c>
      <c r="P4058">
        <v>330</v>
      </c>
      <c r="Q4058" t="s">
        <v>8462</v>
      </c>
    </row>
    <row r="4059" spans="1:17" x14ac:dyDescent="0.3">
      <c r="A4059" t="s">
        <v>4729</v>
      </c>
      <c r="B4059" t="str">
        <f>"300259"</f>
        <v>300259</v>
      </c>
      <c r="C4059" t="s">
        <v>8463</v>
      </c>
      <c r="D4059" t="s">
        <v>2566</v>
      </c>
      <c r="F4059">
        <v>90539036</v>
      </c>
      <c r="G4059">
        <v>84684762</v>
      </c>
      <c r="H4059">
        <v>77775285</v>
      </c>
      <c r="I4059">
        <v>59410822</v>
      </c>
      <c r="P4059">
        <v>360</v>
      </c>
      <c r="Q4059" t="s">
        <v>8464</v>
      </c>
    </row>
    <row r="4060" spans="1:17" x14ac:dyDescent="0.3">
      <c r="A4060" t="s">
        <v>4729</v>
      </c>
      <c r="B4060" t="str">
        <f>"300260"</f>
        <v>300260</v>
      </c>
      <c r="C4060" t="s">
        <v>8465</v>
      </c>
      <c r="D4060" t="s">
        <v>274</v>
      </c>
      <c r="F4060">
        <v>74323018</v>
      </c>
      <c r="G4060">
        <v>64797728</v>
      </c>
      <c r="H4060">
        <v>61670566</v>
      </c>
      <c r="I4060">
        <v>51396880</v>
      </c>
      <c r="P4060">
        <v>211</v>
      </c>
      <c r="Q4060" t="s">
        <v>8466</v>
      </c>
    </row>
    <row r="4061" spans="1:17" x14ac:dyDescent="0.3">
      <c r="A4061" t="s">
        <v>4729</v>
      </c>
      <c r="B4061" t="str">
        <f>"300261"</f>
        <v>300261</v>
      </c>
      <c r="C4061" t="s">
        <v>8467</v>
      </c>
      <c r="D4061" t="s">
        <v>853</v>
      </c>
      <c r="F4061">
        <v>124873546</v>
      </c>
      <c r="G4061">
        <v>119934251</v>
      </c>
      <c r="H4061">
        <v>106823885</v>
      </c>
      <c r="I4061">
        <v>107250476</v>
      </c>
      <c r="P4061">
        <v>139</v>
      </c>
      <c r="Q4061" t="s">
        <v>8468</v>
      </c>
    </row>
    <row r="4062" spans="1:17" x14ac:dyDescent="0.3">
      <c r="A4062" t="s">
        <v>4729</v>
      </c>
      <c r="B4062" t="str">
        <f>"300262"</f>
        <v>300262</v>
      </c>
      <c r="C4062" t="s">
        <v>8469</v>
      </c>
      <c r="D4062" t="s">
        <v>33</v>
      </c>
      <c r="F4062">
        <v>38553250</v>
      </c>
      <c r="G4062">
        <v>25522221</v>
      </c>
      <c r="H4062">
        <v>38190790</v>
      </c>
      <c r="I4062">
        <v>26421032</v>
      </c>
      <c r="P4062">
        <v>127</v>
      </c>
      <c r="Q4062" t="s">
        <v>8470</v>
      </c>
    </row>
    <row r="4063" spans="1:17" x14ac:dyDescent="0.3">
      <c r="A4063" t="s">
        <v>4729</v>
      </c>
      <c r="B4063" t="str">
        <f>"300263"</f>
        <v>300263</v>
      </c>
      <c r="C4063" t="s">
        <v>8471</v>
      </c>
      <c r="D4063" t="s">
        <v>560</v>
      </c>
      <c r="F4063">
        <v>97119133</v>
      </c>
      <c r="G4063">
        <v>87043212</v>
      </c>
      <c r="H4063">
        <v>61902467</v>
      </c>
      <c r="I4063">
        <v>54701280</v>
      </c>
      <c r="P4063">
        <v>232</v>
      </c>
      <c r="Q4063" t="s">
        <v>8472</v>
      </c>
    </row>
    <row r="4064" spans="1:17" x14ac:dyDescent="0.3">
      <c r="A4064" t="s">
        <v>4729</v>
      </c>
      <c r="B4064" t="str">
        <f>"300264"</f>
        <v>300264</v>
      </c>
      <c r="C4064" t="s">
        <v>8473</v>
      </c>
      <c r="D4064" t="s">
        <v>316</v>
      </c>
      <c r="F4064">
        <v>20473840</v>
      </c>
      <c r="G4064">
        <v>23464628</v>
      </c>
      <c r="H4064">
        <v>40847958</v>
      </c>
      <c r="I4064">
        <v>34074122</v>
      </c>
      <c r="P4064">
        <v>132</v>
      </c>
      <c r="Q4064" t="s">
        <v>8474</v>
      </c>
    </row>
    <row r="4065" spans="1:17" x14ac:dyDescent="0.3">
      <c r="A4065" t="s">
        <v>4729</v>
      </c>
      <c r="B4065" t="str">
        <f>"300265"</f>
        <v>300265</v>
      </c>
      <c r="C4065" t="s">
        <v>8475</v>
      </c>
      <c r="D4065" t="s">
        <v>1164</v>
      </c>
      <c r="F4065">
        <v>76960339</v>
      </c>
      <c r="G4065">
        <v>61302617</v>
      </c>
      <c r="H4065">
        <v>63307011</v>
      </c>
      <c r="I4065">
        <v>68694880</v>
      </c>
      <c r="P4065">
        <v>162</v>
      </c>
      <c r="Q4065" t="s">
        <v>8476</v>
      </c>
    </row>
    <row r="4066" spans="1:17" x14ac:dyDescent="0.3">
      <c r="A4066" t="s">
        <v>4729</v>
      </c>
      <c r="B4066" t="str">
        <f>"300266"</f>
        <v>300266</v>
      </c>
      <c r="C4066" t="s">
        <v>8477</v>
      </c>
      <c r="D4066" t="s">
        <v>33</v>
      </c>
      <c r="F4066">
        <v>94731799</v>
      </c>
      <c r="G4066">
        <v>98973510</v>
      </c>
      <c r="H4066">
        <v>83890402</v>
      </c>
      <c r="I4066">
        <v>112210707</v>
      </c>
      <c r="P4066">
        <v>145</v>
      </c>
      <c r="Q4066" t="s">
        <v>8478</v>
      </c>
    </row>
    <row r="4067" spans="1:17" x14ac:dyDescent="0.3">
      <c r="A4067" t="s">
        <v>4729</v>
      </c>
      <c r="B4067" t="str">
        <f>"300267"</f>
        <v>300267</v>
      </c>
      <c r="C4067" t="s">
        <v>8479</v>
      </c>
      <c r="D4067" t="s">
        <v>496</v>
      </c>
      <c r="F4067">
        <v>49018678</v>
      </c>
      <c r="G4067">
        <v>48067843</v>
      </c>
      <c r="H4067">
        <v>55119667</v>
      </c>
      <c r="I4067">
        <v>56474771</v>
      </c>
      <c r="P4067">
        <v>237</v>
      </c>
      <c r="Q4067" t="s">
        <v>8480</v>
      </c>
    </row>
    <row r="4068" spans="1:17" x14ac:dyDescent="0.3">
      <c r="A4068" t="s">
        <v>4729</v>
      </c>
      <c r="B4068" t="str">
        <f>"300268"</f>
        <v>300268</v>
      </c>
      <c r="C4068" t="s">
        <v>8481</v>
      </c>
      <c r="D4068" t="s">
        <v>445</v>
      </c>
      <c r="F4068">
        <v>0</v>
      </c>
      <c r="G4068">
        <v>0</v>
      </c>
      <c r="P4068">
        <v>87</v>
      </c>
      <c r="Q4068" t="s">
        <v>8482</v>
      </c>
    </row>
    <row r="4069" spans="1:17" x14ac:dyDescent="0.3">
      <c r="A4069" t="s">
        <v>4729</v>
      </c>
      <c r="B4069" t="str">
        <f>"300269"</f>
        <v>300269</v>
      </c>
      <c r="C4069" t="s">
        <v>8483</v>
      </c>
      <c r="D4069" t="s">
        <v>207</v>
      </c>
      <c r="F4069">
        <v>63677778</v>
      </c>
      <c r="G4069">
        <v>67679737</v>
      </c>
      <c r="H4069">
        <v>120013270</v>
      </c>
      <c r="I4069">
        <v>133639875</v>
      </c>
      <c r="P4069">
        <v>125</v>
      </c>
      <c r="Q4069" t="s">
        <v>8484</v>
      </c>
    </row>
    <row r="4070" spans="1:17" x14ac:dyDescent="0.3">
      <c r="A4070" t="s">
        <v>4729</v>
      </c>
      <c r="B4070" t="str">
        <f>"300270"</f>
        <v>300270</v>
      </c>
      <c r="C4070" t="s">
        <v>8485</v>
      </c>
      <c r="D4070" t="s">
        <v>2980</v>
      </c>
      <c r="F4070">
        <v>18105101</v>
      </c>
      <c r="G4070">
        <v>25516973</v>
      </c>
      <c r="H4070">
        <v>36807068</v>
      </c>
      <c r="I4070">
        <v>43775519</v>
      </c>
      <c r="P4070">
        <v>136</v>
      </c>
      <c r="Q4070" t="s">
        <v>8486</v>
      </c>
    </row>
    <row r="4071" spans="1:17" x14ac:dyDescent="0.3">
      <c r="A4071" t="s">
        <v>4729</v>
      </c>
      <c r="B4071" t="str">
        <f>"300271"</f>
        <v>300271</v>
      </c>
      <c r="C4071" t="s">
        <v>8487</v>
      </c>
      <c r="D4071" t="s">
        <v>316</v>
      </c>
      <c r="F4071">
        <v>428362615</v>
      </c>
      <c r="G4071">
        <v>384213607</v>
      </c>
      <c r="H4071">
        <v>348928564</v>
      </c>
      <c r="I4071">
        <v>235990690</v>
      </c>
      <c r="P4071">
        <v>590</v>
      </c>
      <c r="Q4071" t="s">
        <v>8488</v>
      </c>
    </row>
    <row r="4072" spans="1:17" x14ac:dyDescent="0.3">
      <c r="A4072" t="s">
        <v>4729</v>
      </c>
      <c r="B4072" t="str">
        <f>"300272"</f>
        <v>300272</v>
      </c>
      <c r="C4072" t="s">
        <v>8489</v>
      </c>
      <c r="D4072" t="s">
        <v>5799</v>
      </c>
      <c r="F4072">
        <v>54586083</v>
      </c>
      <c r="G4072">
        <v>35868938</v>
      </c>
      <c r="H4072">
        <v>18787492</v>
      </c>
      <c r="I4072">
        <v>34779583</v>
      </c>
      <c r="P4072">
        <v>131</v>
      </c>
      <c r="Q4072" t="s">
        <v>8490</v>
      </c>
    </row>
    <row r="4073" spans="1:17" x14ac:dyDescent="0.3">
      <c r="A4073" t="s">
        <v>4729</v>
      </c>
      <c r="B4073" t="str">
        <f>"300273"</f>
        <v>300273</v>
      </c>
      <c r="C4073" t="s">
        <v>8491</v>
      </c>
      <c r="D4073" t="s">
        <v>122</v>
      </c>
      <c r="F4073">
        <v>52527916</v>
      </c>
      <c r="G4073">
        <v>49343821</v>
      </c>
      <c r="H4073">
        <v>60335469</v>
      </c>
      <c r="I4073">
        <v>75854136</v>
      </c>
      <c r="P4073">
        <v>143</v>
      </c>
      <c r="Q4073" t="s">
        <v>8492</v>
      </c>
    </row>
    <row r="4074" spans="1:17" x14ac:dyDescent="0.3">
      <c r="A4074" t="s">
        <v>4729</v>
      </c>
      <c r="B4074" t="str">
        <f>"300274"</f>
        <v>300274</v>
      </c>
      <c r="C4074" t="s">
        <v>8493</v>
      </c>
      <c r="D4074" t="s">
        <v>3824</v>
      </c>
      <c r="F4074">
        <v>1161389789</v>
      </c>
      <c r="G4074">
        <v>806352266</v>
      </c>
      <c r="H4074">
        <v>635873987</v>
      </c>
      <c r="I4074">
        <v>482297537</v>
      </c>
      <c r="P4074">
        <v>2195</v>
      </c>
      <c r="Q4074" t="s">
        <v>8494</v>
      </c>
    </row>
    <row r="4075" spans="1:17" x14ac:dyDescent="0.3">
      <c r="A4075" t="s">
        <v>4729</v>
      </c>
      <c r="B4075" t="str">
        <f>"300275"</f>
        <v>300275</v>
      </c>
      <c r="C4075" t="s">
        <v>8495</v>
      </c>
      <c r="D4075" t="s">
        <v>395</v>
      </c>
      <c r="F4075">
        <v>26805226</v>
      </c>
      <c r="G4075">
        <v>24029032</v>
      </c>
      <c r="H4075">
        <v>24380575</v>
      </c>
      <c r="I4075">
        <v>28217050</v>
      </c>
      <c r="P4075">
        <v>89</v>
      </c>
      <c r="Q4075" t="s">
        <v>8496</v>
      </c>
    </row>
    <row r="4076" spans="1:17" x14ac:dyDescent="0.3">
      <c r="A4076" t="s">
        <v>4729</v>
      </c>
      <c r="B4076" t="str">
        <f>"300276"</f>
        <v>300276</v>
      </c>
      <c r="C4076" t="s">
        <v>8497</v>
      </c>
      <c r="D4076" t="s">
        <v>2938</v>
      </c>
      <c r="F4076">
        <v>53514390</v>
      </c>
      <c r="G4076">
        <v>92972919</v>
      </c>
      <c r="H4076">
        <v>79060633</v>
      </c>
      <c r="I4076">
        <v>71382730</v>
      </c>
      <c r="P4076">
        <v>138</v>
      </c>
      <c r="Q4076" t="s">
        <v>8498</v>
      </c>
    </row>
    <row r="4077" spans="1:17" x14ac:dyDescent="0.3">
      <c r="A4077" t="s">
        <v>4729</v>
      </c>
      <c r="B4077" t="str">
        <f>"300277"</f>
        <v>300277</v>
      </c>
      <c r="C4077" t="s">
        <v>8499</v>
      </c>
      <c r="D4077" t="s">
        <v>316</v>
      </c>
      <c r="F4077">
        <v>14917386</v>
      </c>
      <c r="G4077">
        <v>15695438</v>
      </c>
      <c r="H4077">
        <v>23325941</v>
      </c>
      <c r="I4077">
        <v>25500180</v>
      </c>
      <c r="P4077">
        <v>73</v>
      </c>
      <c r="Q4077" t="s">
        <v>8500</v>
      </c>
    </row>
    <row r="4078" spans="1:17" x14ac:dyDescent="0.3">
      <c r="A4078" t="s">
        <v>4729</v>
      </c>
      <c r="B4078" t="str">
        <f>"300278"</f>
        <v>300278</v>
      </c>
      <c r="C4078" t="s">
        <v>8501</v>
      </c>
      <c r="D4078" t="s">
        <v>2432</v>
      </c>
      <c r="F4078">
        <v>28767207</v>
      </c>
      <c r="G4078">
        <v>70237339</v>
      </c>
      <c r="H4078">
        <v>61402799</v>
      </c>
      <c r="I4078">
        <v>50884807</v>
      </c>
      <c r="P4078">
        <v>98</v>
      </c>
      <c r="Q4078" t="s">
        <v>8502</v>
      </c>
    </row>
    <row r="4079" spans="1:17" x14ac:dyDescent="0.3">
      <c r="A4079" t="s">
        <v>4729</v>
      </c>
      <c r="B4079" t="str">
        <f>"300279"</f>
        <v>300279</v>
      </c>
      <c r="C4079" t="s">
        <v>8503</v>
      </c>
      <c r="D4079" t="s">
        <v>313</v>
      </c>
      <c r="F4079">
        <v>76200222</v>
      </c>
      <c r="G4079">
        <v>75739056</v>
      </c>
      <c r="H4079">
        <v>56587577</v>
      </c>
      <c r="I4079">
        <v>59189584</v>
      </c>
      <c r="P4079">
        <v>166</v>
      </c>
      <c r="Q4079" t="s">
        <v>8504</v>
      </c>
    </row>
    <row r="4080" spans="1:17" x14ac:dyDescent="0.3">
      <c r="A4080" t="s">
        <v>4729</v>
      </c>
      <c r="B4080" t="str">
        <f>"300280"</f>
        <v>300280</v>
      </c>
      <c r="C4080" t="s">
        <v>8505</v>
      </c>
      <c r="D4080" t="s">
        <v>5132</v>
      </c>
      <c r="F4080">
        <v>16073514</v>
      </c>
      <c r="G4080">
        <v>16344054</v>
      </c>
      <c r="H4080">
        <v>10735728</v>
      </c>
      <c r="I4080">
        <v>15226296</v>
      </c>
      <c r="P4080">
        <v>146</v>
      </c>
      <c r="Q4080" t="s">
        <v>8506</v>
      </c>
    </row>
    <row r="4081" spans="1:17" x14ac:dyDescent="0.3">
      <c r="A4081" t="s">
        <v>4729</v>
      </c>
      <c r="B4081" t="str">
        <f>"300281"</f>
        <v>300281</v>
      </c>
      <c r="C4081" t="s">
        <v>8507</v>
      </c>
      <c r="D4081" t="s">
        <v>741</v>
      </c>
      <c r="F4081">
        <v>26617585</v>
      </c>
      <c r="G4081">
        <v>24489901</v>
      </c>
      <c r="H4081">
        <v>20523920</v>
      </c>
      <c r="I4081">
        <v>28099556</v>
      </c>
      <c r="P4081">
        <v>48</v>
      </c>
      <c r="Q4081" t="s">
        <v>8508</v>
      </c>
    </row>
    <row r="4082" spans="1:17" x14ac:dyDescent="0.3">
      <c r="A4082" t="s">
        <v>4729</v>
      </c>
      <c r="B4082" t="str">
        <f>"300282"</f>
        <v>300282</v>
      </c>
      <c r="C4082" t="s">
        <v>8509</v>
      </c>
      <c r="D4082" t="s">
        <v>1285</v>
      </c>
      <c r="F4082">
        <v>37601422</v>
      </c>
      <c r="G4082">
        <v>34201964</v>
      </c>
      <c r="H4082">
        <v>27591959</v>
      </c>
      <c r="I4082">
        <v>27186368</v>
      </c>
      <c r="P4082">
        <v>100</v>
      </c>
      <c r="Q4082" t="s">
        <v>8510</v>
      </c>
    </row>
    <row r="4083" spans="1:17" x14ac:dyDescent="0.3">
      <c r="A4083" t="s">
        <v>4729</v>
      </c>
      <c r="B4083" t="str">
        <f>"300283"</f>
        <v>300283</v>
      </c>
      <c r="C4083" t="s">
        <v>8511</v>
      </c>
      <c r="D4083" t="s">
        <v>657</v>
      </c>
      <c r="F4083">
        <v>64169153</v>
      </c>
      <c r="G4083">
        <v>53616857</v>
      </c>
      <c r="H4083">
        <v>49155113</v>
      </c>
      <c r="I4083">
        <v>37998058</v>
      </c>
      <c r="P4083">
        <v>58</v>
      </c>
      <c r="Q4083" t="s">
        <v>8512</v>
      </c>
    </row>
    <row r="4084" spans="1:17" x14ac:dyDescent="0.3">
      <c r="A4084" t="s">
        <v>4729</v>
      </c>
      <c r="B4084" t="str">
        <f>"300284"</f>
        <v>300284</v>
      </c>
      <c r="C4084" t="s">
        <v>8513</v>
      </c>
      <c r="D4084" t="s">
        <v>1272</v>
      </c>
      <c r="F4084">
        <v>214612761</v>
      </c>
      <c r="G4084">
        <v>237765240</v>
      </c>
      <c r="H4084">
        <v>275514308</v>
      </c>
      <c r="I4084">
        <v>233110322</v>
      </c>
      <c r="P4084">
        <v>274</v>
      </c>
      <c r="Q4084" t="s">
        <v>8514</v>
      </c>
    </row>
    <row r="4085" spans="1:17" x14ac:dyDescent="0.3">
      <c r="A4085" t="s">
        <v>4729</v>
      </c>
      <c r="B4085" t="str">
        <f>"300285"</f>
        <v>300285</v>
      </c>
      <c r="C4085" t="s">
        <v>8515</v>
      </c>
      <c r="D4085" t="s">
        <v>386</v>
      </c>
      <c r="F4085">
        <v>205915939</v>
      </c>
      <c r="G4085">
        <v>160763588</v>
      </c>
      <c r="H4085">
        <v>137956030</v>
      </c>
      <c r="I4085">
        <v>103240794</v>
      </c>
      <c r="P4085">
        <v>1537</v>
      </c>
      <c r="Q4085" t="s">
        <v>8516</v>
      </c>
    </row>
    <row r="4086" spans="1:17" x14ac:dyDescent="0.3">
      <c r="A4086" t="s">
        <v>4729</v>
      </c>
      <c r="B4086" t="str">
        <f>"300286"</f>
        <v>300286</v>
      </c>
      <c r="C4086" t="s">
        <v>8517</v>
      </c>
      <c r="D4086" t="s">
        <v>2180</v>
      </c>
      <c r="F4086">
        <v>112448807</v>
      </c>
      <c r="G4086">
        <v>75580700</v>
      </c>
      <c r="H4086">
        <v>52640566</v>
      </c>
      <c r="I4086">
        <v>41827894</v>
      </c>
      <c r="P4086">
        <v>272</v>
      </c>
      <c r="Q4086" t="s">
        <v>8518</v>
      </c>
    </row>
    <row r="4087" spans="1:17" x14ac:dyDescent="0.3">
      <c r="A4087" t="s">
        <v>4729</v>
      </c>
      <c r="B4087" t="str">
        <f>"300287"</f>
        <v>300287</v>
      </c>
      <c r="C4087" t="s">
        <v>8519</v>
      </c>
      <c r="D4087" t="s">
        <v>316</v>
      </c>
      <c r="F4087">
        <v>122816833</v>
      </c>
      <c r="G4087">
        <v>111928965</v>
      </c>
      <c r="H4087">
        <v>102496053</v>
      </c>
      <c r="I4087">
        <v>153968126</v>
      </c>
      <c r="P4087">
        <v>288</v>
      </c>
      <c r="Q4087" t="s">
        <v>8520</v>
      </c>
    </row>
    <row r="4088" spans="1:17" x14ac:dyDescent="0.3">
      <c r="A4088" t="s">
        <v>4729</v>
      </c>
      <c r="B4088" t="str">
        <f>"300288"</f>
        <v>300288</v>
      </c>
      <c r="C4088" t="s">
        <v>8521</v>
      </c>
      <c r="D4088" t="s">
        <v>316</v>
      </c>
      <c r="F4088">
        <v>30895831</v>
      </c>
      <c r="G4088">
        <v>28447509</v>
      </c>
      <c r="H4088">
        <v>33357893</v>
      </c>
      <c r="I4088">
        <v>36401122</v>
      </c>
      <c r="P4088">
        <v>221</v>
      </c>
      <c r="Q4088" t="s">
        <v>8522</v>
      </c>
    </row>
    <row r="4089" spans="1:17" x14ac:dyDescent="0.3">
      <c r="A4089" t="s">
        <v>4729</v>
      </c>
      <c r="B4089" t="str">
        <f>"300289"</f>
        <v>300289</v>
      </c>
      <c r="C4089" t="s">
        <v>8523</v>
      </c>
      <c r="D4089" t="s">
        <v>1305</v>
      </c>
      <c r="F4089">
        <v>32754483</v>
      </c>
      <c r="G4089">
        <v>38471480</v>
      </c>
      <c r="H4089">
        <v>48313050</v>
      </c>
      <c r="I4089">
        <v>39972010</v>
      </c>
      <c r="P4089">
        <v>132</v>
      </c>
      <c r="Q4089" t="s">
        <v>8524</v>
      </c>
    </row>
    <row r="4090" spans="1:17" x14ac:dyDescent="0.3">
      <c r="A4090" t="s">
        <v>4729</v>
      </c>
      <c r="B4090" t="str">
        <f>"300290"</f>
        <v>300290</v>
      </c>
      <c r="C4090" t="s">
        <v>8525</v>
      </c>
      <c r="D4090" t="s">
        <v>316</v>
      </c>
      <c r="F4090">
        <v>85041143</v>
      </c>
      <c r="G4090">
        <v>60362468</v>
      </c>
      <c r="H4090">
        <v>45615884</v>
      </c>
      <c r="I4090">
        <v>38907432</v>
      </c>
      <c r="P4090">
        <v>113</v>
      </c>
      <c r="Q4090" t="s">
        <v>8526</v>
      </c>
    </row>
    <row r="4091" spans="1:17" x14ac:dyDescent="0.3">
      <c r="A4091" t="s">
        <v>4729</v>
      </c>
      <c r="B4091" t="str">
        <f>"300291"</f>
        <v>300291</v>
      </c>
      <c r="C4091" t="s">
        <v>8527</v>
      </c>
      <c r="D4091" t="s">
        <v>113</v>
      </c>
      <c r="F4091">
        <v>0</v>
      </c>
      <c r="G4091">
        <v>0</v>
      </c>
      <c r="P4091">
        <v>93</v>
      </c>
      <c r="Q4091" t="s">
        <v>8528</v>
      </c>
    </row>
    <row r="4092" spans="1:17" x14ac:dyDescent="0.3">
      <c r="A4092" t="s">
        <v>4729</v>
      </c>
      <c r="B4092" t="str">
        <f>"300292"</f>
        <v>300292</v>
      </c>
      <c r="C4092" t="s">
        <v>8529</v>
      </c>
      <c r="D4092" t="s">
        <v>5670</v>
      </c>
      <c r="F4092">
        <v>113860840</v>
      </c>
      <c r="G4092">
        <v>108337259</v>
      </c>
      <c r="H4092">
        <v>125852962</v>
      </c>
      <c r="I4092">
        <v>160943434</v>
      </c>
      <c r="P4092">
        <v>205</v>
      </c>
      <c r="Q4092" t="s">
        <v>8530</v>
      </c>
    </row>
    <row r="4093" spans="1:17" x14ac:dyDescent="0.3">
      <c r="A4093" t="s">
        <v>4729</v>
      </c>
      <c r="B4093" t="str">
        <f>"300293"</f>
        <v>300293</v>
      </c>
      <c r="C4093" t="s">
        <v>8531</v>
      </c>
      <c r="D4093" t="s">
        <v>741</v>
      </c>
      <c r="F4093">
        <v>61209695</v>
      </c>
      <c r="G4093">
        <v>46368999</v>
      </c>
      <c r="H4093">
        <v>45723808</v>
      </c>
      <c r="I4093">
        <v>48307979</v>
      </c>
      <c r="P4093">
        <v>112</v>
      </c>
      <c r="Q4093" t="s">
        <v>8532</v>
      </c>
    </row>
    <row r="4094" spans="1:17" x14ac:dyDescent="0.3">
      <c r="A4094" t="s">
        <v>4729</v>
      </c>
      <c r="B4094" t="str">
        <f>"300294"</f>
        <v>300294</v>
      </c>
      <c r="C4094" t="s">
        <v>8533</v>
      </c>
      <c r="D4094" t="s">
        <v>378</v>
      </c>
      <c r="F4094">
        <v>59293843</v>
      </c>
      <c r="G4094">
        <v>89048597</v>
      </c>
      <c r="H4094">
        <v>92758004</v>
      </c>
      <c r="I4094">
        <v>45057068</v>
      </c>
      <c r="P4094">
        <v>495</v>
      </c>
      <c r="Q4094" t="s">
        <v>8534</v>
      </c>
    </row>
    <row r="4095" spans="1:17" x14ac:dyDescent="0.3">
      <c r="A4095" t="s">
        <v>4729</v>
      </c>
      <c r="B4095" t="str">
        <f>"300295"</f>
        <v>300295</v>
      </c>
      <c r="C4095" t="s">
        <v>8535</v>
      </c>
      <c r="D4095" t="s">
        <v>522</v>
      </c>
      <c r="F4095">
        <v>30175835</v>
      </c>
      <c r="G4095">
        <v>34481339</v>
      </c>
      <c r="H4095">
        <v>30115559</v>
      </c>
      <c r="I4095">
        <v>31427892</v>
      </c>
      <c r="P4095">
        <v>100</v>
      </c>
      <c r="Q4095" t="s">
        <v>8536</v>
      </c>
    </row>
    <row r="4096" spans="1:17" x14ac:dyDescent="0.3">
      <c r="A4096" t="s">
        <v>4729</v>
      </c>
      <c r="B4096" t="str">
        <f>"300296"</f>
        <v>300296</v>
      </c>
      <c r="C4096" t="s">
        <v>8537</v>
      </c>
      <c r="D4096" t="s">
        <v>803</v>
      </c>
      <c r="F4096">
        <v>335863625</v>
      </c>
      <c r="G4096">
        <v>317453553</v>
      </c>
      <c r="H4096">
        <v>370163421</v>
      </c>
      <c r="I4096">
        <v>316700717</v>
      </c>
      <c r="P4096">
        <v>1699</v>
      </c>
      <c r="Q4096" t="s">
        <v>8538</v>
      </c>
    </row>
    <row r="4097" spans="1:17" x14ac:dyDescent="0.3">
      <c r="A4097" t="s">
        <v>4729</v>
      </c>
      <c r="B4097" t="str">
        <f>"300297"</f>
        <v>300297</v>
      </c>
      <c r="C4097" t="s">
        <v>8539</v>
      </c>
      <c r="D4097" t="s">
        <v>316</v>
      </c>
      <c r="F4097">
        <v>196276402</v>
      </c>
      <c r="G4097">
        <v>225838303</v>
      </c>
      <c r="H4097">
        <v>211649047</v>
      </c>
      <c r="I4097">
        <v>218457100</v>
      </c>
      <c r="P4097">
        <v>342</v>
      </c>
      <c r="Q4097" t="s">
        <v>8540</v>
      </c>
    </row>
    <row r="4098" spans="1:17" x14ac:dyDescent="0.3">
      <c r="A4098" t="s">
        <v>4729</v>
      </c>
      <c r="B4098" t="str">
        <f>"300298"</f>
        <v>300298</v>
      </c>
      <c r="C4098" t="s">
        <v>8541</v>
      </c>
      <c r="D4098" t="s">
        <v>122</v>
      </c>
      <c r="F4098">
        <v>182434295</v>
      </c>
      <c r="G4098">
        <v>182489822</v>
      </c>
      <c r="H4098">
        <v>161335087</v>
      </c>
      <c r="I4098">
        <v>128819332</v>
      </c>
      <c r="P4098">
        <v>619</v>
      </c>
      <c r="Q4098" t="s">
        <v>8542</v>
      </c>
    </row>
    <row r="4099" spans="1:17" x14ac:dyDescent="0.3">
      <c r="A4099" t="s">
        <v>4729</v>
      </c>
      <c r="B4099" t="str">
        <f>"300299"</f>
        <v>300299</v>
      </c>
      <c r="C4099" t="s">
        <v>8543</v>
      </c>
      <c r="D4099" t="s">
        <v>517</v>
      </c>
      <c r="F4099">
        <v>84852766</v>
      </c>
      <c r="G4099">
        <v>71437346</v>
      </c>
      <c r="H4099">
        <v>77501147</v>
      </c>
      <c r="I4099">
        <v>66175698</v>
      </c>
      <c r="P4099">
        <v>187</v>
      </c>
      <c r="Q4099" t="s">
        <v>8544</v>
      </c>
    </row>
    <row r="4100" spans="1:17" x14ac:dyDescent="0.3">
      <c r="A4100" t="s">
        <v>4729</v>
      </c>
      <c r="B4100" t="str">
        <f>"300300"</f>
        <v>300300</v>
      </c>
      <c r="C4100" t="s">
        <v>8545</v>
      </c>
      <c r="D4100" t="s">
        <v>316</v>
      </c>
      <c r="F4100">
        <v>27067604</v>
      </c>
      <c r="G4100">
        <v>25986601</v>
      </c>
      <c r="H4100">
        <v>23101502</v>
      </c>
      <c r="I4100">
        <v>32028557</v>
      </c>
      <c r="P4100">
        <v>121</v>
      </c>
      <c r="Q4100" t="s">
        <v>8546</v>
      </c>
    </row>
    <row r="4101" spans="1:17" x14ac:dyDescent="0.3">
      <c r="A4101" t="s">
        <v>4729</v>
      </c>
      <c r="B4101" t="str">
        <f>"300301"</f>
        <v>300301</v>
      </c>
      <c r="C4101" t="s">
        <v>8547</v>
      </c>
      <c r="D4101" t="s">
        <v>803</v>
      </c>
      <c r="F4101">
        <v>69113700</v>
      </c>
      <c r="G4101">
        <v>98611183</v>
      </c>
      <c r="H4101">
        <v>107955493</v>
      </c>
      <c r="I4101">
        <v>100429768</v>
      </c>
      <c r="P4101">
        <v>75</v>
      </c>
      <c r="Q4101" t="s">
        <v>8548</v>
      </c>
    </row>
    <row r="4102" spans="1:17" x14ac:dyDescent="0.3">
      <c r="A4102" t="s">
        <v>4729</v>
      </c>
      <c r="B4102" t="str">
        <f>"300302"</f>
        <v>300302</v>
      </c>
      <c r="C4102" t="s">
        <v>8549</v>
      </c>
      <c r="D4102" t="s">
        <v>236</v>
      </c>
      <c r="F4102">
        <v>70273041</v>
      </c>
      <c r="G4102">
        <v>35874142</v>
      </c>
      <c r="H4102">
        <v>43450853</v>
      </c>
      <c r="I4102">
        <v>30049370</v>
      </c>
      <c r="P4102">
        <v>146</v>
      </c>
      <c r="Q4102" t="s">
        <v>8550</v>
      </c>
    </row>
    <row r="4103" spans="1:17" x14ac:dyDescent="0.3">
      <c r="A4103" t="s">
        <v>4729</v>
      </c>
      <c r="B4103" t="str">
        <f>"300303"</f>
        <v>300303</v>
      </c>
      <c r="C4103" t="s">
        <v>8551</v>
      </c>
      <c r="D4103" t="s">
        <v>803</v>
      </c>
      <c r="F4103">
        <v>130430691</v>
      </c>
      <c r="G4103">
        <v>114431541</v>
      </c>
      <c r="H4103">
        <v>120828558</v>
      </c>
      <c r="I4103">
        <v>95983309</v>
      </c>
      <c r="P4103">
        <v>256</v>
      </c>
      <c r="Q4103" t="s">
        <v>8552</v>
      </c>
    </row>
    <row r="4104" spans="1:17" x14ac:dyDescent="0.3">
      <c r="A4104" t="s">
        <v>4729</v>
      </c>
      <c r="B4104" t="str">
        <f>"300304"</f>
        <v>300304</v>
      </c>
      <c r="C4104" t="s">
        <v>8553</v>
      </c>
      <c r="D4104" t="s">
        <v>1415</v>
      </c>
      <c r="F4104">
        <v>105535990</v>
      </c>
      <c r="G4104">
        <v>82690500</v>
      </c>
      <c r="H4104">
        <v>79139344</v>
      </c>
      <c r="I4104">
        <v>57217818</v>
      </c>
      <c r="P4104">
        <v>114</v>
      </c>
      <c r="Q4104" t="s">
        <v>8554</v>
      </c>
    </row>
    <row r="4105" spans="1:17" x14ac:dyDescent="0.3">
      <c r="A4105" t="s">
        <v>4729</v>
      </c>
      <c r="B4105" t="str">
        <f>"300305"</f>
        <v>300305</v>
      </c>
      <c r="C4105" t="s">
        <v>8555</v>
      </c>
      <c r="D4105" t="s">
        <v>324</v>
      </c>
      <c r="F4105">
        <v>63991665</v>
      </c>
      <c r="G4105">
        <v>45087925</v>
      </c>
      <c r="H4105">
        <v>38743749</v>
      </c>
      <c r="I4105">
        <v>29021940</v>
      </c>
      <c r="P4105">
        <v>147</v>
      </c>
      <c r="Q4105" t="s">
        <v>8556</v>
      </c>
    </row>
    <row r="4106" spans="1:17" x14ac:dyDescent="0.3">
      <c r="A4106" t="s">
        <v>4729</v>
      </c>
      <c r="B4106" t="str">
        <f>"300306"</f>
        <v>300306</v>
      </c>
      <c r="C4106" t="s">
        <v>8557</v>
      </c>
      <c r="D4106" t="s">
        <v>2566</v>
      </c>
      <c r="F4106">
        <v>90299909</v>
      </c>
      <c r="G4106">
        <v>71491415</v>
      </c>
      <c r="H4106">
        <v>69878688</v>
      </c>
      <c r="I4106">
        <v>74448488</v>
      </c>
      <c r="P4106">
        <v>169</v>
      </c>
      <c r="Q4106" t="s">
        <v>8558</v>
      </c>
    </row>
    <row r="4107" spans="1:17" x14ac:dyDescent="0.3">
      <c r="A4107" t="s">
        <v>4729</v>
      </c>
      <c r="B4107" t="str">
        <f>"300307"</f>
        <v>300307</v>
      </c>
      <c r="C4107" t="s">
        <v>8559</v>
      </c>
      <c r="D4107" t="s">
        <v>534</v>
      </c>
      <c r="F4107">
        <v>76454969</v>
      </c>
      <c r="G4107">
        <v>66716651</v>
      </c>
      <c r="H4107">
        <v>77107625</v>
      </c>
      <c r="I4107">
        <v>64907656</v>
      </c>
      <c r="P4107">
        <v>2981</v>
      </c>
      <c r="Q4107" t="s">
        <v>8560</v>
      </c>
    </row>
    <row r="4108" spans="1:17" x14ac:dyDescent="0.3">
      <c r="A4108" t="s">
        <v>4729</v>
      </c>
      <c r="B4108" t="str">
        <f>"300308"</f>
        <v>300308</v>
      </c>
      <c r="C4108" t="s">
        <v>8561</v>
      </c>
      <c r="D4108" t="s">
        <v>1019</v>
      </c>
      <c r="F4108">
        <v>541099310</v>
      </c>
      <c r="G4108">
        <v>506428982</v>
      </c>
      <c r="H4108">
        <v>362353137</v>
      </c>
      <c r="I4108">
        <v>309472803</v>
      </c>
      <c r="P4108">
        <v>814</v>
      </c>
      <c r="Q4108" t="s">
        <v>8562</v>
      </c>
    </row>
    <row r="4109" spans="1:17" x14ac:dyDescent="0.3">
      <c r="A4109" t="s">
        <v>4729</v>
      </c>
      <c r="B4109" t="str">
        <f>"300309"</f>
        <v>300309</v>
      </c>
      <c r="C4109" t="s">
        <v>8563</v>
      </c>
      <c r="D4109" t="s">
        <v>116</v>
      </c>
      <c r="F4109">
        <v>0</v>
      </c>
      <c r="G4109">
        <v>0</v>
      </c>
      <c r="H4109">
        <v>1040448</v>
      </c>
      <c r="I4109">
        <v>7321588</v>
      </c>
      <c r="P4109">
        <v>108</v>
      </c>
      <c r="Q4109" t="s">
        <v>8564</v>
      </c>
    </row>
    <row r="4110" spans="1:17" x14ac:dyDescent="0.3">
      <c r="A4110" t="s">
        <v>4729</v>
      </c>
      <c r="B4110" t="str">
        <f>"300310"</f>
        <v>300310</v>
      </c>
      <c r="C4110" t="s">
        <v>8565</v>
      </c>
      <c r="D4110" t="s">
        <v>654</v>
      </c>
      <c r="F4110">
        <v>93630773</v>
      </c>
      <c r="G4110">
        <v>84273193</v>
      </c>
      <c r="H4110">
        <v>91441218</v>
      </c>
      <c r="I4110">
        <v>90176951</v>
      </c>
      <c r="P4110">
        <v>257</v>
      </c>
      <c r="Q4110" t="s">
        <v>8566</v>
      </c>
    </row>
    <row r="4111" spans="1:17" x14ac:dyDescent="0.3">
      <c r="A4111" t="s">
        <v>4729</v>
      </c>
      <c r="B4111" t="str">
        <f>"300311"</f>
        <v>300311</v>
      </c>
      <c r="C4111" t="s">
        <v>8567</v>
      </c>
      <c r="D4111" t="s">
        <v>1189</v>
      </c>
      <c r="F4111">
        <v>198401979</v>
      </c>
      <c r="G4111">
        <v>178286257</v>
      </c>
      <c r="H4111">
        <v>197515253</v>
      </c>
      <c r="I4111">
        <v>168506693</v>
      </c>
      <c r="P4111">
        <v>161</v>
      </c>
      <c r="Q4111" t="s">
        <v>8568</v>
      </c>
    </row>
    <row r="4112" spans="1:17" x14ac:dyDescent="0.3">
      <c r="A4112" t="s">
        <v>4729</v>
      </c>
      <c r="B4112" t="str">
        <f>"300312"</f>
        <v>300312</v>
      </c>
      <c r="C4112" t="s">
        <v>8569</v>
      </c>
      <c r="D4112" t="s">
        <v>1019</v>
      </c>
      <c r="G4112">
        <v>4276196</v>
      </c>
      <c r="H4112">
        <v>7599860</v>
      </c>
      <c r="I4112">
        <v>54466373</v>
      </c>
      <c r="P4112">
        <v>134</v>
      </c>
      <c r="Q4112" t="s">
        <v>8570</v>
      </c>
    </row>
    <row r="4113" spans="1:17" x14ac:dyDescent="0.3">
      <c r="A4113" t="s">
        <v>4729</v>
      </c>
      <c r="B4113" t="str">
        <f>"300313"</f>
        <v>300313</v>
      </c>
      <c r="C4113" t="s">
        <v>8571</v>
      </c>
      <c r="D4113" t="s">
        <v>1882</v>
      </c>
      <c r="F4113">
        <v>1514603</v>
      </c>
      <c r="G4113">
        <v>763945</v>
      </c>
      <c r="H4113">
        <v>2101775</v>
      </c>
      <c r="I4113">
        <v>1288081</v>
      </c>
      <c r="P4113">
        <v>85</v>
      </c>
      <c r="Q4113" t="s">
        <v>8572</v>
      </c>
    </row>
    <row r="4114" spans="1:17" x14ac:dyDescent="0.3">
      <c r="A4114" t="s">
        <v>4729</v>
      </c>
      <c r="B4114" t="str">
        <f>"300314"</f>
        <v>300314</v>
      </c>
      <c r="C4114" t="s">
        <v>8573</v>
      </c>
      <c r="D4114" t="s">
        <v>122</v>
      </c>
      <c r="F4114">
        <v>49694150</v>
      </c>
      <c r="G4114">
        <v>40223445</v>
      </c>
      <c r="H4114">
        <v>40328018</v>
      </c>
      <c r="I4114">
        <v>28254155</v>
      </c>
      <c r="P4114">
        <v>196</v>
      </c>
      <c r="Q4114" t="s">
        <v>8574</v>
      </c>
    </row>
    <row r="4115" spans="1:17" x14ac:dyDescent="0.3">
      <c r="A4115" t="s">
        <v>4729</v>
      </c>
      <c r="B4115" t="str">
        <f>"300315"</f>
        <v>300315</v>
      </c>
      <c r="C4115" t="s">
        <v>8575</v>
      </c>
      <c r="D4115" t="s">
        <v>517</v>
      </c>
      <c r="F4115">
        <v>557778772</v>
      </c>
      <c r="G4115">
        <v>481443949</v>
      </c>
      <c r="H4115">
        <v>379309877</v>
      </c>
      <c r="I4115">
        <v>465258407</v>
      </c>
      <c r="P4115">
        <v>456</v>
      </c>
      <c r="Q4115" t="s">
        <v>8576</v>
      </c>
    </row>
    <row r="4116" spans="1:17" x14ac:dyDescent="0.3">
      <c r="A4116" t="s">
        <v>4729</v>
      </c>
      <c r="B4116" t="str">
        <f>"300316"</f>
        <v>300316</v>
      </c>
      <c r="C4116" t="s">
        <v>8577</v>
      </c>
      <c r="D4116" t="s">
        <v>2671</v>
      </c>
      <c r="F4116">
        <v>353578358</v>
      </c>
      <c r="G4116">
        <v>227162422</v>
      </c>
      <c r="H4116">
        <v>186029006</v>
      </c>
      <c r="I4116">
        <v>182907032</v>
      </c>
      <c r="P4116">
        <v>1072</v>
      </c>
      <c r="Q4116" t="s">
        <v>8578</v>
      </c>
    </row>
    <row r="4117" spans="1:17" x14ac:dyDescent="0.3">
      <c r="A4117" t="s">
        <v>4729</v>
      </c>
      <c r="B4117" t="str">
        <f>"300317"</f>
        <v>300317</v>
      </c>
      <c r="C4117" t="s">
        <v>8579</v>
      </c>
      <c r="D4117" t="s">
        <v>86</v>
      </c>
      <c r="F4117">
        <v>13304106</v>
      </c>
      <c r="G4117">
        <v>15699859</v>
      </c>
      <c r="H4117">
        <v>33036616</v>
      </c>
      <c r="I4117">
        <v>54427782</v>
      </c>
      <c r="P4117">
        <v>142</v>
      </c>
      <c r="Q4117" t="s">
        <v>8580</v>
      </c>
    </row>
    <row r="4118" spans="1:17" x14ac:dyDescent="0.3">
      <c r="A4118" t="s">
        <v>4729</v>
      </c>
      <c r="B4118" t="str">
        <f>"300318"</f>
        <v>300318</v>
      </c>
      <c r="C4118" t="s">
        <v>8581</v>
      </c>
      <c r="D4118" t="s">
        <v>1305</v>
      </c>
      <c r="F4118">
        <v>81481137</v>
      </c>
      <c r="G4118">
        <v>48177904</v>
      </c>
      <c r="H4118">
        <v>46577177</v>
      </c>
      <c r="I4118">
        <v>53456738</v>
      </c>
      <c r="P4118">
        <v>144</v>
      </c>
      <c r="Q4118" t="s">
        <v>8582</v>
      </c>
    </row>
    <row r="4119" spans="1:17" x14ac:dyDescent="0.3">
      <c r="A4119" t="s">
        <v>4729</v>
      </c>
      <c r="B4119" t="str">
        <f>"300319"</f>
        <v>300319</v>
      </c>
      <c r="C4119" t="s">
        <v>8583</v>
      </c>
      <c r="D4119" t="s">
        <v>546</v>
      </c>
      <c r="F4119">
        <v>149759312</v>
      </c>
      <c r="G4119">
        <v>94814468</v>
      </c>
      <c r="H4119">
        <v>62446962</v>
      </c>
      <c r="I4119">
        <v>56117017</v>
      </c>
      <c r="P4119">
        <v>3161</v>
      </c>
      <c r="Q4119" t="s">
        <v>8584</v>
      </c>
    </row>
    <row r="4120" spans="1:17" x14ac:dyDescent="0.3">
      <c r="A4120" t="s">
        <v>4729</v>
      </c>
      <c r="B4120" t="str">
        <f>"300320"</f>
        <v>300320</v>
      </c>
      <c r="C4120" t="s">
        <v>8585</v>
      </c>
      <c r="D4120" t="s">
        <v>2469</v>
      </c>
      <c r="F4120">
        <v>96196773</v>
      </c>
      <c r="G4120">
        <v>89824705</v>
      </c>
      <c r="H4120">
        <v>88875040</v>
      </c>
      <c r="I4120">
        <v>78439563</v>
      </c>
      <c r="P4120">
        <v>151</v>
      </c>
      <c r="Q4120" t="s">
        <v>8586</v>
      </c>
    </row>
    <row r="4121" spans="1:17" x14ac:dyDescent="0.3">
      <c r="A4121" t="s">
        <v>4729</v>
      </c>
      <c r="B4121" t="str">
        <f>"300321"</f>
        <v>300321</v>
      </c>
      <c r="C4121" t="s">
        <v>8587</v>
      </c>
      <c r="D4121" t="s">
        <v>528</v>
      </c>
      <c r="F4121">
        <v>17204807</v>
      </c>
      <c r="G4121">
        <v>20482398</v>
      </c>
      <c r="H4121">
        <v>23155974</v>
      </c>
      <c r="I4121">
        <v>24066489</v>
      </c>
      <c r="P4121">
        <v>45</v>
      </c>
      <c r="Q4121" t="s">
        <v>8588</v>
      </c>
    </row>
    <row r="4122" spans="1:17" x14ac:dyDescent="0.3">
      <c r="A4122" t="s">
        <v>4729</v>
      </c>
      <c r="B4122" t="str">
        <f>"300322"</f>
        <v>300322</v>
      </c>
      <c r="C4122" t="s">
        <v>8589</v>
      </c>
      <c r="D4122" t="s">
        <v>313</v>
      </c>
      <c r="F4122">
        <v>131606205</v>
      </c>
      <c r="G4122">
        <v>120263340</v>
      </c>
      <c r="H4122">
        <v>116141371</v>
      </c>
      <c r="I4122">
        <v>114408250</v>
      </c>
      <c r="P4122">
        <v>387</v>
      </c>
      <c r="Q4122" t="s">
        <v>8590</v>
      </c>
    </row>
    <row r="4123" spans="1:17" x14ac:dyDescent="0.3">
      <c r="A4123" t="s">
        <v>4729</v>
      </c>
      <c r="B4123" t="str">
        <f>"300323"</f>
        <v>300323</v>
      </c>
      <c r="C4123" t="s">
        <v>8591</v>
      </c>
      <c r="D4123" t="s">
        <v>803</v>
      </c>
      <c r="F4123">
        <v>132425212</v>
      </c>
      <c r="G4123">
        <v>77775345</v>
      </c>
      <c r="H4123">
        <v>137959645</v>
      </c>
      <c r="I4123">
        <v>103647307</v>
      </c>
      <c r="P4123">
        <v>293</v>
      </c>
      <c r="Q4123" t="s">
        <v>8592</v>
      </c>
    </row>
    <row r="4124" spans="1:17" x14ac:dyDescent="0.3">
      <c r="A4124" t="s">
        <v>4729</v>
      </c>
      <c r="B4124" t="str">
        <f>"300324"</f>
        <v>300324</v>
      </c>
      <c r="C4124" t="s">
        <v>8593</v>
      </c>
      <c r="D4124" t="s">
        <v>236</v>
      </c>
      <c r="F4124">
        <v>335236193</v>
      </c>
      <c r="G4124">
        <v>259741587</v>
      </c>
      <c r="H4124">
        <v>194261257</v>
      </c>
      <c r="I4124">
        <v>170485386</v>
      </c>
      <c r="P4124">
        <v>235</v>
      </c>
      <c r="Q4124" t="s">
        <v>8594</v>
      </c>
    </row>
    <row r="4125" spans="1:17" x14ac:dyDescent="0.3">
      <c r="A4125" t="s">
        <v>4729</v>
      </c>
      <c r="B4125" t="str">
        <f>"300325"</f>
        <v>300325</v>
      </c>
      <c r="C4125" t="s">
        <v>8595</v>
      </c>
      <c r="D4125" t="s">
        <v>1192</v>
      </c>
      <c r="F4125">
        <v>51690705</v>
      </c>
      <c r="G4125">
        <v>65651495</v>
      </c>
      <c r="H4125">
        <v>63330333</v>
      </c>
      <c r="I4125">
        <v>54111370</v>
      </c>
      <c r="P4125">
        <v>81</v>
      </c>
      <c r="Q4125" t="s">
        <v>8596</v>
      </c>
    </row>
    <row r="4126" spans="1:17" x14ac:dyDescent="0.3">
      <c r="A4126" t="s">
        <v>4729</v>
      </c>
      <c r="B4126" t="str">
        <f>"300326"</f>
        <v>300326</v>
      </c>
      <c r="C4126" t="s">
        <v>8597</v>
      </c>
      <c r="D4126" t="s">
        <v>1077</v>
      </c>
      <c r="F4126">
        <v>69774439</v>
      </c>
      <c r="G4126">
        <v>46641973</v>
      </c>
      <c r="H4126">
        <v>48670094</v>
      </c>
      <c r="I4126">
        <v>43468716</v>
      </c>
      <c r="P4126">
        <v>854</v>
      </c>
      <c r="Q4126" t="s">
        <v>8598</v>
      </c>
    </row>
    <row r="4127" spans="1:17" x14ac:dyDescent="0.3">
      <c r="A4127" t="s">
        <v>4729</v>
      </c>
      <c r="B4127" t="str">
        <f>"300327"</f>
        <v>300327</v>
      </c>
      <c r="C4127" t="s">
        <v>8599</v>
      </c>
      <c r="D4127" t="s">
        <v>461</v>
      </c>
      <c r="F4127">
        <v>264390383</v>
      </c>
      <c r="G4127">
        <v>172782873</v>
      </c>
      <c r="H4127">
        <v>135455874</v>
      </c>
      <c r="I4127">
        <v>119697759</v>
      </c>
      <c r="P4127">
        <v>4063</v>
      </c>
      <c r="Q4127" t="s">
        <v>8600</v>
      </c>
    </row>
    <row r="4128" spans="1:17" x14ac:dyDescent="0.3">
      <c r="A4128" t="s">
        <v>4729</v>
      </c>
      <c r="B4128" t="str">
        <f>"300328"</f>
        <v>300328</v>
      </c>
      <c r="C4128" t="s">
        <v>8601</v>
      </c>
      <c r="D4128" t="s">
        <v>636</v>
      </c>
      <c r="F4128">
        <v>82356132</v>
      </c>
      <c r="G4128">
        <v>70731608</v>
      </c>
      <c r="H4128">
        <v>57201885</v>
      </c>
      <c r="I4128">
        <v>49540929</v>
      </c>
      <c r="P4128">
        <v>232</v>
      </c>
      <c r="Q4128" t="s">
        <v>8602</v>
      </c>
    </row>
    <row r="4129" spans="1:17" x14ac:dyDescent="0.3">
      <c r="A4129" t="s">
        <v>4729</v>
      </c>
      <c r="B4129" t="str">
        <f>"300329"</f>
        <v>300329</v>
      </c>
      <c r="C4129" t="s">
        <v>8603</v>
      </c>
      <c r="D4129" t="s">
        <v>2931</v>
      </c>
      <c r="F4129">
        <v>21849888</v>
      </c>
      <c r="G4129">
        <v>20398269</v>
      </c>
      <c r="H4129">
        <v>22347354</v>
      </c>
      <c r="I4129">
        <v>19963084</v>
      </c>
      <c r="P4129">
        <v>96</v>
      </c>
      <c r="Q4129" t="s">
        <v>8604</v>
      </c>
    </row>
    <row r="4130" spans="1:17" x14ac:dyDescent="0.3">
      <c r="A4130" t="s">
        <v>4729</v>
      </c>
      <c r="B4130" t="str">
        <f>"300330"</f>
        <v>300330</v>
      </c>
      <c r="C4130" t="s">
        <v>8605</v>
      </c>
      <c r="D4130" t="s">
        <v>236</v>
      </c>
      <c r="F4130">
        <v>27933792</v>
      </c>
      <c r="G4130">
        <v>14899059</v>
      </c>
      <c r="H4130">
        <v>16061149</v>
      </c>
      <c r="I4130">
        <v>10599557</v>
      </c>
      <c r="P4130">
        <v>82</v>
      </c>
      <c r="Q4130" t="s">
        <v>8606</v>
      </c>
    </row>
    <row r="4131" spans="1:17" x14ac:dyDescent="0.3">
      <c r="A4131" t="s">
        <v>4729</v>
      </c>
      <c r="B4131" t="str">
        <f>"300331"</f>
        <v>300331</v>
      </c>
      <c r="C4131" t="s">
        <v>8607</v>
      </c>
      <c r="D4131" t="s">
        <v>1117</v>
      </c>
      <c r="F4131">
        <v>129333528</v>
      </c>
      <c r="G4131">
        <v>93233122</v>
      </c>
      <c r="H4131">
        <v>79774741</v>
      </c>
      <c r="I4131">
        <v>80131582</v>
      </c>
      <c r="P4131">
        <v>164</v>
      </c>
      <c r="Q4131" t="s">
        <v>8608</v>
      </c>
    </row>
    <row r="4132" spans="1:17" x14ac:dyDescent="0.3">
      <c r="A4132" t="s">
        <v>4729</v>
      </c>
      <c r="B4132" t="str">
        <f>"300332"</f>
        <v>300332</v>
      </c>
      <c r="C4132" t="s">
        <v>8609</v>
      </c>
      <c r="D4132" t="s">
        <v>749</v>
      </c>
      <c r="F4132">
        <v>27247959</v>
      </c>
      <c r="G4132">
        <v>38634046</v>
      </c>
      <c r="H4132">
        <v>38310086</v>
      </c>
      <c r="I4132">
        <v>42873265</v>
      </c>
      <c r="P4132">
        <v>117</v>
      </c>
      <c r="Q4132" t="s">
        <v>8610</v>
      </c>
    </row>
    <row r="4133" spans="1:17" x14ac:dyDescent="0.3">
      <c r="A4133" t="s">
        <v>4729</v>
      </c>
      <c r="B4133" t="str">
        <f>"300333"</f>
        <v>300333</v>
      </c>
      <c r="C4133" t="s">
        <v>8611</v>
      </c>
      <c r="D4133" t="s">
        <v>236</v>
      </c>
      <c r="F4133">
        <v>99183884</v>
      </c>
      <c r="G4133">
        <v>85514340</v>
      </c>
      <c r="H4133">
        <v>58321278</v>
      </c>
      <c r="I4133">
        <v>49090617</v>
      </c>
      <c r="P4133">
        <v>94</v>
      </c>
      <c r="Q4133" t="s">
        <v>8612</v>
      </c>
    </row>
    <row r="4134" spans="1:17" x14ac:dyDescent="0.3">
      <c r="A4134" t="s">
        <v>4729</v>
      </c>
      <c r="B4134" t="str">
        <f>"300334"</f>
        <v>300334</v>
      </c>
      <c r="C4134" t="s">
        <v>8613</v>
      </c>
      <c r="D4134" t="s">
        <v>33</v>
      </c>
      <c r="F4134">
        <v>28054507</v>
      </c>
      <c r="G4134">
        <v>40284118</v>
      </c>
      <c r="H4134">
        <v>65207625</v>
      </c>
      <c r="I4134">
        <v>62809726</v>
      </c>
      <c r="P4134">
        <v>80</v>
      </c>
      <c r="Q4134" t="s">
        <v>8614</v>
      </c>
    </row>
    <row r="4135" spans="1:17" x14ac:dyDescent="0.3">
      <c r="A4135" t="s">
        <v>4729</v>
      </c>
      <c r="B4135" t="str">
        <f>"300335"</f>
        <v>300335</v>
      </c>
      <c r="C4135" t="s">
        <v>8615</v>
      </c>
      <c r="D4135" t="s">
        <v>351</v>
      </c>
      <c r="F4135">
        <v>39876043</v>
      </c>
      <c r="G4135">
        <v>38000590</v>
      </c>
      <c r="H4135">
        <v>33774814</v>
      </c>
      <c r="I4135">
        <v>49513506</v>
      </c>
      <c r="P4135">
        <v>231</v>
      </c>
      <c r="Q4135" t="s">
        <v>8616</v>
      </c>
    </row>
    <row r="4136" spans="1:17" x14ac:dyDescent="0.3">
      <c r="A4136" t="s">
        <v>4729</v>
      </c>
      <c r="B4136" t="str">
        <f>"300336"</f>
        <v>300336</v>
      </c>
      <c r="C4136" t="s">
        <v>8617</v>
      </c>
      <c r="D4136" t="s">
        <v>5132</v>
      </c>
      <c r="F4136">
        <v>0</v>
      </c>
      <c r="G4136">
        <v>0</v>
      </c>
      <c r="P4136">
        <v>98</v>
      </c>
      <c r="Q4136" t="s">
        <v>8618</v>
      </c>
    </row>
    <row r="4137" spans="1:17" x14ac:dyDescent="0.3">
      <c r="A4137" t="s">
        <v>4729</v>
      </c>
      <c r="B4137" t="str">
        <f>"300337"</f>
        <v>300337</v>
      </c>
      <c r="C4137" t="s">
        <v>8619</v>
      </c>
      <c r="D4137" t="s">
        <v>504</v>
      </c>
      <c r="F4137">
        <v>106512334</v>
      </c>
      <c r="G4137">
        <v>83421827</v>
      </c>
      <c r="H4137">
        <v>73305121</v>
      </c>
      <c r="I4137">
        <v>45301339</v>
      </c>
      <c r="P4137">
        <v>142</v>
      </c>
      <c r="Q4137" t="s">
        <v>8620</v>
      </c>
    </row>
    <row r="4138" spans="1:17" x14ac:dyDescent="0.3">
      <c r="A4138" t="s">
        <v>4729</v>
      </c>
      <c r="B4138" t="str">
        <f>"300338"</f>
        <v>300338</v>
      </c>
      <c r="C4138" t="s">
        <v>8621</v>
      </c>
      <c r="D4138" t="s">
        <v>1336</v>
      </c>
      <c r="F4138">
        <v>70335495</v>
      </c>
      <c r="G4138">
        <v>62277357</v>
      </c>
      <c r="H4138">
        <v>67014263</v>
      </c>
      <c r="I4138">
        <v>86477442</v>
      </c>
      <c r="P4138">
        <v>118</v>
      </c>
      <c r="Q4138" t="s">
        <v>8622</v>
      </c>
    </row>
    <row r="4139" spans="1:17" x14ac:dyDescent="0.3">
      <c r="A4139" t="s">
        <v>4729</v>
      </c>
      <c r="B4139" t="str">
        <f>"300339"</f>
        <v>300339</v>
      </c>
      <c r="C4139" t="s">
        <v>8623</v>
      </c>
      <c r="D4139" t="s">
        <v>316</v>
      </c>
      <c r="F4139">
        <v>282128013</v>
      </c>
      <c r="G4139">
        <v>251584236</v>
      </c>
      <c r="H4139">
        <v>227000503</v>
      </c>
      <c r="I4139">
        <v>231799180</v>
      </c>
      <c r="P4139">
        <v>332</v>
      </c>
      <c r="Q4139" t="s">
        <v>8624</v>
      </c>
    </row>
    <row r="4140" spans="1:17" x14ac:dyDescent="0.3">
      <c r="A4140" t="s">
        <v>4729</v>
      </c>
      <c r="B4140" t="str">
        <f>"300340"</f>
        <v>300340</v>
      </c>
      <c r="C4140" t="s">
        <v>8625</v>
      </c>
      <c r="D4140" t="s">
        <v>1790</v>
      </c>
      <c r="F4140">
        <v>185330569</v>
      </c>
      <c r="G4140">
        <v>111192553</v>
      </c>
      <c r="H4140">
        <v>102343706</v>
      </c>
      <c r="I4140">
        <v>94294153</v>
      </c>
      <c r="P4140">
        <v>96</v>
      </c>
      <c r="Q4140" t="s">
        <v>8626</v>
      </c>
    </row>
    <row r="4141" spans="1:17" x14ac:dyDescent="0.3">
      <c r="A4141" t="s">
        <v>4729</v>
      </c>
      <c r="B4141" t="str">
        <f>"300341"</f>
        <v>300341</v>
      </c>
      <c r="C4141" t="s">
        <v>8627</v>
      </c>
      <c r="D4141" t="s">
        <v>210</v>
      </c>
      <c r="F4141">
        <v>70406622</v>
      </c>
      <c r="G4141">
        <v>56647390</v>
      </c>
      <c r="H4141">
        <v>57077281</v>
      </c>
      <c r="I4141">
        <v>51019336</v>
      </c>
      <c r="P4141">
        <v>142</v>
      </c>
      <c r="Q4141" t="s">
        <v>8628</v>
      </c>
    </row>
    <row r="4142" spans="1:17" x14ac:dyDescent="0.3">
      <c r="A4142" t="s">
        <v>4729</v>
      </c>
      <c r="B4142" t="str">
        <f>"300342"</f>
        <v>300342</v>
      </c>
      <c r="C4142" t="s">
        <v>8629</v>
      </c>
      <c r="D4142" t="s">
        <v>1253</v>
      </c>
      <c r="F4142">
        <v>92636092</v>
      </c>
      <c r="G4142">
        <v>82836230</v>
      </c>
      <c r="H4142">
        <v>80965947</v>
      </c>
      <c r="I4142">
        <v>53224621</v>
      </c>
      <c r="P4142">
        <v>181</v>
      </c>
      <c r="Q4142" t="s">
        <v>8630</v>
      </c>
    </row>
    <row r="4143" spans="1:17" x14ac:dyDescent="0.3">
      <c r="A4143" t="s">
        <v>4729</v>
      </c>
      <c r="B4143" t="str">
        <f>"300343"</f>
        <v>300343</v>
      </c>
      <c r="C4143" t="s">
        <v>8631</v>
      </c>
      <c r="D4143" t="s">
        <v>207</v>
      </c>
      <c r="F4143">
        <v>67308504</v>
      </c>
      <c r="G4143">
        <v>41129607</v>
      </c>
      <c r="H4143">
        <v>55758953</v>
      </c>
      <c r="I4143">
        <v>27804179</v>
      </c>
      <c r="P4143">
        <v>155</v>
      </c>
      <c r="Q4143" t="s">
        <v>8632</v>
      </c>
    </row>
    <row r="4144" spans="1:17" x14ac:dyDescent="0.3">
      <c r="A4144" t="s">
        <v>4729</v>
      </c>
      <c r="B4144" t="str">
        <f>"300344"</f>
        <v>300344</v>
      </c>
      <c r="C4144" t="s">
        <v>8633</v>
      </c>
      <c r="D4144" t="s">
        <v>945</v>
      </c>
      <c r="F4144">
        <v>5025721</v>
      </c>
      <c r="G4144">
        <v>25862392</v>
      </c>
      <c r="H4144">
        <v>10901887</v>
      </c>
      <c r="I4144">
        <v>19088699</v>
      </c>
      <c r="P4144">
        <v>64</v>
      </c>
      <c r="Q4144" t="s">
        <v>8634</v>
      </c>
    </row>
    <row r="4145" spans="1:17" x14ac:dyDescent="0.3">
      <c r="A4145" t="s">
        <v>4729</v>
      </c>
      <c r="B4145" t="str">
        <f>"300345"</f>
        <v>300345</v>
      </c>
      <c r="C4145" t="s">
        <v>8635</v>
      </c>
      <c r="D4145" t="s">
        <v>404</v>
      </c>
      <c r="F4145">
        <v>5391844</v>
      </c>
      <c r="G4145">
        <v>2478512</v>
      </c>
      <c r="H4145">
        <v>10310236</v>
      </c>
      <c r="I4145">
        <v>38402222</v>
      </c>
      <c r="P4145">
        <v>53</v>
      </c>
      <c r="Q4145" t="s">
        <v>8636</v>
      </c>
    </row>
    <row r="4146" spans="1:17" x14ac:dyDescent="0.3">
      <c r="A4146" t="s">
        <v>4729</v>
      </c>
      <c r="B4146" t="str">
        <f>"300346"</f>
        <v>300346</v>
      </c>
      <c r="C4146" t="s">
        <v>8637</v>
      </c>
      <c r="D4146" t="s">
        <v>2408</v>
      </c>
      <c r="F4146">
        <v>117518480</v>
      </c>
      <c r="G4146">
        <v>63231844</v>
      </c>
      <c r="H4146">
        <v>39011080</v>
      </c>
      <c r="I4146">
        <v>37357336</v>
      </c>
      <c r="P4146">
        <v>447</v>
      </c>
      <c r="Q4146" t="s">
        <v>8638</v>
      </c>
    </row>
    <row r="4147" spans="1:17" x14ac:dyDescent="0.3">
      <c r="A4147" t="s">
        <v>4729</v>
      </c>
      <c r="B4147" t="str">
        <f>"300347"</f>
        <v>300347</v>
      </c>
      <c r="C4147" t="s">
        <v>8639</v>
      </c>
      <c r="D4147" t="s">
        <v>1461</v>
      </c>
      <c r="F4147">
        <v>211828605</v>
      </c>
      <c r="G4147">
        <v>156647696</v>
      </c>
      <c r="H4147">
        <v>124049308</v>
      </c>
      <c r="I4147">
        <v>88025353</v>
      </c>
      <c r="P4147">
        <v>3109</v>
      </c>
      <c r="Q4147" t="s">
        <v>8640</v>
      </c>
    </row>
    <row r="4148" spans="1:17" x14ac:dyDescent="0.3">
      <c r="A4148" t="s">
        <v>4729</v>
      </c>
      <c r="B4148" t="str">
        <f>"300348"</f>
        <v>300348</v>
      </c>
      <c r="C4148" t="s">
        <v>8641</v>
      </c>
      <c r="D4148" t="s">
        <v>945</v>
      </c>
      <c r="F4148">
        <v>134180843</v>
      </c>
      <c r="G4148">
        <v>159972542</v>
      </c>
      <c r="H4148">
        <v>154924644</v>
      </c>
      <c r="I4148">
        <v>94222024</v>
      </c>
      <c r="P4148">
        <v>364</v>
      </c>
      <c r="Q4148" t="s">
        <v>8642</v>
      </c>
    </row>
    <row r="4149" spans="1:17" x14ac:dyDescent="0.3">
      <c r="A4149" t="s">
        <v>4729</v>
      </c>
      <c r="B4149" t="str">
        <f>"300349"</f>
        <v>300349</v>
      </c>
      <c r="C4149" t="s">
        <v>8643</v>
      </c>
      <c r="D4149" t="s">
        <v>2566</v>
      </c>
      <c r="F4149">
        <v>214911047</v>
      </c>
      <c r="G4149">
        <v>186091210</v>
      </c>
      <c r="H4149">
        <v>161773447</v>
      </c>
      <c r="I4149">
        <v>116879858</v>
      </c>
      <c r="P4149">
        <v>395</v>
      </c>
      <c r="Q4149" t="s">
        <v>8644</v>
      </c>
    </row>
    <row r="4150" spans="1:17" x14ac:dyDescent="0.3">
      <c r="A4150" t="s">
        <v>4729</v>
      </c>
      <c r="B4150" t="str">
        <f>"300350"</f>
        <v>300350</v>
      </c>
      <c r="C4150" t="s">
        <v>8645</v>
      </c>
      <c r="D4150" t="s">
        <v>3125</v>
      </c>
      <c r="F4150">
        <v>40885969</v>
      </c>
      <c r="G4150">
        <v>39846210</v>
      </c>
      <c r="H4150">
        <v>46486002</v>
      </c>
      <c r="I4150">
        <v>44992517</v>
      </c>
      <c r="P4150">
        <v>106</v>
      </c>
      <c r="Q4150" t="s">
        <v>8646</v>
      </c>
    </row>
    <row r="4151" spans="1:17" x14ac:dyDescent="0.3">
      <c r="A4151" t="s">
        <v>4729</v>
      </c>
      <c r="B4151" t="str">
        <f>"300351"</f>
        <v>300351</v>
      </c>
      <c r="C4151" t="s">
        <v>8647</v>
      </c>
      <c r="D4151" t="s">
        <v>1012</v>
      </c>
      <c r="F4151">
        <v>94973580</v>
      </c>
      <c r="G4151">
        <v>88217973</v>
      </c>
      <c r="H4151">
        <v>108597199</v>
      </c>
      <c r="I4151">
        <v>79298656</v>
      </c>
      <c r="P4151">
        <v>234</v>
      </c>
      <c r="Q4151" t="s">
        <v>8648</v>
      </c>
    </row>
    <row r="4152" spans="1:17" x14ac:dyDescent="0.3">
      <c r="A4152" t="s">
        <v>4729</v>
      </c>
      <c r="B4152" t="str">
        <f>"300352"</f>
        <v>300352</v>
      </c>
      <c r="C4152" t="s">
        <v>8649</v>
      </c>
      <c r="D4152" t="s">
        <v>945</v>
      </c>
      <c r="F4152">
        <v>151391687</v>
      </c>
      <c r="G4152">
        <v>111021147</v>
      </c>
      <c r="H4152">
        <v>93666591</v>
      </c>
      <c r="I4152">
        <v>71927600</v>
      </c>
      <c r="P4152">
        <v>255</v>
      </c>
      <c r="Q4152" t="s">
        <v>8650</v>
      </c>
    </row>
    <row r="4153" spans="1:17" x14ac:dyDescent="0.3">
      <c r="A4153" t="s">
        <v>4729</v>
      </c>
      <c r="B4153" t="str">
        <f>"300353"</f>
        <v>300353</v>
      </c>
      <c r="C4153" t="s">
        <v>8651</v>
      </c>
      <c r="D4153" t="s">
        <v>595</v>
      </c>
      <c r="F4153">
        <v>183340610</v>
      </c>
      <c r="G4153">
        <v>188642158</v>
      </c>
      <c r="H4153">
        <v>162155458</v>
      </c>
      <c r="I4153">
        <v>124160047</v>
      </c>
      <c r="P4153">
        <v>3033</v>
      </c>
      <c r="Q4153" t="s">
        <v>8652</v>
      </c>
    </row>
    <row r="4154" spans="1:17" x14ac:dyDescent="0.3">
      <c r="A4154" t="s">
        <v>4729</v>
      </c>
      <c r="B4154" t="str">
        <f>"300354"</f>
        <v>300354</v>
      </c>
      <c r="C4154" t="s">
        <v>8653</v>
      </c>
      <c r="D4154" t="s">
        <v>2566</v>
      </c>
      <c r="F4154">
        <v>27104016</v>
      </c>
      <c r="G4154">
        <v>20210635</v>
      </c>
      <c r="H4154">
        <v>17851569</v>
      </c>
      <c r="I4154">
        <v>16613972</v>
      </c>
      <c r="P4154">
        <v>139</v>
      </c>
      <c r="Q4154" t="s">
        <v>8654</v>
      </c>
    </row>
    <row r="4155" spans="1:17" x14ac:dyDescent="0.3">
      <c r="A4155" t="s">
        <v>4729</v>
      </c>
      <c r="B4155" t="str">
        <f>"300355"</f>
        <v>300355</v>
      </c>
      <c r="C4155" t="s">
        <v>8655</v>
      </c>
      <c r="D4155" t="s">
        <v>2417</v>
      </c>
      <c r="F4155">
        <v>119097833</v>
      </c>
      <c r="G4155">
        <v>122990120</v>
      </c>
      <c r="H4155">
        <v>54868050</v>
      </c>
      <c r="I4155">
        <v>72278808</v>
      </c>
      <c r="P4155">
        <v>406</v>
      </c>
      <c r="Q4155" t="s">
        <v>8656</v>
      </c>
    </row>
    <row r="4156" spans="1:17" x14ac:dyDescent="0.3">
      <c r="A4156" t="s">
        <v>4729</v>
      </c>
      <c r="B4156" t="str">
        <f>"300356"</f>
        <v>300356</v>
      </c>
      <c r="C4156" t="s">
        <v>8657</v>
      </c>
      <c r="D4156" t="s">
        <v>2180</v>
      </c>
      <c r="F4156">
        <v>28588342</v>
      </c>
      <c r="G4156">
        <v>25919920</v>
      </c>
      <c r="H4156">
        <v>32887136</v>
      </c>
      <c r="I4156">
        <v>39969498</v>
      </c>
      <c r="P4156">
        <v>67</v>
      </c>
      <c r="Q4156" t="s">
        <v>8658</v>
      </c>
    </row>
    <row r="4157" spans="1:17" x14ac:dyDescent="0.3">
      <c r="A4157" t="s">
        <v>4729</v>
      </c>
      <c r="B4157" t="str">
        <f>"300357"</f>
        <v>300357</v>
      </c>
      <c r="C4157" t="s">
        <v>8659</v>
      </c>
      <c r="D4157" t="s">
        <v>1379</v>
      </c>
      <c r="F4157">
        <v>87926685</v>
      </c>
      <c r="G4157">
        <v>64874787</v>
      </c>
      <c r="H4157">
        <v>41171089</v>
      </c>
      <c r="I4157">
        <v>13478608</v>
      </c>
      <c r="P4157">
        <v>31268</v>
      </c>
      <c r="Q4157" t="s">
        <v>8660</v>
      </c>
    </row>
    <row r="4158" spans="1:17" x14ac:dyDescent="0.3">
      <c r="A4158" t="s">
        <v>4729</v>
      </c>
      <c r="B4158" t="str">
        <f>"300358"</f>
        <v>300358</v>
      </c>
      <c r="C4158" t="s">
        <v>8661</v>
      </c>
      <c r="D4158" t="s">
        <v>122</v>
      </c>
      <c r="F4158">
        <v>465755639</v>
      </c>
      <c r="G4158">
        <v>266535128</v>
      </c>
      <c r="H4158">
        <v>178641943</v>
      </c>
      <c r="I4158">
        <v>144608364</v>
      </c>
      <c r="P4158">
        <v>187</v>
      </c>
      <c r="Q4158" t="s">
        <v>8662</v>
      </c>
    </row>
    <row r="4159" spans="1:17" x14ac:dyDescent="0.3">
      <c r="A4159" t="s">
        <v>4729</v>
      </c>
      <c r="B4159" t="str">
        <f>"300359"</f>
        <v>300359</v>
      </c>
      <c r="C4159" t="s">
        <v>8663</v>
      </c>
      <c r="D4159" t="s">
        <v>1336</v>
      </c>
      <c r="F4159">
        <v>34029825</v>
      </c>
      <c r="G4159">
        <v>38030636</v>
      </c>
      <c r="H4159">
        <v>47474991</v>
      </c>
      <c r="I4159">
        <v>10520489</v>
      </c>
      <c r="P4159">
        <v>166</v>
      </c>
      <c r="Q4159" t="s">
        <v>8664</v>
      </c>
    </row>
    <row r="4160" spans="1:17" x14ac:dyDescent="0.3">
      <c r="A4160" t="s">
        <v>4729</v>
      </c>
      <c r="B4160" t="str">
        <f>"300360"</f>
        <v>300360</v>
      </c>
      <c r="C4160" t="s">
        <v>8665</v>
      </c>
      <c r="D4160" t="s">
        <v>2180</v>
      </c>
      <c r="F4160">
        <v>77858361</v>
      </c>
      <c r="G4160">
        <v>56197661</v>
      </c>
      <c r="H4160">
        <v>60198421</v>
      </c>
      <c r="I4160">
        <v>49288618</v>
      </c>
      <c r="P4160">
        <v>958</v>
      </c>
      <c r="Q4160" t="s">
        <v>8666</v>
      </c>
    </row>
    <row r="4161" spans="1:17" x14ac:dyDescent="0.3">
      <c r="A4161" t="s">
        <v>4729</v>
      </c>
      <c r="B4161" t="str">
        <f>"300361"</f>
        <v>300361</v>
      </c>
      <c r="C4161" t="s">
        <v>7298</v>
      </c>
      <c r="D4161" t="s">
        <v>143</v>
      </c>
      <c r="P4161">
        <v>8</v>
      </c>
      <c r="Q4161" t="s">
        <v>8667</v>
      </c>
    </row>
    <row r="4162" spans="1:17" x14ac:dyDescent="0.3">
      <c r="A4162" t="s">
        <v>4729</v>
      </c>
      <c r="B4162" t="str">
        <f>"300362"</f>
        <v>300362</v>
      </c>
      <c r="C4162" t="s">
        <v>8668</v>
      </c>
      <c r="G4162">
        <v>0</v>
      </c>
      <c r="H4162">
        <v>0</v>
      </c>
      <c r="I4162">
        <v>2672159</v>
      </c>
      <c r="P4162">
        <v>87</v>
      </c>
      <c r="Q4162" t="s">
        <v>8669</v>
      </c>
    </row>
    <row r="4163" spans="1:17" x14ac:dyDescent="0.3">
      <c r="A4163" t="s">
        <v>4729</v>
      </c>
      <c r="B4163" t="str">
        <f>"300363"</f>
        <v>300363</v>
      </c>
      <c r="C4163" t="s">
        <v>8670</v>
      </c>
      <c r="D4163" t="s">
        <v>1461</v>
      </c>
      <c r="F4163">
        <v>263822606</v>
      </c>
      <c r="G4163">
        <v>157839168</v>
      </c>
      <c r="H4163">
        <v>122553652</v>
      </c>
      <c r="I4163">
        <v>76195736</v>
      </c>
      <c r="P4163">
        <v>540</v>
      </c>
      <c r="Q4163" t="s">
        <v>8671</v>
      </c>
    </row>
    <row r="4164" spans="1:17" x14ac:dyDescent="0.3">
      <c r="A4164" t="s">
        <v>4729</v>
      </c>
      <c r="B4164" t="str">
        <f>"300364"</f>
        <v>300364</v>
      </c>
      <c r="C4164" t="s">
        <v>8672</v>
      </c>
      <c r="D4164" t="s">
        <v>525</v>
      </c>
      <c r="F4164">
        <v>115092189</v>
      </c>
      <c r="G4164">
        <v>69225363</v>
      </c>
      <c r="H4164">
        <v>69216654</v>
      </c>
      <c r="I4164">
        <v>88025095</v>
      </c>
      <c r="P4164">
        <v>153</v>
      </c>
      <c r="Q4164" t="s">
        <v>8673</v>
      </c>
    </row>
    <row r="4165" spans="1:17" x14ac:dyDescent="0.3">
      <c r="A4165" t="s">
        <v>4729</v>
      </c>
      <c r="B4165" t="str">
        <f>"300365"</f>
        <v>300365</v>
      </c>
      <c r="C4165" t="s">
        <v>8674</v>
      </c>
      <c r="D4165" t="s">
        <v>945</v>
      </c>
      <c r="F4165">
        <v>87153090</v>
      </c>
      <c r="G4165">
        <v>96944355</v>
      </c>
      <c r="H4165">
        <v>102228004</v>
      </c>
      <c r="I4165">
        <v>73395503</v>
      </c>
      <c r="P4165">
        <v>334</v>
      </c>
      <c r="Q4165" t="s">
        <v>8675</v>
      </c>
    </row>
    <row r="4166" spans="1:17" x14ac:dyDescent="0.3">
      <c r="A4166" t="s">
        <v>4729</v>
      </c>
      <c r="B4166" t="str">
        <f>"300366"</f>
        <v>300366</v>
      </c>
      <c r="C4166" t="s">
        <v>8676</v>
      </c>
      <c r="D4166" t="s">
        <v>945</v>
      </c>
      <c r="F4166">
        <v>183282838</v>
      </c>
      <c r="G4166">
        <v>191728610</v>
      </c>
      <c r="H4166">
        <v>91297177</v>
      </c>
      <c r="I4166">
        <v>82727699</v>
      </c>
      <c r="P4166">
        <v>222</v>
      </c>
      <c r="Q4166" t="s">
        <v>8677</v>
      </c>
    </row>
    <row r="4167" spans="1:17" x14ac:dyDescent="0.3">
      <c r="A4167" t="s">
        <v>4729</v>
      </c>
      <c r="B4167" t="str">
        <f>"300367"</f>
        <v>300367</v>
      </c>
      <c r="C4167" t="s">
        <v>8678</v>
      </c>
      <c r="D4167" t="s">
        <v>2980</v>
      </c>
      <c r="F4167">
        <v>121157189</v>
      </c>
      <c r="G4167">
        <v>206090071</v>
      </c>
      <c r="H4167">
        <v>294217857</v>
      </c>
      <c r="I4167">
        <v>283334680</v>
      </c>
      <c r="P4167">
        <v>196</v>
      </c>
      <c r="Q4167" t="s">
        <v>8679</v>
      </c>
    </row>
    <row r="4168" spans="1:17" x14ac:dyDescent="0.3">
      <c r="A4168" t="s">
        <v>4729</v>
      </c>
      <c r="B4168" t="str">
        <f>"300368"</f>
        <v>300368</v>
      </c>
      <c r="C4168" t="s">
        <v>8680</v>
      </c>
      <c r="D4168" t="s">
        <v>236</v>
      </c>
      <c r="F4168">
        <v>29641602</v>
      </c>
      <c r="G4168">
        <v>28324464</v>
      </c>
      <c r="H4168">
        <v>27271381</v>
      </c>
      <c r="I4168">
        <v>69544346</v>
      </c>
      <c r="P4168">
        <v>119</v>
      </c>
      <c r="Q4168" t="s">
        <v>8681</v>
      </c>
    </row>
    <row r="4169" spans="1:17" x14ac:dyDescent="0.3">
      <c r="A4169" t="s">
        <v>4729</v>
      </c>
      <c r="B4169" t="str">
        <f>"300369"</f>
        <v>300369</v>
      </c>
      <c r="C4169" t="s">
        <v>8682</v>
      </c>
      <c r="D4169" t="s">
        <v>1189</v>
      </c>
      <c r="F4169">
        <v>503309601</v>
      </c>
      <c r="G4169">
        <v>357200258</v>
      </c>
      <c r="H4169">
        <v>311291936</v>
      </c>
      <c r="I4169">
        <v>270922162</v>
      </c>
      <c r="P4169">
        <v>418</v>
      </c>
      <c r="Q4169" t="s">
        <v>8683</v>
      </c>
    </row>
    <row r="4170" spans="1:17" x14ac:dyDescent="0.3">
      <c r="A4170" t="s">
        <v>4729</v>
      </c>
      <c r="B4170" t="str">
        <f>"300370"</f>
        <v>300370</v>
      </c>
      <c r="C4170" t="s">
        <v>8684</v>
      </c>
      <c r="D4170" t="s">
        <v>2566</v>
      </c>
      <c r="F4170">
        <v>57063679</v>
      </c>
      <c r="G4170">
        <v>68751960</v>
      </c>
      <c r="H4170">
        <v>43712667</v>
      </c>
      <c r="I4170">
        <v>63770568</v>
      </c>
      <c r="P4170">
        <v>103</v>
      </c>
      <c r="Q4170" t="s">
        <v>8685</v>
      </c>
    </row>
    <row r="4171" spans="1:17" x14ac:dyDescent="0.3">
      <c r="A4171" t="s">
        <v>4729</v>
      </c>
      <c r="B4171" t="str">
        <f>"300371"</f>
        <v>300371</v>
      </c>
      <c r="C4171" t="s">
        <v>8686</v>
      </c>
      <c r="D4171" t="s">
        <v>2566</v>
      </c>
      <c r="F4171">
        <v>33554377</v>
      </c>
      <c r="G4171">
        <v>27204915</v>
      </c>
      <c r="H4171">
        <v>16050198</v>
      </c>
      <c r="I4171">
        <v>13006123</v>
      </c>
      <c r="P4171">
        <v>288</v>
      </c>
      <c r="Q4171" t="s">
        <v>8687</v>
      </c>
    </row>
    <row r="4172" spans="1:17" x14ac:dyDescent="0.3">
      <c r="A4172" t="s">
        <v>4729</v>
      </c>
      <c r="B4172" t="str">
        <f>"300372"</f>
        <v>300372</v>
      </c>
      <c r="C4172" t="s">
        <v>8688</v>
      </c>
      <c r="P4172">
        <v>5</v>
      </c>
      <c r="Q4172" t="s">
        <v>8689</v>
      </c>
    </row>
    <row r="4173" spans="1:17" x14ac:dyDescent="0.3">
      <c r="A4173" t="s">
        <v>4729</v>
      </c>
      <c r="B4173" t="str">
        <f>"300373"</f>
        <v>300373</v>
      </c>
      <c r="C4173" t="s">
        <v>8690</v>
      </c>
      <c r="D4173" t="s">
        <v>795</v>
      </c>
      <c r="F4173">
        <v>241843151</v>
      </c>
      <c r="G4173">
        <v>131107882</v>
      </c>
      <c r="H4173">
        <v>99688178</v>
      </c>
      <c r="I4173">
        <v>96282307</v>
      </c>
      <c r="P4173">
        <v>4304</v>
      </c>
      <c r="Q4173" t="s">
        <v>8691</v>
      </c>
    </row>
    <row r="4174" spans="1:17" x14ac:dyDescent="0.3">
      <c r="A4174" t="s">
        <v>4729</v>
      </c>
      <c r="B4174" t="str">
        <f>"300374"</f>
        <v>300374</v>
      </c>
      <c r="C4174" t="s">
        <v>8692</v>
      </c>
      <c r="D4174" t="s">
        <v>5922</v>
      </c>
      <c r="F4174">
        <v>9141785</v>
      </c>
      <c r="G4174">
        <v>20608959</v>
      </c>
      <c r="H4174">
        <v>19718270</v>
      </c>
      <c r="I4174">
        <v>11440254</v>
      </c>
      <c r="P4174">
        <v>61</v>
      </c>
      <c r="Q4174" t="s">
        <v>8693</v>
      </c>
    </row>
    <row r="4175" spans="1:17" x14ac:dyDescent="0.3">
      <c r="A4175" t="s">
        <v>4729</v>
      </c>
      <c r="B4175" t="str">
        <f>"300375"</f>
        <v>300375</v>
      </c>
      <c r="C4175" t="s">
        <v>8694</v>
      </c>
      <c r="D4175" t="s">
        <v>348</v>
      </c>
      <c r="F4175">
        <v>71281266</v>
      </c>
      <c r="G4175">
        <v>67095548</v>
      </c>
      <c r="H4175">
        <v>66131411</v>
      </c>
      <c r="I4175">
        <v>52644148</v>
      </c>
      <c r="P4175">
        <v>99</v>
      </c>
      <c r="Q4175" t="s">
        <v>8695</v>
      </c>
    </row>
    <row r="4176" spans="1:17" x14ac:dyDescent="0.3">
      <c r="A4176" t="s">
        <v>4729</v>
      </c>
      <c r="B4176" t="str">
        <f>"300376"</f>
        <v>300376</v>
      </c>
      <c r="C4176" t="s">
        <v>8696</v>
      </c>
      <c r="D4176" t="s">
        <v>880</v>
      </c>
      <c r="F4176">
        <v>145834487</v>
      </c>
      <c r="G4176">
        <v>146395387</v>
      </c>
      <c r="H4176">
        <v>145043923</v>
      </c>
      <c r="I4176">
        <v>171495094</v>
      </c>
      <c r="P4176">
        <v>849</v>
      </c>
      <c r="Q4176" t="s">
        <v>8697</v>
      </c>
    </row>
    <row r="4177" spans="1:17" x14ac:dyDescent="0.3">
      <c r="A4177" t="s">
        <v>4729</v>
      </c>
      <c r="B4177" t="str">
        <f>"300377"</f>
        <v>300377</v>
      </c>
      <c r="C4177" t="s">
        <v>8698</v>
      </c>
      <c r="D4177" t="s">
        <v>945</v>
      </c>
      <c r="F4177">
        <v>448630346</v>
      </c>
      <c r="G4177">
        <v>325854354</v>
      </c>
      <c r="H4177">
        <v>288913967</v>
      </c>
      <c r="I4177">
        <v>230379106</v>
      </c>
      <c r="P4177">
        <v>3125</v>
      </c>
      <c r="Q4177" t="s">
        <v>8699</v>
      </c>
    </row>
    <row r="4178" spans="1:17" x14ac:dyDescent="0.3">
      <c r="A4178" t="s">
        <v>4729</v>
      </c>
      <c r="B4178" t="str">
        <f>"300378"</f>
        <v>300378</v>
      </c>
      <c r="C4178" t="s">
        <v>8700</v>
      </c>
      <c r="D4178" t="s">
        <v>1189</v>
      </c>
      <c r="F4178">
        <v>229415011</v>
      </c>
      <c r="G4178">
        <v>189256814</v>
      </c>
      <c r="H4178">
        <v>166431605</v>
      </c>
      <c r="I4178">
        <v>164156842</v>
      </c>
      <c r="P4178">
        <v>195</v>
      </c>
      <c r="Q4178" t="s">
        <v>8701</v>
      </c>
    </row>
    <row r="4179" spans="1:17" x14ac:dyDescent="0.3">
      <c r="A4179" t="s">
        <v>4729</v>
      </c>
      <c r="B4179" t="str">
        <f>"300379"</f>
        <v>300379</v>
      </c>
      <c r="C4179" t="s">
        <v>8702</v>
      </c>
      <c r="D4179" t="s">
        <v>945</v>
      </c>
      <c r="F4179">
        <v>191706449</v>
      </c>
      <c r="G4179">
        <v>174961205</v>
      </c>
      <c r="H4179">
        <v>99703631</v>
      </c>
      <c r="I4179">
        <v>70369153</v>
      </c>
      <c r="P4179">
        <v>397</v>
      </c>
      <c r="Q4179" t="s">
        <v>8703</v>
      </c>
    </row>
    <row r="4180" spans="1:17" x14ac:dyDescent="0.3">
      <c r="A4180" t="s">
        <v>4729</v>
      </c>
      <c r="B4180" t="str">
        <f>"300380"</f>
        <v>300380</v>
      </c>
      <c r="C4180" t="s">
        <v>8704</v>
      </c>
      <c r="D4180" t="s">
        <v>945</v>
      </c>
      <c r="F4180">
        <v>129007518</v>
      </c>
      <c r="G4180">
        <v>110687052</v>
      </c>
      <c r="H4180">
        <v>102449018</v>
      </c>
      <c r="I4180">
        <v>86698301</v>
      </c>
      <c r="P4180">
        <v>85</v>
      </c>
      <c r="Q4180" t="s">
        <v>8705</v>
      </c>
    </row>
    <row r="4181" spans="1:17" x14ac:dyDescent="0.3">
      <c r="A4181" t="s">
        <v>4729</v>
      </c>
      <c r="B4181" t="str">
        <f>"300381"</f>
        <v>300381</v>
      </c>
      <c r="C4181" t="s">
        <v>8706</v>
      </c>
      <c r="D4181" t="s">
        <v>496</v>
      </c>
      <c r="F4181">
        <v>129779628</v>
      </c>
      <c r="G4181">
        <v>122829512</v>
      </c>
      <c r="H4181">
        <v>111640773</v>
      </c>
      <c r="I4181">
        <v>90749246</v>
      </c>
      <c r="P4181">
        <v>160</v>
      </c>
      <c r="Q4181" t="s">
        <v>8707</v>
      </c>
    </row>
    <row r="4182" spans="1:17" x14ac:dyDescent="0.3">
      <c r="A4182" t="s">
        <v>4729</v>
      </c>
      <c r="B4182" t="str">
        <f>"300382"</f>
        <v>300382</v>
      </c>
      <c r="C4182" t="s">
        <v>8708</v>
      </c>
      <c r="D4182" t="s">
        <v>741</v>
      </c>
      <c r="F4182">
        <v>38352265</v>
      </c>
      <c r="G4182">
        <v>30168250</v>
      </c>
      <c r="H4182">
        <v>33553682</v>
      </c>
      <c r="I4182">
        <v>31124241</v>
      </c>
      <c r="P4182">
        <v>182</v>
      </c>
      <c r="Q4182" t="s">
        <v>8709</v>
      </c>
    </row>
    <row r="4183" spans="1:17" x14ac:dyDescent="0.3">
      <c r="A4183" t="s">
        <v>4729</v>
      </c>
      <c r="B4183" t="str">
        <f>"300383"</f>
        <v>300383</v>
      </c>
      <c r="C4183" t="s">
        <v>8710</v>
      </c>
      <c r="D4183" t="s">
        <v>316</v>
      </c>
      <c r="F4183">
        <v>260811073</v>
      </c>
      <c r="G4183">
        <v>217779838</v>
      </c>
      <c r="H4183">
        <v>236898910</v>
      </c>
      <c r="I4183">
        <v>183327747</v>
      </c>
      <c r="P4183">
        <v>2115</v>
      </c>
      <c r="Q4183" t="s">
        <v>8711</v>
      </c>
    </row>
    <row r="4184" spans="1:17" x14ac:dyDescent="0.3">
      <c r="A4184" t="s">
        <v>4729</v>
      </c>
      <c r="B4184" t="str">
        <f>"300384"</f>
        <v>300384</v>
      </c>
      <c r="C4184" t="s">
        <v>8712</v>
      </c>
      <c r="D4184" t="s">
        <v>2025</v>
      </c>
      <c r="F4184">
        <v>78583783</v>
      </c>
      <c r="G4184">
        <v>70385951</v>
      </c>
      <c r="H4184">
        <v>53057577</v>
      </c>
      <c r="I4184">
        <v>31039133</v>
      </c>
      <c r="P4184">
        <v>164</v>
      </c>
      <c r="Q4184" t="s">
        <v>8713</v>
      </c>
    </row>
    <row r="4185" spans="1:17" x14ac:dyDescent="0.3">
      <c r="A4185" t="s">
        <v>4729</v>
      </c>
      <c r="B4185" t="str">
        <f>"300385"</f>
        <v>300385</v>
      </c>
      <c r="C4185" t="s">
        <v>8714</v>
      </c>
      <c r="D4185" t="s">
        <v>663</v>
      </c>
      <c r="F4185">
        <v>63208775</v>
      </c>
      <c r="G4185">
        <v>50856892</v>
      </c>
      <c r="H4185">
        <v>48569118</v>
      </c>
      <c r="I4185">
        <v>34293170</v>
      </c>
      <c r="P4185">
        <v>92</v>
      </c>
      <c r="Q4185" t="s">
        <v>8715</v>
      </c>
    </row>
    <row r="4186" spans="1:17" x14ac:dyDescent="0.3">
      <c r="A4186" t="s">
        <v>4729</v>
      </c>
      <c r="B4186" t="str">
        <f>"300386"</f>
        <v>300386</v>
      </c>
      <c r="C4186" t="s">
        <v>8716</v>
      </c>
      <c r="D4186" t="s">
        <v>236</v>
      </c>
      <c r="F4186">
        <v>89907051</v>
      </c>
      <c r="G4186">
        <v>95512731</v>
      </c>
      <c r="H4186">
        <v>91379748</v>
      </c>
      <c r="I4186">
        <v>118343499</v>
      </c>
      <c r="P4186">
        <v>188</v>
      </c>
      <c r="Q4186" t="s">
        <v>8717</v>
      </c>
    </row>
    <row r="4187" spans="1:17" x14ac:dyDescent="0.3">
      <c r="A4187" t="s">
        <v>4729</v>
      </c>
      <c r="B4187" t="str">
        <f>"300387"</f>
        <v>300387</v>
      </c>
      <c r="C4187" t="s">
        <v>8718</v>
      </c>
      <c r="D4187" t="s">
        <v>5562</v>
      </c>
      <c r="F4187">
        <v>28831797</v>
      </c>
      <c r="G4187">
        <v>19442541</v>
      </c>
      <c r="H4187">
        <v>15230319</v>
      </c>
      <c r="I4187">
        <v>16456023</v>
      </c>
      <c r="P4187">
        <v>89</v>
      </c>
      <c r="Q4187" t="s">
        <v>8719</v>
      </c>
    </row>
    <row r="4188" spans="1:17" x14ac:dyDescent="0.3">
      <c r="A4188" t="s">
        <v>4729</v>
      </c>
      <c r="B4188" t="str">
        <f>"300388"</f>
        <v>300388</v>
      </c>
      <c r="C4188" t="s">
        <v>8720</v>
      </c>
      <c r="D4188" t="s">
        <v>33</v>
      </c>
      <c r="F4188">
        <v>34575959</v>
      </c>
      <c r="G4188">
        <v>60780998</v>
      </c>
      <c r="H4188">
        <v>76145187</v>
      </c>
      <c r="I4188">
        <v>61792048</v>
      </c>
      <c r="P4188">
        <v>225</v>
      </c>
      <c r="Q4188" t="s">
        <v>8721</v>
      </c>
    </row>
    <row r="4189" spans="1:17" x14ac:dyDescent="0.3">
      <c r="A4189" t="s">
        <v>4729</v>
      </c>
      <c r="B4189" t="str">
        <f>"300389"</f>
        <v>300389</v>
      </c>
      <c r="C4189" t="s">
        <v>8722</v>
      </c>
      <c r="D4189" t="s">
        <v>803</v>
      </c>
      <c r="F4189">
        <v>108971027</v>
      </c>
      <c r="G4189">
        <v>84200337</v>
      </c>
      <c r="H4189">
        <v>95607622</v>
      </c>
      <c r="I4189">
        <v>89201176</v>
      </c>
      <c r="P4189">
        <v>198</v>
      </c>
      <c r="Q4189" t="s">
        <v>8723</v>
      </c>
    </row>
    <row r="4190" spans="1:17" x14ac:dyDescent="0.3">
      <c r="A4190" t="s">
        <v>4729</v>
      </c>
      <c r="B4190" t="str">
        <f>"300390"</f>
        <v>300390</v>
      </c>
      <c r="C4190" t="s">
        <v>8724</v>
      </c>
      <c r="D4190" t="s">
        <v>651</v>
      </c>
      <c r="F4190">
        <v>52490328</v>
      </c>
      <c r="G4190">
        <v>57112924</v>
      </c>
      <c r="H4190">
        <v>31505239</v>
      </c>
      <c r="I4190">
        <v>29690285</v>
      </c>
      <c r="P4190">
        <v>460</v>
      </c>
      <c r="Q4190" t="s">
        <v>8725</v>
      </c>
    </row>
    <row r="4191" spans="1:17" x14ac:dyDescent="0.3">
      <c r="A4191" t="s">
        <v>4729</v>
      </c>
      <c r="B4191" t="str">
        <f>"300391"</f>
        <v>300391</v>
      </c>
      <c r="C4191" t="s">
        <v>8726</v>
      </c>
      <c r="D4191" t="s">
        <v>348</v>
      </c>
      <c r="F4191">
        <v>39363616</v>
      </c>
      <c r="G4191">
        <v>43155449</v>
      </c>
      <c r="H4191">
        <v>47865058</v>
      </c>
      <c r="I4191">
        <v>33492265</v>
      </c>
      <c r="P4191">
        <v>80</v>
      </c>
      <c r="Q4191" t="s">
        <v>8727</v>
      </c>
    </row>
    <row r="4192" spans="1:17" x14ac:dyDescent="0.3">
      <c r="A4192" t="s">
        <v>4729</v>
      </c>
      <c r="B4192" t="str">
        <f>"300392"</f>
        <v>300392</v>
      </c>
      <c r="C4192" t="s">
        <v>8728</v>
      </c>
      <c r="D4192" t="s">
        <v>207</v>
      </c>
      <c r="F4192">
        <v>14156048</v>
      </c>
      <c r="G4192">
        <v>9843814</v>
      </c>
      <c r="H4192">
        <v>18394499</v>
      </c>
      <c r="I4192">
        <v>39378130</v>
      </c>
      <c r="P4192">
        <v>66</v>
      </c>
      <c r="Q4192" t="s">
        <v>8729</v>
      </c>
    </row>
    <row r="4193" spans="1:17" x14ac:dyDescent="0.3">
      <c r="A4193" t="s">
        <v>4729</v>
      </c>
      <c r="B4193" t="str">
        <f>"300393"</f>
        <v>300393</v>
      </c>
      <c r="C4193" t="s">
        <v>8730</v>
      </c>
      <c r="D4193" t="s">
        <v>356</v>
      </c>
      <c r="F4193">
        <v>180594440</v>
      </c>
      <c r="G4193">
        <v>174239873</v>
      </c>
      <c r="H4193">
        <v>121651242</v>
      </c>
      <c r="I4193">
        <v>111031229</v>
      </c>
      <c r="P4193">
        <v>304</v>
      </c>
      <c r="Q4193" t="s">
        <v>8731</v>
      </c>
    </row>
    <row r="4194" spans="1:17" x14ac:dyDescent="0.3">
      <c r="A4194" t="s">
        <v>4729</v>
      </c>
      <c r="B4194" t="str">
        <f>"300394"</f>
        <v>300394</v>
      </c>
      <c r="C4194" t="s">
        <v>8732</v>
      </c>
      <c r="D4194" t="s">
        <v>1019</v>
      </c>
      <c r="F4194">
        <v>99672660</v>
      </c>
      <c r="G4194">
        <v>77303024</v>
      </c>
      <c r="H4194">
        <v>56038098</v>
      </c>
      <c r="I4194">
        <v>41922283</v>
      </c>
      <c r="P4194">
        <v>804</v>
      </c>
      <c r="Q4194" t="s">
        <v>8733</v>
      </c>
    </row>
    <row r="4195" spans="1:17" x14ac:dyDescent="0.3">
      <c r="A4195" t="s">
        <v>4729</v>
      </c>
      <c r="B4195" t="str">
        <f>"300395"</f>
        <v>300395</v>
      </c>
      <c r="C4195" t="s">
        <v>8734</v>
      </c>
      <c r="D4195" t="s">
        <v>98</v>
      </c>
      <c r="F4195">
        <v>94888978</v>
      </c>
      <c r="G4195">
        <v>73492712</v>
      </c>
      <c r="H4195">
        <v>59940286</v>
      </c>
      <c r="I4195">
        <v>47960537</v>
      </c>
      <c r="P4195">
        <v>555</v>
      </c>
      <c r="Q4195" t="s">
        <v>8735</v>
      </c>
    </row>
    <row r="4196" spans="1:17" x14ac:dyDescent="0.3">
      <c r="A4196" t="s">
        <v>4729</v>
      </c>
      <c r="B4196" t="str">
        <f>"300396"</f>
        <v>300396</v>
      </c>
      <c r="C4196" t="s">
        <v>8736</v>
      </c>
      <c r="D4196" t="s">
        <v>1305</v>
      </c>
      <c r="F4196">
        <v>95031863</v>
      </c>
      <c r="G4196">
        <v>95988568</v>
      </c>
      <c r="H4196">
        <v>107546545</v>
      </c>
      <c r="I4196">
        <v>102269682</v>
      </c>
      <c r="P4196">
        <v>360</v>
      </c>
      <c r="Q4196" t="s">
        <v>8737</v>
      </c>
    </row>
    <row r="4197" spans="1:17" x14ac:dyDescent="0.3">
      <c r="A4197" t="s">
        <v>4729</v>
      </c>
      <c r="B4197" t="str">
        <f>"300397"</f>
        <v>300397</v>
      </c>
      <c r="C4197" t="s">
        <v>8738</v>
      </c>
      <c r="D4197" t="s">
        <v>98</v>
      </c>
      <c r="F4197">
        <v>94892068</v>
      </c>
      <c r="G4197">
        <v>82658162</v>
      </c>
      <c r="H4197">
        <v>72903975</v>
      </c>
      <c r="I4197">
        <v>70125139</v>
      </c>
      <c r="P4197">
        <v>232</v>
      </c>
      <c r="Q4197" t="s">
        <v>8739</v>
      </c>
    </row>
    <row r="4198" spans="1:17" x14ac:dyDescent="0.3">
      <c r="A4198" t="s">
        <v>4729</v>
      </c>
      <c r="B4198" t="str">
        <f>"300398"</f>
        <v>300398</v>
      </c>
      <c r="C4198" t="s">
        <v>8740</v>
      </c>
      <c r="D4198" t="s">
        <v>2408</v>
      </c>
      <c r="F4198">
        <v>192743141</v>
      </c>
      <c r="G4198">
        <v>136394085</v>
      </c>
      <c r="H4198">
        <v>121643042</v>
      </c>
      <c r="I4198">
        <v>113993874</v>
      </c>
      <c r="P4198">
        <v>244</v>
      </c>
      <c r="Q4198" t="s">
        <v>8741</v>
      </c>
    </row>
    <row r="4199" spans="1:17" x14ac:dyDescent="0.3">
      <c r="A4199" t="s">
        <v>4729</v>
      </c>
      <c r="B4199" t="str">
        <f>"300399"</f>
        <v>300399</v>
      </c>
      <c r="C4199" t="s">
        <v>8742</v>
      </c>
      <c r="D4199" t="s">
        <v>316</v>
      </c>
      <c r="F4199">
        <v>12493935</v>
      </c>
      <c r="G4199">
        <v>14849974</v>
      </c>
      <c r="H4199">
        <v>16734539</v>
      </c>
      <c r="I4199">
        <v>19001740</v>
      </c>
      <c r="P4199">
        <v>80</v>
      </c>
      <c r="Q4199" t="s">
        <v>8743</v>
      </c>
    </row>
    <row r="4200" spans="1:17" x14ac:dyDescent="0.3">
      <c r="A4200" t="s">
        <v>4729</v>
      </c>
      <c r="B4200" t="str">
        <f>"300400"</f>
        <v>300400</v>
      </c>
      <c r="C4200" t="s">
        <v>8744</v>
      </c>
      <c r="D4200" t="s">
        <v>3477</v>
      </c>
      <c r="F4200">
        <v>44792277</v>
      </c>
      <c r="G4200">
        <v>45473684</v>
      </c>
      <c r="H4200">
        <v>54996414</v>
      </c>
      <c r="I4200">
        <v>27612599</v>
      </c>
      <c r="P4200">
        <v>273</v>
      </c>
      <c r="Q4200" t="s">
        <v>8745</v>
      </c>
    </row>
    <row r="4201" spans="1:17" x14ac:dyDescent="0.3">
      <c r="A4201" t="s">
        <v>4729</v>
      </c>
      <c r="B4201" t="str">
        <f>"300401"</f>
        <v>300401</v>
      </c>
      <c r="C4201" t="s">
        <v>8746</v>
      </c>
      <c r="D4201" t="s">
        <v>496</v>
      </c>
      <c r="F4201">
        <v>59374761</v>
      </c>
      <c r="G4201">
        <v>29736199</v>
      </c>
      <c r="H4201">
        <v>42757359</v>
      </c>
      <c r="I4201">
        <v>30511966</v>
      </c>
      <c r="P4201">
        <v>476</v>
      </c>
      <c r="Q4201" t="s">
        <v>8747</v>
      </c>
    </row>
    <row r="4202" spans="1:17" x14ac:dyDescent="0.3">
      <c r="A4202" t="s">
        <v>4729</v>
      </c>
      <c r="B4202" t="str">
        <f>"300402"</f>
        <v>300402</v>
      </c>
      <c r="C4202" t="s">
        <v>8748</v>
      </c>
      <c r="D4202" t="s">
        <v>274</v>
      </c>
      <c r="F4202">
        <v>61956286</v>
      </c>
      <c r="G4202">
        <v>42149369</v>
      </c>
      <c r="H4202">
        <v>34570606</v>
      </c>
      <c r="I4202">
        <v>24291357</v>
      </c>
      <c r="P4202">
        <v>101</v>
      </c>
      <c r="Q4202" t="s">
        <v>8749</v>
      </c>
    </row>
    <row r="4203" spans="1:17" x14ac:dyDescent="0.3">
      <c r="A4203" t="s">
        <v>4729</v>
      </c>
      <c r="B4203" t="str">
        <f>"300403"</f>
        <v>300403</v>
      </c>
      <c r="C4203" t="s">
        <v>8750</v>
      </c>
      <c r="D4203" t="s">
        <v>1253</v>
      </c>
      <c r="F4203">
        <v>46684550</v>
      </c>
      <c r="G4203">
        <v>45552798</v>
      </c>
      <c r="H4203">
        <v>51116759</v>
      </c>
      <c r="I4203">
        <v>56778824</v>
      </c>
      <c r="P4203">
        <v>253</v>
      </c>
      <c r="Q4203" t="s">
        <v>8751</v>
      </c>
    </row>
    <row r="4204" spans="1:17" x14ac:dyDescent="0.3">
      <c r="A4204" t="s">
        <v>4729</v>
      </c>
      <c r="B4204" t="str">
        <f>"300404"</f>
        <v>300404</v>
      </c>
      <c r="C4204" t="s">
        <v>8752</v>
      </c>
      <c r="D4204" t="s">
        <v>1461</v>
      </c>
      <c r="F4204">
        <v>27645941</v>
      </c>
      <c r="G4204">
        <v>26435754</v>
      </c>
      <c r="H4204">
        <v>18279481</v>
      </c>
      <c r="I4204">
        <v>13484815</v>
      </c>
      <c r="P4204">
        <v>150</v>
      </c>
      <c r="Q4204" t="s">
        <v>8753</v>
      </c>
    </row>
    <row r="4205" spans="1:17" x14ac:dyDescent="0.3">
      <c r="A4205" t="s">
        <v>4729</v>
      </c>
      <c r="B4205" t="str">
        <f>"300405"</f>
        <v>300405</v>
      </c>
      <c r="C4205" t="s">
        <v>8754</v>
      </c>
      <c r="D4205" t="s">
        <v>386</v>
      </c>
      <c r="F4205">
        <v>10585987</v>
      </c>
      <c r="G4205">
        <v>22006208</v>
      </c>
      <c r="H4205">
        <v>13357272</v>
      </c>
      <c r="I4205">
        <v>12492480</v>
      </c>
      <c r="P4205">
        <v>59</v>
      </c>
      <c r="Q4205" t="s">
        <v>8755</v>
      </c>
    </row>
    <row r="4206" spans="1:17" x14ac:dyDescent="0.3">
      <c r="A4206" t="s">
        <v>4729</v>
      </c>
      <c r="B4206" t="str">
        <f>"300406"</f>
        <v>300406</v>
      </c>
      <c r="C4206" t="s">
        <v>8756</v>
      </c>
      <c r="D4206" t="s">
        <v>1305</v>
      </c>
      <c r="F4206">
        <v>127008278</v>
      </c>
      <c r="G4206">
        <v>79055483</v>
      </c>
      <c r="H4206">
        <v>70315493</v>
      </c>
      <c r="I4206">
        <v>61037071</v>
      </c>
      <c r="P4206">
        <v>14630</v>
      </c>
      <c r="Q4206" t="s">
        <v>8757</v>
      </c>
    </row>
    <row r="4207" spans="1:17" x14ac:dyDescent="0.3">
      <c r="A4207" t="s">
        <v>4729</v>
      </c>
      <c r="B4207" t="str">
        <f>"300407"</f>
        <v>300407</v>
      </c>
      <c r="C4207" t="s">
        <v>8758</v>
      </c>
      <c r="D4207" t="s">
        <v>610</v>
      </c>
      <c r="F4207">
        <v>95503120</v>
      </c>
      <c r="G4207">
        <v>87363768</v>
      </c>
      <c r="H4207">
        <v>84129700</v>
      </c>
      <c r="I4207">
        <v>64032706</v>
      </c>
      <c r="P4207">
        <v>132</v>
      </c>
      <c r="Q4207" t="s">
        <v>8759</v>
      </c>
    </row>
    <row r="4208" spans="1:17" x14ac:dyDescent="0.3">
      <c r="A4208" t="s">
        <v>4729</v>
      </c>
      <c r="B4208" t="str">
        <f>"300408"</f>
        <v>300408</v>
      </c>
      <c r="C4208" t="s">
        <v>8760</v>
      </c>
      <c r="D4208" t="s">
        <v>546</v>
      </c>
      <c r="F4208">
        <v>418538775</v>
      </c>
      <c r="G4208">
        <v>239112079</v>
      </c>
      <c r="H4208">
        <v>176530568</v>
      </c>
      <c r="I4208">
        <v>160760954</v>
      </c>
      <c r="P4208">
        <v>1509</v>
      </c>
      <c r="Q4208" t="s">
        <v>8761</v>
      </c>
    </row>
    <row r="4209" spans="1:17" x14ac:dyDescent="0.3">
      <c r="A4209" t="s">
        <v>4729</v>
      </c>
      <c r="B4209" t="str">
        <f>"300409"</f>
        <v>300409</v>
      </c>
      <c r="C4209" t="s">
        <v>8762</v>
      </c>
      <c r="D4209" t="s">
        <v>1790</v>
      </c>
      <c r="F4209">
        <v>247798280</v>
      </c>
      <c r="G4209">
        <v>153951925</v>
      </c>
      <c r="H4209">
        <v>135100127</v>
      </c>
      <c r="I4209">
        <v>154432276</v>
      </c>
      <c r="P4209">
        <v>242</v>
      </c>
      <c r="Q4209" t="s">
        <v>8763</v>
      </c>
    </row>
    <row r="4210" spans="1:17" x14ac:dyDescent="0.3">
      <c r="A4210" t="s">
        <v>4729</v>
      </c>
      <c r="B4210" t="str">
        <f>"300410"</f>
        <v>300410</v>
      </c>
      <c r="C4210" t="s">
        <v>8764</v>
      </c>
      <c r="D4210" t="s">
        <v>2566</v>
      </c>
      <c r="F4210">
        <v>110661849</v>
      </c>
      <c r="G4210">
        <v>112116999</v>
      </c>
      <c r="H4210">
        <v>121345002</v>
      </c>
      <c r="I4210">
        <v>117783604</v>
      </c>
      <c r="P4210">
        <v>215</v>
      </c>
      <c r="Q4210" t="s">
        <v>8765</v>
      </c>
    </row>
    <row r="4211" spans="1:17" x14ac:dyDescent="0.3">
      <c r="A4211" t="s">
        <v>4729</v>
      </c>
      <c r="B4211" t="str">
        <f>"300411"</f>
        <v>300411</v>
      </c>
      <c r="C4211" t="s">
        <v>8766</v>
      </c>
      <c r="D4211" t="s">
        <v>741</v>
      </c>
      <c r="F4211">
        <v>38287875</v>
      </c>
      <c r="G4211">
        <v>70215895</v>
      </c>
      <c r="H4211">
        <v>53884610</v>
      </c>
      <c r="I4211">
        <v>56427823</v>
      </c>
      <c r="P4211">
        <v>73</v>
      </c>
      <c r="Q4211" t="s">
        <v>8767</v>
      </c>
    </row>
    <row r="4212" spans="1:17" x14ac:dyDescent="0.3">
      <c r="A4212" t="s">
        <v>4729</v>
      </c>
      <c r="B4212" t="str">
        <f>"300412"</f>
        <v>300412</v>
      </c>
      <c r="C4212" t="s">
        <v>8768</v>
      </c>
      <c r="D4212" t="s">
        <v>741</v>
      </c>
      <c r="F4212">
        <v>66976219</v>
      </c>
      <c r="G4212">
        <v>49712682</v>
      </c>
      <c r="H4212">
        <v>48565186</v>
      </c>
      <c r="I4212">
        <v>32544705</v>
      </c>
      <c r="P4212">
        <v>96</v>
      </c>
      <c r="Q4212" t="s">
        <v>8769</v>
      </c>
    </row>
    <row r="4213" spans="1:17" x14ac:dyDescent="0.3">
      <c r="A4213" t="s">
        <v>4729</v>
      </c>
      <c r="B4213" t="str">
        <f>"300413"</f>
        <v>300413</v>
      </c>
      <c r="C4213" t="s">
        <v>8770</v>
      </c>
      <c r="D4213" t="s">
        <v>1294</v>
      </c>
      <c r="F4213">
        <v>271991403</v>
      </c>
      <c r="G4213">
        <v>184384949</v>
      </c>
      <c r="H4213">
        <v>239299332</v>
      </c>
      <c r="I4213">
        <v>220555886</v>
      </c>
      <c r="P4213">
        <v>1145</v>
      </c>
      <c r="Q4213" t="s">
        <v>8771</v>
      </c>
    </row>
    <row r="4214" spans="1:17" x14ac:dyDescent="0.3">
      <c r="A4214" t="s">
        <v>4729</v>
      </c>
      <c r="B4214" t="str">
        <f>"300414"</f>
        <v>300414</v>
      </c>
      <c r="C4214" t="s">
        <v>8772</v>
      </c>
      <c r="D4214" t="s">
        <v>595</v>
      </c>
      <c r="F4214">
        <v>52060818</v>
      </c>
      <c r="G4214">
        <v>41470435</v>
      </c>
      <c r="H4214">
        <v>34410944</v>
      </c>
      <c r="I4214">
        <v>27124879</v>
      </c>
      <c r="P4214">
        <v>219</v>
      </c>
      <c r="Q4214" t="s">
        <v>8773</v>
      </c>
    </row>
    <row r="4215" spans="1:17" x14ac:dyDescent="0.3">
      <c r="A4215" t="s">
        <v>4729</v>
      </c>
      <c r="B4215" t="str">
        <f>"300415"</f>
        <v>300415</v>
      </c>
      <c r="C4215" t="s">
        <v>8774</v>
      </c>
      <c r="D4215" t="s">
        <v>741</v>
      </c>
      <c r="F4215">
        <v>155467883</v>
      </c>
      <c r="G4215">
        <v>127965217</v>
      </c>
      <c r="H4215">
        <v>105197685</v>
      </c>
      <c r="I4215">
        <v>85923348</v>
      </c>
      <c r="P4215">
        <v>547</v>
      </c>
      <c r="Q4215" t="s">
        <v>8775</v>
      </c>
    </row>
    <row r="4216" spans="1:17" x14ac:dyDescent="0.3">
      <c r="A4216" t="s">
        <v>4729</v>
      </c>
      <c r="B4216" t="str">
        <f>"300416"</f>
        <v>300416</v>
      </c>
      <c r="C4216" t="s">
        <v>8776</v>
      </c>
      <c r="D4216" t="s">
        <v>2566</v>
      </c>
      <c r="F4216">
        <v>116840164</v>
      </c>
      <c r="G4216">
        <v>93576980</v>
      </c>
      <c r="H4216">
        <v>54054435</v>
      </c>
      <c r="I4216">
        <v>48060244</v>
      </c>
      <c r="P4216">
        <v>305</v>
      </c>
      <c r="Q4216" t="s">
        <v>8777</v>
      </c>
    </row>
    <row r="4217" spans="1:17" x14ac:dyDescent="0.3">
      <c r="A4217" t="s">
        <v>4729</v>
      </c>
      <c r="B4217" t="str">
        <f>"300417"</f>
        <v>300417</v>
      </c>
      <c r="C4217" t="s">
        <v>8778</v>
      </c>
      <c r="D4217" t="s">
        <v>2566</v>
      </c>
      <c r="F4217">
        <v>18419711</v>
      </c>
      <c r="G4217">
        <v>22504856</v>
      </c>
      <c r="H4217">
        <v>50023154</v>
      </c>
      <c r="I4217">
        <v>14274876</v>
      </c>
      <c r="P4217">
        <v>196</v>
      </c>
      <c r="Q4217" t="s">
        <v>8779</v>
      </c>
    </row>
    <row r="4218" spans="1:17" x14ac:dyDescent="0.3">
      <c r="A4218" t="s">
        <v>4729</v>
      </c>
      <c r="B4218" t="str">
        <f>"300418"</f>
        <v>300418</v>
      </c>
      <c r="C4218" t="s">
        <v>8780</v>
      </c>
      <c r="D4218" t="s">
        <v>517</v>
      </c>
      <c r="F4218">
        <v>596340843</v>
      </c>
      <c r="G4218">
        <v>165881812</v>
      </c>
      <c r="H4218">
        <v>282954126</v>
      </c>
      <c r="I4218">
        <v>388592519</v>
      </c>
      <c r="P4218">
        <v>17528</v>
      </c>
      <c r="Q4218" t="s">
        <v>8781</v>
      </c>
    </row>
    <row r="4219" spans="1:17" x14ac:dyDescent="0.3">
      <c r="A4219" t="s">
        <v>4729</v>
      </c>
      <c r="B4219" t="str">
        <f>"300419"</f>
        <v>300419</v>
      </c>
      <c r="C4219" t="s">
        <v>8782</v>
      </c>
      <c r="D4219" t="s">
        <v>316</v>
      </c>
      <c r="F4219">
        <v>48347581</v>
      </c>
      <c r="G4219">
        <v>53581195</v>
      </c>
      <c r="H4219">
        <v>48667593</v>
      </c>
      <c r="I4219">
        <v>34423544</v>
      </c>
      <c r="P4219">
        <v>89</v>
      </c>
      <c r="Q4219" t="s">
        <v>8783</v>
      </c>
    </row>
    <row r="4220" spans="1:17" x14ac:dyDescent="0.3">
      <c r="A4220" t="s">
        <v>4729</v>
      </c>
      <c r="B4220" t="str">
        <f>"300420"</f>
        <v>300420</v>
      </c>
      <c r="C4220" t="s">
        <v>8784</v>
      </c>
      <c r="D4220" t="s">
        <v>560</v>
      </c>
      <c r="F4220">
        <v>136651466</v>
      </c>
      <c r="G4220">
        <v>102371881</v>
      </c>
      <c r="H4220">
        <v>73046222</v>
      </c>
      <c r="I4220">
        <v>59234456</v>
      </c>
      <c r="P4220">
        <v>146</v>
      </c>
      <c r="Q4220" t="s">
        <v>8785</v>
      </c>
    </row>
    <row r="4221" spans="1:17" x14ac:dyDescent="0.3">
      <c r="A4221" t="s">
        <v>4729</v>
      </c>
      <c r="B4221" t="str">
        <f>"300421"</f>
        <v>300421</v>
      </c>
      <c r="C4221" t="s">
        <v>8786</v>
      </c>
      <c r="D4221" t="s">
        <v>274</v>
      </c>
      <c r="F4221">
        <v>50141354</v>
      </c>
      <c r="G4221">
        <v>37257417</v>
      </c>
      <c r="H4221">
        <v>31516644</v>
      </c>
      <c r="I4221">
        <v>33320031</v>
      </c>
      <c r="P4221">
        <v>108</v>
      </c>
      <c r="Q4221" t="s">
        <v>8787</v>
      </c>
    </row>
    <row r="4222" spans="1:17" x14ac:dyDescent="0.3">
      <c r="A4222" t="s">
        <v>4729</v>
      </c>
      <c r="B4222" t="str">
        <f>"300422"</f>
        <v>300422</v>
      </c>
      <c r="C4222" t="s">
        <v>8788</v>
      </c>
      <c r="D4222" t="s">
        <v>33</v>
      </c>
      <c r="F4222">
        <v>200044326</v>
      </c>
      <c r="G4222">
        <v>193026308</v>
      </c>
      <c r="H4222">
        <v>163589734</v>
      </c>
      <c r="I4222">
        <v>90758782</v>
      </c>
      <c r="P4222">
        <v>331</v>
      </c>
      <c r="Q4222" t="s">
        <v>8789</v>
      </c>
    </row>
    <row r="4223" spans="1:17" x14ac:dyDescent="0.3">
      <c r="A4223" t="s">
        <v>4729</v>
      </c>
      <c r="B4223" t="str">
        <f>"300423"</f>
        <v>300423</v>
      </c>
      <c r="C4223" t="s">
        <v>8790</v>
      </c>
      <c r="D4223" t="s">
        <v>210</v>
      </c>
      <c r="F4223">
        <v>100025310</v>
      </c>
      <c r="G4223">
        <v>148771031</v>
      </c>
      <c r="H4223">
        <v>145842935</v>
      </c>
      <c r="I4223">
        <v>113156373</v>
      </c>
      <c r="P4223">
        <v>156</v>
      </c>
      <c r="Q4223" t="s">
        <v>8791</v>
      </c>
    </row>
    <row r="4224" spans="1:17" x14ac:dyDescent="0.3">
      <c r="A4224" t="s">
        <v>4729</v>
      </c>
      <c r="B4224" t="str">
        <f>"300424"</f>
        <v>300424</v>
      </c>
      <c r="C4224" t="s">
        <v>8792</v>
      </c>
      <c r="D4224" t="s">
        <v>98</v>
      </c>
      <c r="F4224">
        <v>56488350</v>
      </c>
      <c r="G4224">
        <v>45573773</v>
      </c>
      <c r="H4224">
        <v>37574791</v>
      </c>
      <c r="I4224">
        <v>31477568</v>
      </c>
      <c r="P4224">
        <v>133</v>
      </c>
      <c r="Q4224" t="s">
        <v>8793</v>
      </c>
    </row>
    <row r="4225" spans="1:17" x14ac:dyDescent="0.3">
      <c r="A4225" t="s">
        <v>4729</v>
      </c>
      <c r="B4225" t="str">
        <f>"300425"</f>
        <v>300425</v>
      </c>
      <c r="C4225" t="s">
        <v>8794</v>
      </c>
      <c r="D4225" t="s">
        <v>33</v>
      </c>
      <c r="F4225">
        <v>51427135</v>
      </c>
      <c r="G4225">
        <v>39726396</v>
      </c>
      <c r="H4225">
        <v>36240686</v>
      </c>
      <c r="I4225">
        <v>36945777</v>
      </c>
      <c r="P4225">
        <v>121</v>
      </c>
      <c r="Q4225" t="s">
        <v>8795</v>
      </c>
    </row>
    <row r="4226" spans="1:17" x14ac:dyDescent="0.3">
      <c r="A4226" t="s">
        <v>4729</v>
      </c>
      <c r="B4226" t="str">
        <f>"300426"</f>
        <v>300426</v>
      </c>
      <c r="C4226" t="s">
        <v>8796</v>
      </c>
      <c r="D4226" t="s">
        <v>113</v>
      </c>
      <c r="F4226">
        <v>0</v>
      </c>
      <c r="G4226">
        <v>0</v>
      </c>
      <c r="P4226">
        <v>130</v>
      </c>
      <c r="Q4226" t="s">
        <v>8797</v>
      </c>
    </row>
    <row r="4227" spans="1:17" x14ac:dyDescent="0.3">
      <c r="A4227" t="s">
        <v>4729</v>
      </c>
      <c r="B4227" t="str">
        <f>"300427"</f>
        <v>300427</v>
      </c>
      <c r="C4227" t="s">
        <v>8798</v>
      </c>
      <c r="D4227" t="s">
        <v>610</v>
      </c>
      <c r="F4227">
        <v>102690462</v>
      </c>
      <c r="G4227">
        <v>98004876</v>
      </c>
      <c r="H4227">
        <v>69328580</v>
      </c>
      <c r="I4227">
        <v>61832662</v>
      </c>
      <c r="P4227">
        <v>249</v>
      </c>
      <c r="Q4227" t="s">
        <v>8799</v>
      </c>
    </row>
    <row r="4228" spans="1:17" x14ac:dyDescent="0.3">
      <c r="A4228" t="s">
        <v>4729</v>
      </c>
      <c r="B4228" t="str">
        <f>"300428"</f>
        <v>300428</v>
      </c>
      <c r="C4228" t="s">
        <v>8800</v>
      </c>
      <c r="D4228" t="s">
        <v>422</v>
      </c>
      <c r="F4228">
        <v>551550829</v>
      </c>
      <c r="G4228">
        <v>338530500</v>
      </c>
      <c r="H4228">
        <v>267543848</v>
      </c>
      <c r="I4228">
        <v>284446989</v>
      </c>
      <c r="P4228">
        <v>171</v>
      </c>
      <c r="Q4228" t="s">
        <v>8801</v>
      </c>
    </row>
    <row r="4229" spans="1:17" x14ac:dyDescent="0.3">
      <c r="A4229" t="s">
        <v>4729</v>
      </c>
      <c r="B4229" t="str">
        <f>"300429"</f>
        <v>300429</v>
      </c>
      <c r="C4229" t="s">
        <v>8802</v>
      </c>
      <c r="D4229" t="s">
        <v>2408</v>
      </c>
      <c r="F4229">
        <v>90581674</v>
      </c>
      <c r="G4229">
        <v>64004778</v>
      </c>
      <c r="H4229">
        <v>62417887</v>
      </c>
      <c r="I4229">
        <v>48552080</v>
      </c>
      <c r="P4229">
        <v>261</v>
      </c>
      <c r="Q4229" t="s">
        <v>8803</v>
      </c>
    </row>
    <row r="4230" spans="1:17" x14ac:dyDescent="0.3">
      <c r="A4230" t="s">
        <v>4729</v>
      </c>
      <c r="B4230" t="str">
        <f>"300430"</f>
        <v>300430</v>
      </c>
      <c r="C4230" t="s">
        <v>8804</v>
      </c>
      <c r="D4230" t="s">
        <v>560</v>
      </c>
      <c r="F4230">
        <v>54589686</v>
      </c>
      <c r="G4230">
        <v>49130789</v>
      </c>
      <c r="H4230">
        <v>44359681</v>
      </c>
      <c r="I4230">
        <v>34534969</v>
      </c>
      <c r="P4230">
        <v>95</v>
      </c>
      <c r="Q4230" t="s">
        <v>8805</v>
      </c>
    </row>
    <row r="4231" spans="1:17" x14ac:dyDescent="0.3">
      <c r="A4231" t="s">
        <v>4729</v>
      </c>
      <c r="B4231" t="str">
        <f>"300431"</f>
        <v>300431</v>
      </c>
      <c r="C4231" t="s">
        <v>8806</v>
      </c>
      <c r="I4231">
        <v>117777135</v>
      </c>
      <c r="P4231">
        <v>145</v>
      </c>
      <c r="Q4231" t="s">
        <v>8807</v>
      </c>
    </row>
    <row r="4232" spans="1:17" x14ac:dyDescent="0.3">
      <c r="A4232" t="s">
        <v>4729</v>
      </c>
      <c r="B4232" t="str">
        <f>"300432"</f>
        <v>300432</v>
      </c>
      <c r="C4232" t="s">
        <v>8808</v>
      </c>
      <c r="D4232" t="s">
        <v>348</v>
      </c>
      <c r="F4232">
        <v>126202289</v>
      </c>
      <c r="G4232">
        <v>111395400</v>
      </c>
      <c r="H4232">
        <v>99995303</v>
      </c>
      <c r="I4232">
        <v>83613817</v>
      </c>
      <c r="P4232">
        <v>304</v>
      </c>
      <c r="Q4232" t="s">
        <v>8809</v>
      </c>
    </row>
    <row r="4233" spans="1:17" x14ac:dyDescent="0.3">
      <c r="A4233" t="s">
        <v>4729</v>
      </c>
      <c r="B4233" t="str">
        <f>"300433"</f>
        <v>300433</v>
      </c>
      <c r="C4233" t="s">
        <v>8810</v>
      </c>
      <c r="D4233" t="s">
        <v>313</v>
      </c>
      <c r="F4233">
        <v>2133669211</v>
      </c>
      <c r="G4233">
        <v>1441926934</v>
      </c>
      <c r="H4233">
        <v>1638539146</v>
      </c>
      <c r="I4233">
        <v>1480017986</v>
      </c>
      <c r="P4233">
        <v>1654</v>
      </c>
      <c r="Q4233" t="s">
        <v>8811</v>
      </c>
    </row>
    <row r="4234" spans="1:17" x14ac:dyDescent="0.3">
      <c r="A4234" t="s">
        <v>4729</v>
      </c>
      <c r="B4234" t="str">
        <f>"300434"</f>
        <v>300434</v>
      </c>
      <c r="C4234" t="s">
        <v>8812</v>
      </c>
      <c r="D4234" t="s">
        <v>143</v>
      </c>
      <c r="F4234">
        <v>37451005</v>
      </c>
      <c r="G4234">
        <v>27838827</v>
      </c>
      <c r="H4234">
        <v>28540625</v>
      </c>
      <c r="I4234">
        <v>27924817</v>
      </c>
      <c r="P4234">
        <v>96</v>
      </c>
      <c r="Q4234" t="s">
        <v>8813</v>
      </c>
    </row>
    <row r="4235" spans="1:17" x14ac:dyDescent="0.3">
      <c r="A4235" t="s">
        <v>4729</v>
      </c>
      <c r="B4235" t="str">
        <f>"300435"</f>
        <v>300435</v>
      </c>
      <c r="C4235" t="s">
        <v>8814</v>
      </c>
      <c r="D4235" t="s">
        <v>749</v>
      </c>
      <c r="F4235">
        <v>40382699</v>
      </c>
      <c r="G4235">
        <v>19198392</v>
      </c>
      <c r="H4235">
        <v>25594036</v>
      </c>
      <c r="I4235">
        <v>23503863</v>
      </c>
      <c r="P4235">
        <v>111</v>
      </c>
      <c r="Q4235" t="s">
        <v>8815</v>
      </c>
    </row>
    <row r="4236" spans="1:17" x14ac:dyDescent="0.3">
      <c r="A4236" t="s">
        <v>4729</v>
      </c>
      <c r="B4236" t="str">
        <f>"300436"</f>
        <v>300436</v>
      </c>
      <c r="C4236" t="s">
        <v>8816</v>
      </c>
      <c r="D4236" t="s">
        <v>143</v>
      </c>
      <c r="F4236">
        <v>68989476</v>
      </c>
      <c r="G4236">
        <v>47471846</v>
      </c>
      <c r="H4236">
        <v>53213432</v>
      </c>
      <c r="I4236">
        <v>69654568</v>
      </c>
      <c r="P4236">
        <v>135</v>
      </c>
      <c r="Q4236" t="s">
        <v>8817</v>
      </c>
    </row>
    <row r="4237" spans="1:17" x14ac:dyDescent="0.3">
      <c r="A4237" t="s">
        <v>4729</v>
      </c>
      <c r="B4237" t="str">
        <f>"300437"</f>
        <v>300437</v>
      </c>
      <c r="C4237" t="s">
        <v>8818</v>
      </c>
      <c r="D4237" t="s">
        <v>33</v>
      </c>
      <c r="F4237">
        <v>27652086</v>
      </c>
      <c r="G4237">
        <v>25538832</v>
      </c>
      <c r="H4237">
        <v>20230273</v>
      </c>
      <c r="I4237">
        <v>17783404</v>
      </c>
      <c r="P4237">
        <v>143</v>
      </c>
      <c r="Q4237" t="s">
        <v>8819</v>
      </c>
    </row>
    <row r="4238" spans="1:17" x14ac:dyDescent="0.3">
      <c r="A4238" t="s">
        <v>4729</v>
      </c>
      <c r="B4238" t="str">
        <f>"300438"</f>
        <v>300438</v>
      </c>
      <c r="C4238" t="s">
        <v>8820</v>
      </c>
      <c r="D4238" t="s">
        <v>359</v>
      </c>
      <c r="F4238">
        <v>246441939</v>
      </c>
      <c r="G4238">
        <v>130324679</v>
      </c>
      <c r="H4238">
        <v>119839294</v>
      </c>
      <c r="I4238">
        <v>88640580</v>
      </c>
      <c r="P4238">
        <v>394</v>
      </c>
      <c r="Q4238" t="s">
        <v>8821</v>
      </c>
    </row>
    <row r="4239" spans="1:17" x14ac:dyDescent="0.3">
      <c r="A4239" t="s">
        <v>4729</v>
      </c>
      <c r="B4239" t="str">
        <f>"300439"</f>
        <v>300439</v>
      </c>
      <c r="C4239" t="s">
        <v>8822</v>
      </c>
      <c r="D4239" t="s">
        <v>1305</v>
      </c>
      <c r="F4239">
        <v>150683995</v>
      </c>
      <c r="G4239">
        <v>135480907</v>
      </c>
      <c r="H4239">
        <v>128260151</v>
      </c>
      <c r="I4239">
        <v>109640346</v>
      </c>
      <c r="P4239">
        <v>209</v>
      </c>
      <c r="Q4239" t="s">
        <v>8823</v>
      </c>
    </row>
    <row r="4240" spans="1:17" x14ac:dyDescent="0.3">
      <c r="A4240" t="s">
        <v>4729</v>
      </c>
      <c r="B4240" t="str">
        <f>"300440"</f>
        <v>300440</v>
      </c>
      <c r="C4240" t="s">
        <v>8824</v>
      </c>
      <c r="D4240" t="s">
        <v>316</v>
      </c>
      <c r="F4240">
        <v>91847422</v>
      </c>
      <c r="G4240">
        <v>84624857</v>
      </c>
      <c r="H4240">
        <v>80104190</v>
      </c>
      <c r="I4240">
        <v>71387503</v>
      </c>
      <c r="P4240">
        <v>151</v>
      </c>
      <c r="Q4240" t="s">
        <v>8825</v>
      </c>
    </row>
    <row r="4241" spans="1:17" x14ac:dyDescent="0.3">
      <c r="A4241" t="s">
        <v>4729</v>
      </c>
      <c r="B4241" t="str">
        <f>"300441"</f>
        <v>300441</v>
      </c>
      <c r="C4241" t="s">
        <v>8826</v>
      </c>
      <c r="D4241" t="s">
        <v>560</v>
      </c>
      <c r="F4241">
        <v>103498506</v>
      </c>
      <c r="G4241">
        <v>88483038</v>
      </c>
      <c r="H4241">
        <v>73249598</v>
      </c>
      <c r="I4241">
        <v>68716188</v>
      </c>
      <c r="P4241">
        <v>96</v>
      </c>
      <c r="Q4241" t="s">
        <v>8827</v>
      </c>
    </row>
    <row r="4242" spans="1:17" x14ac:dyDescent="0.3">
      <c r="A4242" t="s">
        <v>4729</v>
      </c>
      <c r="B4242" t="str">
        <f>"300442"</f>
        <v>300442</v>
      </c>
      <c r="C4242" t="s">
        <v>8828</v>
      </c>
      <c r="D4242" t="s">
        <v>3415</v>
      </c>
      <c r="F4242">
        <v>32372157</v>
      </c>
      <c r="G4242">
        <v>45475648</v>
      </c>
      <c r="H4242">
        <v>26038137</v>
      </c>
      <c r="I4242">
        <v>32867431</v>
      </c>
      <c r="P4242">
        <v>66</v>
      </c>
      <c r="Q4242" t="s">
        <v>8829</v>
      </c>
    </row>
    <row r="4243" spans="1:17" x14ac:dyDescent="0.3">
      <c r="A4243" t="s">
        <v>4729</v>
      </c>
      <c r="B4243" t="str">
        <f>"300443"</f>
        <v>300443</v>
      </c>
      <c r="C4243" t="s">
        <v>8830</v>
      </c>
      <c r="D4243" t="s">
        <v>950</v>
      </c>
      <c r="F4243">
        <v>51140437</v>
      </c>
      <c r="G4243">
        <v>48606012</v>
      </c>
      <c r="H4243">
        <v>35259354</v>
      </c>
      <c r="I4243">
        <v>23286763</v>
      </c>
      <c r="P4243">
        <v>359</v>
      </c>
      <c r="Q4243" t="s">
        <v>8831</v>
      </c>
    </row>
    <row r="4244" spans="1:17" x14ac:dyDescent="0.3">
      <c r="A4244" t="s">
        <v>4729</v>
      </c>
      <c r="B4244" t="str">
        <f>"300444"</f>
        <v>300444</v>
      </c>
      <c r="C4244" t="s">
        <v>8832</v>
      </c>
      <c r="D4244" t="s">
        <v>210</v>
      </c>
      <c r="F4244">
        <v>68590733</v>
      </c>
      <c r="G4244">
        <v>52932071</v>
      </c>
      <c r="H4244">
        <v>92983386</v>
      </c>
      <c r="I4244">
        <v>80606370</v>
      </c>
      <c r="P4244">
        <v>101</v>
      </c>
      <c r="Q4244" t="s">
        <v>8833</v>
      </c>
    </row>
    <row r="4245" spans="1:17" x14ac:dyDescent="0.3">
      <c r="A4245" t="s">
        <v>4729</v>
      </c>
      <c r="B4245" t="str">
        <f>"300445"</f>
        <v>300445</v>
      </c>
      <c r="C4245" t="s">
        <v>8834</v>
      </c>
      <c r="D4245" t="s">
        <v>2566</v>
      </c>
      <c r="F4245">
        <v>50481392</v>
      </c>
      <c r="G4245">
        <v>43977083</v>
      </c>
      <c r="H4245">
        <v>33409209</v>
      </c>
      <c r="I4245">
        <v>23686291</v>
      </c>
      <c r="P4245">
        <v>169</v>
      </c>
      <c r="Q4245" t="s">
        <v>8835</v>
      </c>
    </row>
    <row r="4246" spans="1:17" x14ac:dyDescent="0.3">
      <c r="A4246" t="s">
        <v>4729</v>
      </c>
      <c r="B4246" t="str">
        <f>"300446"</f>
        <v>300446</v>
      </c>
      <c r="C4246" t="s">
        <v>8836</v>
      </c>
      <c r="D4246" t="s">
        <v>2408</v>
      </c>
      <c r="F4246">
        <v>31887085</v>
      </c>
      <c r="G4246">
        <v>39507448</v>
      </c>
      <c r="H4246">
        <v>33663526</v>
      </c>
      <c r="I4246">
        <v>28611281</v>
      </c>
      <c r="P4246">
        <v>980</v>
      </c>
      <c r="Q4246" t="s">
        <v>8837</v>
      </c>
    </row>
    <row r="4247" spans="1:17" x14ac:dyDescent="0.3">
      <c r="A4247" t="s">
        <v>4729</v>
      </c>
      <c r="B4247" t="str">
        <f>"300447"</f>
        <v>300447</v>
      </c>
      <c r="C4247" t="s">
        <v>8838</v>
      </c>
      <c r="D4247" t="s">
        <v>1136</v>
      </c>
      <c r="F4247">
        <v>72439040</v>
      </c>
      <c r="G4247">
        <v>61764044</v>
      </c>
      <c r="H4247">
        <v>74698651</v>
      </c>
      <c r="I4247">
        <v>67514046</v>
      </c>
      <c r="P4247">
        <v>119</v>
      </c>
      <c r="Q4247" t="s">
        <v>8839</v>
      </c>
    </row>
    <row r="4248" spans="1:17" x14ac:dyDescent="0.3">
      <c r="A4248" t="s">
        <v>4729</v>
      </c>
      <c r="B4248" t="str">
        <f>"300448"</f>
        <v>300448</v>
      </c>
      <c r="C4248" t="s">
        <v>8840</v>
      </c>
      <c r="D4248" t="s">
        <v>316</v>
      </c>
      <c r="F4248">
        <v>43470492</v>
      </c>
      <c r="G4248">
        <v>55733160</v>
      </c>
      <c r="H4248">
        <v>46311058</v>
      </c>
      <c r="I4248">
        <v>42856277</v>
      </c>
      <c r="P4248">
        <v>157</v>
      </c>
      <c r="Q4248" t="s">
        <v>8841</v>
      </c>
    </row>
    <row r="4249" spans="1:17" x14ac:dyDescent="0.3">
      <c r="A4249" t="s">
        <v>4729</v>
      </c>
      <c r="B4249" t="str">
        <f>"300449"</f>
        <v>300449</v>
      </c>
      <c r="C4249" t="s">
        <v>8842</v>
      </c>
      <c r="D4249" t="s">
        <v>2980</v>
      </c>
      <c r="F4249">
        <v>41373809</v>
      </c>
      <c r="G4249">
        <v>20294930</v>
      </c>
      <c r="H4249">
        <v>34509669</v>
      </c>
      <c r="I4249">
        <v>33118108</v>
      </c>
      <c r="P4249">
        <v>85</v>
      </c>
      <c r="Q4249" t="s">
        <v>8843</v>
      </c>
    </row>
    <row r="4250" spans="1:17" x14ac:dyDescent="0.3">
      <c r="A4250" t="s">
        <v>4729</v>
      </c>
      <c r="B4250" t="str">
        <f>"300450"</f>
        <v>300450</v>
      </c>
      <c r="C4250" t="s">
        <v>8844</v>
      </c>
      <c r="D4250" t="s">
        <v>3776</v>
      </c>
      <c r="F4250">
        <v>897837554</v>
      </c>
      <c r="G4250">
        <v>537963411</v>
      </c>
      <c r="H4250">
        <v>531984264</v>
      </c>
      <c r="I4250">
        <v>283664752</v>
      </c>
      <c r="P4250">
        <v>9751</v>
      </c>
      <c r="Q4250" t="s">
        <v>8845</v>
      </c>
    </row>
    <row r="4251" spans="1:17" x14ac:dyDescent="0.3">
      <c r="A4251" t="s">
        <v>4729</v>
      </c>
      <c r="B4251" t="str">
        <f>"300451"</f>
        <v>300451</v>
      </c>
      <c r="C4251" t="s">
        <v>8846</v>
      </c>
      <c r="D4251" t="s">
        <v>945</v>
      </c>
      <c r="F4251">
        <v>210369732</v>
      </c>
      <c r="G4251">
        <v>177228129</v>
      </c>
      <c r="H4251">
        <v>138083855</v>
      </c>
      <c r="I4251">
        <v>129852420</v>
      </c>
      <c r="P4251">
        <v>353</v>
      </c>
      <c r="Q4251" t="s">
        <v>8847</v>
      </c>
    </row>
    <row r="4252" spans="1:17" x14ac:dyDescent="0.3">
      <c r="A4252" t="s">
        <v>4729</v>
      </c>
      <c r="B4252" t="str">
        <f>"300452"</f>
        <v>300452</v>
      </c>
      <c r="C4252" t="s">
        <v>8848</v>
      </c>
      <c r="D4252" t="s">
        <v>496</v>
      </c>
      <c r="F4252">
        <v>26800985</v>
      </c>
      <c r="G4252">
        <v>18116809</v>
      </c>
      <c r="H4252">
        <v>16191596</v>
      </c>
      <c r="I4252">
        <v>14199113</v>
      </c>
      <c r="P4252">
        <v>300</v>
      </c>
      <c r="Q4252" t="s">
        <v>8849</v>
      </c>
    </row>
    <row r="4253" spans="1:17" x14ac:dyDescent="0.3">
      <c r="A4253" t="s">
        <v>4729</v>
      </c>
      <c r="B4253" t="str">
        <f>"300453"</f>
        <v>300453</v>
      </c>
      <c r="C4253" t="s">
        <v>8850</v>
      </c>
      <c r="D4253" t="s">
        <v>1077</v>
      </c>
      <c r="F4253">
        <v>42153752</v>
      </c>
      <c r="G4253">
        <v>29492226</v>
      </c>
      <c r="H4253">
        <v>15264458</v>
      </c>
      <c r="I4253">
        <v>8976189</v>
      </c>
      <c r="P4253">
        <v>226</v>
      </c>
      <c r="Q4253" t="s">
        <v>8851</v>
      </c>
    </row>
    <row r="4254" spans="1:17" x14ac:dyDescent="0.3">
      <c r="A4254" t="s">
        <v>4729</v>
      </c>
      <c r="B4254" t="str">
        <f>"300454"</f>
        <v>300454</v>
      </c>
      <c r="C4254" t="s">
        <v>8852</v>
      </c>
      <c r="D4254" t="s">
        <v>1189</v>
      </c>
      <c r="F4254">
        <v>2087901234</v>
      </c>
      <c r="G4254">
        <v>1509241751</v>
      </c>
      <c r="H4254">
        <v>1140894231</v>
      </c>
      <c r="I4254">
        <v>779026958</v>
      </c>
      <c r="P4254">
        <v>799</v>
      </c>
      <c r="Q4254" t="s">
        <v>8853</v>
      </c>
    </row>
    <row r="4255" spans="1:17" x14ac:dyDescent="0.3">
      <c r="A4255" t="s">
        <v>4729</v>
      </c>
      <c r="B4255" t="str">
        <f>"300455"</f>
        <v>300455</v>
      </c>
      <c r="C4255" t="s">
        <v>8854</v>
      </c>
      <c r="D4255" t="s">
        <v>236</v>
      </c>
      <c r="F4255">
        <v>77071461</v>
      </c>
      <c r="G4255">
        <v>60958144</v>
      </c>
      <c r="H4255">
        <v>52798192</v>
      </c>
      <c r="I4255">
        <v>28328193</v>
      </c>
      <c r="P4255">
        <v>137</v>
      </c>
      <c r="Q4255" t="s">
        <v>8855</v>
      </c>
    </row>
    <row r="4256" spans="1:17" x14ac:dyDescent="0.3">
      <c r="A4256" t="s">
        <v>4729</v>
      </c>
      <c r="B4256" t="str">
        <f>"300456"</f>
        <v>300456</v>
      </c>
      <c r="C4256" t="s">
        <v>8856</v>
      </c>
      <c r="D4256" t="s">
        <v>4332</v>
      </c>
      <c r="F4256">
        <v>266425880</v>
      </c>
      <c r="G4256">
        <v>195368176</v>
      </c>
      <c r="H4256">
        <v>110484666</v>
      </c>
      <c r="I4256">
        <v>54300487</v>
      </c>
      <c r="P4256">
        <v>376</v>
      </c>
      <c r="Q4256" t="s">
        <v>8857</v>
      </c>
    </row>
    <row r="4257" spans="1:17" x14ac:dyDescent="0.3">
      <c r="A4257" t="s">
        <v>4729</v>
      </c>
      <c r="B4257" t="str">
        <f>"300457"</f>
        <v>300457</v>
      </c>
      <c r="C4257" t="s">
        <v>8858</v>
      </c>
      <c r="D4257" t="s">
        <v>3776</v>
      </c>
      <c r="F4257">
        <v>342286906</v>
      </c>
      <c r="G4257">
        <v>173030353</v>
      </c>
      <c r="H4257">
        <v>134977141</v>
      </c>
      <c r="I4257">
        <v>125167420</v>
      </c>
      <c r="P4257">
        <v>359</v>
      </c>
      <c r="Q4257" t="s">
        <v>8859</v>
      </c>
    </row>
    <row r="4258" spans="1:17" x14ac:dyDescent="0.3">
      <c r="A4258" t="s">
        <v>4729</v>
      </c>
      <c r="B4258" t="str">
        <f>"300458"</f>
        <v>300458</v>
      </c>
      <c r="C4258" t="s">
        <v>8860</v>
      </c>
      <c r="D4258" t="s">
        <v>461</v>
      </c>
      <c r="F4258">
        <v>384826319</v>
      </c>
      <c r="G4258">
        <v>283842758</v>
      </c>
      <c r="H4258">
        <v>294614732</v>
      </c>
      <c r="I4258">
        <v>312246434</v>
      </c>
      <c r="P4258">
        <v>561</v>
      </c>
      <c r="Q4258" t="s">
        <v>8861</v>
      </c>
    </row>
    <row r="4259" spans="1:17" x14ac:dyDescent="0.3">
      <c r="A4259" t="s">
        <v>4729</v>
      </c>
      <c r="B4259" t="str">
        <f>"300459"</f>
        <v>300459</v>
      </c>
      <c r="C4259" t="s">
        <v>8862</v>
      </c>
      <c r="D4259" t="s">
        <v>517</v>
      </c>
      <c r="F4259">
        <v>119418315</v>
      </c>
      <c r="G4259">
        <v>138465719</v>
      </c>
      <c r="H4259">
        <v>218699032</v>
      </c>
      <c r="I4259">
        <v>172824144</v>
      </c>
      <c r="P4259">
        <v>287</v>
      </c>
      <c r="Q4259" t="s">
        <v>8863</v>
      </c>
    </row>
    <row r="4260" spans="1:17" x14ac:dyDescent="0.3">
      <c r="A4260" t="s">
        <v>4729</v>
      </c>
      <c r="B4260" t="str">
        <f>"300460"</f>
        <v>300460</v>
      </c>
      <c r="C4260" t="s">
        <v>8864</v>
      </c>
      <c r="D4260" t="s">
        <v>546</v>
      </c>
      <c r="F4260">
        <v>29080447</v>
      </c>
      <c r="G4260">
        <v>14491551</v>
      </c>
      <c r="H4260">
        <v>22999582</v>
      </c>
      <c r="I4260">
        <v>22843089</v>
      </c>
      <c r="P4260">
        <v>154</v>
      </c>
      <c r="Q4260" t="s">
        <v>8865</v>
      </c>
    </row>
    <row r="4261" spans="1:17" x14ac:dyDescent="0.3">
      <c r="A4261" t="s">
        <v>4729</v>
      </c>
      <c r="B4261" t="str">
        <f>"300461"</f>
        <v>300461</v>
      </c>
      <c r="C4261" t="s">
        <v>8866</v>
      </c>
      <c r="D4261" t="s">
        <v>3477</v>
      </c>
      <c r="F4261">
        <v>14157411</v>
      </c>
      <c r="G4261">
        <v>14144663</v>
      </c>
      <c r="H4261">
        <v>34064074</v>
      </c>
      <c r="I4261">
        <v>48255019</v>
      </c>
      <c r="P4261">
        <v>153</v>
      </c>
      <c r="Q4261" t="s">
        <v>8867</v>
      </c>
    </row>
    <row r="4262" spans="1:17" x14ac:dyDescent="0.3">
      <c r="A4262" t="s">
        <v>4729</v>
      </c>
      <c r="B4262" t="str">
        <f>"300462"</f>
        <v>300462</v>
      </c>
      <c r="C4262" t="s">
        <v>8868</v>
      </c>
      <c r="D4262" t="s">
        <v>236</v>
      </c>
      <c r="F4262">
        <v>137381385</v>
      </c>
      <c r="G4262">
        <v>119583044</v>
      </c>
      <c r="H4262">
        <v>49870577</v>
      </c>
      <c r="I4262">
        <v>19718893</v>
      </c>
      <c r="P4262">
        <v>176</v>
      </c>
      <c r="Q4262" t="s">
        <v>8869</v>
      </c>
    </row>
    <row r="4263" spans="1:17" x14ac:dyDescent="0.3">
      <c r="A4263" t="s">
        <v>4729</v>
      </c>
      <c r="B4263" t="str">
        <f>"300463"</f>
        <v>300463</v>
      </c>
      <c r="C4263" t="s">
        <v>8870</v>
      </c>
      <c r="D4263" t="s">
        <v>1305</v>
      </c>
      <c r="F4263">
        <v>207265887</v>
      </c>
      <c r="G4263">
        <v>202073453</v>
      </c>
      <c r="H4263">
        <v>140136495</v>
      </c>
      <c r="I4263">
        <v>108794977</v>
      </c>
      <c r="P4263">
        <v>1103</v>
      </c>
      <c r="Q4263" t="s">
        <v>8871</v>
      </c>
    </row>
    <row r="4264" spans="1:17" x14ac:dyDescent="0.3">
      <c r="A4264" t="s">
        <v>4729</v>
      </c>
      <c r="B4264" t="str">
        <f>"300464"</f>
        <v>300464</v>
      </c>
      <c r="C4264" t="s">
        <v>8872</v>
      </c>
      <c r="D4264" t="s">
        <v>2020</v>
      </c>
      <c r="F4264">
        <v>108365393</v>
      </c>
      <c r="G4264">
        <v>92771810</v>
      </c>
      <c r="H4264">
        <v>57422163</v>
      </c>
      <c r="I4264">
        <v>7689426</v>
      </c>
      <c r="P4264">
        <v>121</v>
      </c>
      <c r="Q4264" t="s">
        <v>8873</v>
      </c>
    </row>
    <row r="4265" spans="1:17" x14ac:dyDescent="0.3">
      <c r="A4265" t="s">
        <v>4729</v>
      </c>
      <c r="B4265" t="str">
        <f>"300465"</f>
        <v>300465</v>
      </c>
      <c r="C4265" t="s">
        <v>8874</v>
      </c>
      <c r="D4265" t="s">
        <v>945</v>
      </c>
      <c r="F4265">
        <v>89201693</v>
      </c>
      <c r="G4265">
        <v>78497779</v>
      </c>
      <c r="H4265">
        <v>72131543</v>
      </c>
      <c r="I4265">
        <v>40577377</v>
      </c>
      <c r="P4265">
        <v>252</v>
      </c>
      <c r="Q4265" t="s">
        <v>8875</v>
      </c>
    </row>
    <row r="4266" spans="1:17" x14ac:dyDescent="0.3">
      <c r="A4266" t="s">
        <v>4729</v>
      </c>
      <c r="B4266" t="str">
        <f>"300466"</f>
        <v>300466</v>
      </c>
      <c r="C4266" t="s">
        <v>8876</v>
      </c>
      <c r="D4266" t="s">
        <v>2180</v>
      </c>
      <c r="F4266">
        <v>50026596</v>
      </c>
      <c r="G4266">
        <v>59983424</v>
      </c>
      <c r="H4266">
        <v>53168288</v>
      </c>
      <c r="I4266">
        <v>50054091</v>
      </c>
      <c r="P4266">
        <v>121</v>
      </c>
      <c r="Q4266" t="s">
        <v>8877</v>
      </c>
    </row>
    <row r="4267" spans="1:17" x14ac:dyDescent="0.3">
      <c r="A4267" t="s">
        <v>4729</v>
      </c>
      <c r="B4267" t="str">
        <f>"300467"</f>
        <v>300467</v>
      </c>
      <c r="C4267" t="s">
        <v>8878</v>
      </c>
      <c r="D4267" t="s">
        <v>517</v>
      </c>
      <c r="F4267">
        <v>98617995</v>
      </c>
      <c r="G4267">
        <v>95790197</v>
      </c>
      <c r="H4267">
        <v>102429348</v>
      </c>
      <c r="I4267">
        <v>67727572</v>
      </c>
      <c r="P4267">
        <v>187</v>
      </c>
      <c r="Q4267" t="s">
        <v>8879</v>
      </c>
    </row>
    <row r="4268" spans="1:17" x14ac:dyDescent="0.3">
      <c r="A4268" t="s">
        <v>4729</v>
      </c>
      <c r="B4268" t="str">
        <f>"300468"</f>
        <v>300468</v>
      </c>
      <c r="C4268" t="s">
        <v>8880</v>
      </c>
      <c r="D4268" t="s">
        <v>945</v>
      </c>
      <c r="F4268">
        <v>84755462</v>
      </c>
      <c r="G4268">
        <v>79675042</v>
      </c>
      <c r="H4268">
        <v>84315395</v>
      </c>
      <c r="I4268">
        <v>75321615</v>
      </c>
      <c r="P4268">
        <v>213</v>
      </c>
      <c r="Q4268" t="s">
        <v>8881</v>
      </c>
    </row>
    <row r="4269" spans="1:17" x14ac:dyDescent="0.3">
      <c r="A4269" t="s">
        <v>4729</v>
      </c>
      <c r="B4269" t="str">
        <f>"300469"</f>
        <v>300469</v>
      </c>
      <c r="C4269" t="s">
        <v>8882</v>
      </c>
      <c r="D4269" t="s">
        <v>945</v>
      </c>
      <c r="F4269">
        <v>44434766</v>
      </c>
      <c r="G4269">
        <v>58022570</v>
      </c>
      <c r="H4269">
        <v>125120287</v>
      </c>
      <c r="I4269">
        <v>65700762</v>
      </c>
      <c r="P4269">
        <v>96</v>
      </c>
      <c r="Q4269" t="s">
        <v>8883</v>
      </c>
    </row>
    <row r="4270" spans="1:17" x14ac:dyDescent="0.3">
      <c r="A4270" t="s">
        <v>4729</v>
      </c>
      <c r="B4270" t="str">
        <f>"300470"</f>
        <v>300470</v>
      </c>
      <c r="C4270" t="s">
        <v>8884</v>
      </c>
      <c r="D4270" t="s">
        <v>560</v>
      </c>
      <c r="F4270">
        <v>51958515</v>
      </c>
      <c r="G4270">
        <v>41269988</v>
      </c>
      <c r="H4270">
        <v>37571400</v>
      </c>
      <c r="I4270">
        <v>34697212</v>
      </c>
      <c r="P4270">
        <v>349</v>
      </c>
      <c r="Q4270" t="s">
        <v>8885</v>
      </c>
    </row>
    <row r="4271" spans="1:17" x14ac:dyDescent="0.3">
      <c r="A4271" t="s">
        <v>4729</v>
      </c>
      <c r="B4271" t="str">
        <f>"300471"</f>
        <v>300471</v>
      </c>
      <c r="C4271" t="s">
        <v>8886</v>
      </c>
      <c r="D4271" t="s">
        <v>741</v>
      </c>
      <c r="F4271">
        <v>42140559</v>
      </c>
      <c r="G4271">
        <v>32052062</v>
      </c>
      <c r="H4271">
        <v>27509259</v>
      </c>
      <c r="I4271">
        <v>47933785</v>
      </c>
      <c r="P4271">
        <v>166</v>
      </c>
      <c r="Q4271" t="s">
        <v>8887</v>
      </c>
    </row>
    <row r="4272" spans="1:17" x14ac:dyDescent="0.3">
      <c r="A4272" t="s">
        <v>4729</v>
      </c>
      <c r="B4272" t="str">
        <f>"300472"</f>
        <v>300472</v>
      </c>
      <c r="C4272" t="s">
        <v>8888</v>
      </c>
      <c r="D4272" t="s">
        <v>741</v>
      </c>
      <c r="F4272">
        <v>69537026</v>
      </c>
      <c r="G4272">
        <v>41371007</v>
      </c>
      <c r="H4272">
        <v>35917615</v>
      </c>
      <c r="I4272">
        <v>39215282</v>
      </c>
      <c r="P4272">
        <v>78</v>
      </c>
      <c r="Q4272" t="s">
        <v>8889</v>
      </c>
    </row>
    <row r="4273" spans="1:17" x14ac:dyDescent="0.3">
      <c r="A4273" t="s">
        <v>4729</v>
      </c>
      <c r="B4273" t="str">
        <f>"300473"</f>
        <v>300473</v>
      </c>
      <c r="C4273" t="s">
        <v>8890</v>
      </c>
      <c r="D4273" t="s">
        <v>985</v>
      </c>
      <c r="F4273">
        <v>180770147</v>
      </c>
      <c r="G4273">
        <v>169826163</v>
      </c>
      <c r="H4273">
        <v>184486121</v>
      </c>
      <c r="I4273">
        <v>112803777</v>
      </c>
      <c r="P4273">
        <v>142</v>
      </c>
      <c r="Q4273" t="s">
        <v>8891</v>
      </c>
    </row>
    <row r="4274" spans="1:17" x14ac:dyDescent="0.3">
      <c r="A4274" t="s">
        <v>4729</v>
      </c>
      <c r="B4274" t="str">
        <f>"300474"</f>
        <v>300474</v>
      </c>
      <c r="C4274" t="s">
        <v>8892</v>
      </c>
      <c r="D4274" t="s">
        <v>1136</v>
      </c>
      <c r="F4274">
        <v>253153011</v>
      </c>
      <c r="G4274">
        <v>177403749</v>
      </c>
      <c r="H4274">
        <v>117164727</v>
      </c>
      <c r="I4274">
        <v>80706082</v>
      </c>
      <c r="P4274">
        <v>513</v>
      </c>
      <c r="Q4274" t="s">
        <v>8893</v>
      </c>
    </row>
    <row r="4275" spans="1:17" x14ac:dyDescent="0.3">
      <c r="A4275" t="s">
        <v>4729</v>
      </c>
      <c r="B4275" t="str">
        <f>"300475"</f>
        <v>300475</v>
      </c>
      <c r="C4275" t="s">
        <v>8894</v>
      </c>
      <c r="D4275" t="s">
        <v>1253</v>
      </c>
      <c r="F4275">
        <v>8436049</v>
      </c>
      <c r="G4275">
        <v>11470849</v>
      </c>
      <c r="H4275">
        <v>14796738</v>
      </c>
      <c r="I4275">
        <v>20630832</v>
      </c>
      <c r="P4275">
        <v>92</v>
      </c>
      <c r="Q4275" t="s">
        <v>8895</v>
      </c>
    </row>
    <row r="4276" spans="1:17" x14ac:dyDescent="0.3">
      <c r="A4276" t="s">
        <v>4729</v>
      </c>
      <c r="B4276" t="str">
        <f>"300476"</f>
        <v>300476</v>
      </c>
      <c r="C4276" t="s">
        <v>8896</v>
      </c>
      <c r="D4276" t="s">
        <v>425</v>
      </c>
      <c r="F4276">
        <v>297432629</v>
      </c>
      <c r="G4276">
        <v>221124589</v>
      </c>
      <c r="H4276">
        <v>173083456</v>
      </c>
      <c r="I4276">
        <v>163244655</v>
      </c>
      <c r="P4276">
        <v>633</v>
      </c>
      <c r="Q4276" t="s">
        <v>8897</v>
      </c>
    </row>
    <row r="4277" spans="1:17" x14ac:dyDescent="0.3">
      <c r="A4277" t="s">
        <v>4729</v>
      </c>
      <c r="B4277" t="str">
        <f>"300477"</f>
        <v>300477</v>
      </c>
      <c r="C4277" t="s">
        <v>8898</v>
      </c>
      <c r="D4277" t="s">
        <v>210</v>
      </c>
      <c r="F4277">
        <v>74948114</v>
      </c>
      <c r="G4277">
        <v>52446581</v>
      </c>
      <c r="H4277">
        <v>34324047</v>
      </c>
      <c r="I4277">
        <v>30355098</v>
      </c>
      <c r="P4277">
        <v>100</v>
      </c>
      <c r="Q4277" t="s">
        <v>8899</v>
      </c>
    </row>
    <row r="4278" spans="1:17" x14ac:dyDescent="0.3">
      <c r="A4278" t="s">
        <v>4729</v>
      </c>
      <c r="B4278" t="str">
        <f>"300478"</f>
        <v>300478</v>
      </c>
      <c r="C4278" t="s">
        <v>8900</v>
      </c>
      <c r="D4278" t="s">
        <v>341</v>
      </c>
      <c r="F4278">
        <v>22048519</v>
      </c>
      <c r="G4278">
        <v>34794428</v>
      </c>
      <c r="H4278">
        <v>39384445</v>
      </c>
      <c r="I4278">
        <v>52560952</v>
      </c>
      <c r="P4278">
        <v>58</v>
      </c>
      <c r="Q4278" t="s">
        <v>8901</v>
      </c>
    </row>
    <row r="4279" spans="1:17" x14ac:dyDescent="0.3">
      <c r="A4279" t="s">
        <v>4729</v>
      </c>
      <c r="B4279" t="str">
        <f>"300479"</f>
        <v>300479</v>
      </c>
      <c r="C4279" t="s">
        <v>8902</v>
      </c>
      <c r="D4279" t="s">
        <v>236</v>
      </c>
      <c r="F4279">
        <v>59571111</v>
      </c>
      <c r="G4279">
        <v>47779871</v>
      </c>
      <c r="H4279">
        <v>53811455</v>
      </c>
      <c r="I4279">
        <v>48153499</v>
      </c>
      <c r="P4279">
        <v>167</v>
      </c>
      <c r="Q4279" t="s">
        <v>8903</v>
      </c>
    </row>
    <row r="4280" spans="1:17" x14ac:dyDescent="0.3">
      <c r="A4280" t="s">
        <v>4729</v>
      </c>
      <c r="B4280" t="str">
        <f>"300480"</f>
        <v>300480</v>
      </c>
      <c r="C4280" t="s">
        <v>8904</v>
      </c>
      <c r="D4280" t="s">
        <v>395</v>
      </c>
      <c r="F4280">
        <v>62198482</v>
      </c>
      <c r="G4280">
        <v>41668812</v>
      </c>
      <c r="H4280">
        <v>39697662</v>
      </c>
      <c r="I4280">
        <v>30824962</v>
      </c>
      <c r="P4280">
        <v>84</v>
      </c>
      <c r="Q4280" t="s">
        <v>8905</v>
      </c>
    </row>
    <row r="4281" spans="1:17" x14ac:dyDescent="0.3">
      <c r="A4281" t="s">
        <v>4729</v>
      </c>
      <c r="B4281" t="str">
        <f>"300481"</f>
        <v>300481</v>
      </c>
      <c r="C4281" t="s">
        <v>8906</v>
      </c>
      <c r="D4281" t="s">
        <v>2408</v>
      </c>
      <c r="F4281">
        <v>79595413</v>
      </c>
      <c r="G4281">
        <v>69723237</v>
      </c>
      <c r="H4281">
        <v>50161359</v>
      </c>
      <c r="I4281">
        <v>52954564</v>
      </c>
      <c r="P4281">
        <v>354</v>
      </c>
      <c r="Q4281" t="s">
        <v>8907</v>
      </c>
    </row>
    <row r="4282" spans="1:17" x14ac:dyDescent="0.3">
      <c r="A4282" t="s">
        <v>4729</v>
      </c>
      <c r="B4282" t="str">
        <f>"300482"</f>
        <v>300482</v>
      </c>
      <c r="C4282" t="s">
        <v>8908</v>
      </c>
      <c r="D4282" t="s">
        <v>1305</v>
      </c>
      <c r="F4282">
        <v>391094749</v>
      </c>
      <c r="G4282">
        <v>279426088</v>
      </c>
      <c r="H4282">
        <v>160444298</v>
      </c>
      <c r="I4282">
        <v>137231092</v>
      </c>
      <c r="P4282">
        <v>17067</v>
      </c>
      <c r="Q4282" t="s">
        <v>8909</v>
      </c>
    </row>
    <row r="4283" spans="1:17" x14ac:dyDescent="0.3">
      <c r="A4283" t="s">
        <v>4729</v>
      </c>
      <c r="B4283" t="str">
        <f>"300483"</f>
        <v>300483</v>
      </c>
      <c r="C4283" t="s">
        <v>8910</v>
      </c>
      <c r="D4283" t="s">
        <v>749</v>
      </c>
      <c r="F4283">
        <v>8554806</v>
      </c>
      <c r="G4283">
        <v>14538796</v>
      </c>
      <c r="H4283">
        <v>15470707</v>
      </c>
      <c r="I4283">
        <v>15030820</v>
      </c>
      <c r="P4283">
        <v>140</v>
      </c>
      <c r="Q4283" t="s">
        <v>8911</v>
      </c>
    </row>
    <row r="4284" spans="1:17" x14ac:dyDescent="0.3">
      <c r="A4284" t="s">
        <v>4729</v>
      </c>
      <c r="B4284" t="str">
        <f>"300484"</f>
        <v>300484</v>
      </c>
      <c r="C4284" t="s">
        <v>8912</v>
      </c>
      <c r="D4284" t="s">
        <v>2432</v>
      </c>
      <c r="F4284">
        <v>30828656</v>
      </c>
      <c r="G4284">
        <v>31944994</v>
      </c>
      <c r="H4284">
        <v>49860360</v>
      </c>
      <c r="I4284">
        <v>41650053</v>
      </c>
      <c r="P4284">
        <v>219</v>
      </c>
      <c r="Q4284" t="s">
        <v>8913</v>
      </c>
    </row>
    <row r="4285" spans="1:17" x14ac:dyDescent="0.3">
      <c r="A4285" t="s">
        <v>4729</v>
      </c>
      <c r="B4285" t="str">
        <f>"300485"</f>
        <v>300485</v>
      </c>
      <c r="C4285" t="s">
        <v>8914</v>
      </c>
      <c r="D4285" t="s">
        <v>1379</v>
      </c>
      <c r="F4285">
        <v>103841275</v>
      </c>
      <c r="G4285">
        <v>71670842</v>
      </c>
      <c r="H4285">
        <v>50383364</v>
      </c>
      <c r="I4285">
        <v>31927797</v>
      </c>
      <c r="P4285">
        <v>196</v>
      </c>
      <c r="Q4285" t="s">
        <v>8915</v>
      </c>
    </row>
    <row r="4286" spans="1:17" x14ac:dyDescent="0.3">
      <c r="A4286" t="s">
        <v>4729</v>
      </c>
      <c r="B4286" t="str">
        <f>"300486"</f>
        <v>300486</v>
      </c>
      <c r="C4286" t="s">
        <v>8916</v>
      </c>
      <c r="D4286" t="s">
        <v>3477</v>
      </c>
      <c r="F4286">
        <v>54173230</v>
      </c>
      <c r="G4286">
        <v>41664038</v>
      </c>
      <c r="H4286">
        <v>34991993</v>
      </c>
      <c r="I4286">
        <v>30339255</v>
      </c>
      <c r="P4286">
        <v>74</v>
      </c>
      <c r="Q4286" t="s">
        <v>8917</v>
      </c>
    </row>
    <row r="4287" spans="1:17" x14ac:dyDescent="0.3">
      <c r="A4287" t="s">
        <v>4729</v>
      </c>
      <c r="B4287" t="str">
        <f>"300487"</f>
        <v>300487</v>
      </c>
      <c r="C4287" t="s">
        <v>8918</v>
      </c>
      <c r="D4287" t="s">
        <v>3377</v>
      </c>
      <c r="F4287">
        <v>76830552</v>
      </c>
      <c r="G4287">
        <v>54747563</v>
      </c>
      <c r="H4287">
        <v>62362251</v>
      </c>
      <c r="I4287">
        <v>32776921</v>
      </c>
      <c r="P4287">
        <v>374</v>
      </c>
      <c r="Q4287" t="s">
        <v>8919</v>
      </c>
    </row>
    <row r="4288" spans="1:17" x14ac:dyDescent="0.3">
      <c r="A4288" t="s">
        <v>4729</v>
      </c>
      <c r="B4288" t="str">
        <f>"300488"</f>
        <v>300488</v>
      </c>
      <c r="C4288" t="s">
        <v>8920</v>
      </c>
      <c r="D4288" t="s">
        <v>274</v>
      </c>
      <c r="F4288">
        <v>27942051</v>
      </c>
      <c r="G4288">
        <v>20422908</v>
      </c>
      <c r="H4288">
        <v>18164123</v>
      </c>
      <c r="I4288">
        <v>18428925</v>
      </c>
      <c r="P4288">
        <v>120</v>
      </c>
      <c r="Q4288" t="s">
        <v>8921</v>
      </c>
    </row>
    <row r="4289" spans="1:17" x14ac:dyDescent="0.3">
      <c r="A4289" t="s">
        <v>4729</v>
      </c>
      <c r="B4289" t="str">
        <f>"300489"</f>
        <v>300489</v>
      </c>
      <c r="C4289" t="s">
        <v>8922</v>
      </c>
      <c r="D4289" t="s">
        <v>504</v>
      </c>
      <c r="F4289">
        <v>42182098</v>
      </c>
      <c r="G4289">
        <v>8085791</v>
      </c>
      <c r="H4289">
        <v>4748576</v>
      </c>
      <c r="I4289">
        <v>5734157</v>
      </c>
      <c r="P4289">
        <v>71</v>
      </c>
      <c r="Q4289" t="s">
        <v>8923</v>
      </c>
    </row>
    <row r="4290" spans="1:17" x14ac:dyDescent="0.3">
      <c r="A4290" t="s">
        <v>4729</v>
      </c>
      <c r="B4290" t="str">
        <f>"300490"</f>
        <v>300490</v>
      </c>
      <c r="C4290" t="s">
        <v>8924</v>
      </c>
      <c r="D4290" t="s">
        <v>610</v>
      </c>
      <c r="F4290">
        <v>137531306</v>
      </c>
      <c r="G4290">
        <v>80668591</v>
      </c>
      <c r="H4290">
        <v>88515569</v>
      </c>
      <c r="I4290">
        <v>92419226</v>
      </c>
      <c r="P4290">
        <v>161</v>
      </c>
      <c r="Q4290" t="s">
        <v>8925</v>
      </c>
    </row>
    <row r="4291" spans="1:17" x14ac:dyDescent="0.3">
      <c r="A4291" t="s">
        <v>4729</v>
      </c>
      <c r="B4291" t="str">
        <f>"300491"</f>
        <v>300491</v>
      </c>
      <c r="C4291" t="s">
        <v>8926</v>
      </c>
      <c r="D4291" t="s">
        <v>880</v>
      </c>
      <c r="F4291">
        <v>47725843</v>
      </c>
      <c r="G4291">
        <v>39464262</v>
      </c>
      <c r="H4291">
        <v>33390679</v>
      </c>
      <c r="I4291">
        <v>21163031</v>
      </c>
      <c r="P4291">
        <v>94</v>
      </c>
      <c r="Q4291" t="s">
        <v>8927</v>
      </c>
    </row>
    <row r="4292" spans="1:17" x14ac:dyDescent="0.3">
      <c r="A4292" t="s">
        <v>4729</v>
      </c>
      <c r="B4292" t="str">
        <f>"300492"</f>
        <v>300492</v>
      </c>
      <c r="C4292" t="s">
        <v>8928</v>
      </c>
      <c r="D4292" t="s">
        <v>1272</v>
      </c>
      <c r="F4292">
        <v>0</v>
      </c>
      <c r="G4292">
        <v>0</v>
      </c>
      <c r="P4292">
        <v>94</v>
      </c>
      <c r="Q4292" t="s">
        <v>8929</v>
      </c>
    </row>
    <row r="4293" spans="1:17" x14ac:dyDescent="0.3">
      <c r="A4293" t="s">
        <v>4729</v>
      </c>
      <c r="B4293" t="str">
        <f>"300493"</f>
        <v>300493</v>
      </c>
      <c r="C4293" t="s">
        <v>8930</v>
      </c>
      <c r="D4293" t="s">
        <v>651</v>
      </c>
      <c r="F4293">
        <v>38516831</v>
      </c>
      <c r="G4293">
        <v>27187891</v>
      </c>
      <c r="H4293">
        <v>24041869</v>
      </c>
      <c r="I4293">
        <v>30371015</v>
      </c>
      <c r="P4293">
        <v>187</v>
      </c>
      <c r="Q4293" t="s">
        <v>8931</v>
      </c>
    </row>
    <row r="4294" spans="1:17" x14ac:dyDescent="0.3">
      <c r="A4294" t="s">
        <v>4729</v>
      </c>
      <c r="B4294" t="str">
        <f>"300494"</f>
        <v>300494</v>
      </c>
      <c r="C4294" t="s">
        <v>8932</v>
      </c>
      <c r="D4294" t="s">
        <v>517</v>
      </c>
      <c r="F4294">
        <v>60387553</v>
      </c>
      <c r="G4294">
        <v>55091639</v>
      </c>
      <c r="H4294">
        <v>55407885</v>
      </c>
      <c r="I4294">
        <v>49694634</v>
      </c>
      <c r="P4294">
        <v>134</v>
      </c>
      <c r="Q4294" t="s">
        <v>8933</v>
      </c>
    </row>
    <row r="4295" spans="1:17" x14ac:dyDescent="0.3">
      <c r="A4295" t="s">
        <v>4729</v>
      </c>
      <c r="B4295" t="str">
        <f>"300495"</f>
        <v>300495</v>
      </c>
      <c r="C4295" t="s">
        <v>8934</v>
      </c>
      <c r="D4295" t="s">
        <v>2417</v>
      </c>
      <c r="F4295">
        <v>15232979</v>
      </c>
      <c r="G4295">
        <v>34919282</v>
      </c>
      <c r="H4295">
        <v>45507102</v>
      </c>
      <c r="I4295">
        <v>36864514</v>
      </c>
      <c r="P4295">
        <v>103</v>
      </c>
      <c r="Q4295" t="s">
        <v>8935</v>
      </c>
    </row>
    <row r="4296" spans="1:17" x14ac:dyDescent="0.3">
      <c r="A4296" t="s">
        <v>4729</v>
      </c>
      <c r="B4296" t="str">
        <f>"300496"</f>
        <v>300496</v>
      </c>
      <c r="C4296" t="s">
        <v>8936</v>
      </c>
      <c r="D4296" t="s">
        <v>316</v>
      </c>
      <c r="F4296">
        <v>512835904</v>
      </c>
      <c r="G4296">
        <v>402661750</v>
      </c>
      <c r="H4296">
        <v>280714540</v>
      </c>
      <c r="I4296">
        <v>234507891</v>
      </c>
      <c r="P4296">
        <v>1141</v>
      </c>
      <c r="Q4296" t="s">
        <v>8937</v>
      </c>
    </row>
    <row r="4297" spans="1:17" x14ac:dyDescent="0.3">
      <c r="A4297" t="s">
        <v>4729</v>
      </c>
      <c r="B4297" t="str">
        <f>"300497"</f>
        <v>300497</v>
      </c>
      <c r="C4297" t="s">
        <v>8938</v>
      </c>
      <c r="D4297" t="s">
        <v>496</v>
      </c>
      <c r="F4297">
        <v>78511846</v>
      </c>
      <c r="G4297">
        <v>76526926</v>
      </c>
      <c r="H4297">
        <v>59456016</v>
      </c>
      <c r="I4297">
        <v>52877362</v>
      </c>
      <c r="P4297">
        <v>4722</v>
      </c>
      <c r="Q4297" t="s">
        <v>8939</v>
      </c>
    </row>
    <row r="4298" spans="1:17" x14ac:dyDescent="0.3">
      <c r="A4298" t="s">
        <v>4729</v>
      </c>
      <c r="B4298" t="str">
        <f>"300498"</f>
        <v>300498</v>
      </c>
      <c r="C4298" t="s">
        <v>8940</v>
      </c>
      <c r="D4298" t="s">
        <v>1900</v>
      </c>
      <c r="F4298">
        <v>603407534</v>
      </c>
      <c r="G4298">
        <v>679071894</v>
      </c>
      <c r="H4298">
        <v>570337330</v>
      </c>
      <c r="I4298">
        <v>552537504</v>
      </c>
      <c r="P4298">
        <v>2457</v>
      </c>
      <c r="Q4298" t="s">
        <v>8941</v>
      </c>
    </row>
    <row r="4299" spans="1:17" x14ac:dyDescent="0.3">
      <c r="A4299" t="s">
        <v>4729</v>
      </c>
      <c r="B4299" t="str">
        <f>"300499"</f>
        <v>300499</v>
      </c>
      <c r="C4299" t="s">
        <v>8942</v>
      </c>
      <c r="D4299" t="s">
        <v>741</v>
      </c>
      <c r="F4299">
        <v>79151512</v>
      </c>
      <c r="G4299">
        <v>56824326</v>
      </c>
      <c r="H4299">
        <v>45732407</v>
      </c>
      <c r="I4299">
        <v>42502131</v>
      </c>
      <c r="P4299">
        <v>135</v>
      </c>
      <c r="Q4299" t="s">
        <v>8943</v>
      </c>
    </row>
    <row r="4300" spans="1:17" x14ac:dyDescent="0.3">
      <c r="A4300" t="s">
        <v>4729</v>
      </c>
      <c r="B4300" t="str">
        <f>"300500"</f>
        <v>300500</v>
      </c>
      <c r="C4300" t="s">
        <v>8944</v>
      </c>
      <c r="D4300" t="s">
        <v>1272</v>
      </c>
      <c r="F4300">
        <v>105505693</v>
      </c>
      <c r="G4300">
        <v>78678288</v>
      </c>
      <c r="H4300">
        <v>64076742</v>
      </c>
      <c r="I4300">
        <v>40756430</v>
      </c>
      <c r="P4300">
        <v>100</v>
      </c>
      <c r="Q4300" t="s">
        <v>8945</v>
      </c>
    </row>
    <row r="4301" spans="1:17" x14ac:dyDescent="0.3">
      <c r="A4301" t="s">
        <v>4729</v>
      </c>
      <c r="B4301" t="str">
        <f>"300501"</f>
        <v>300501</v>
      </c>
      <c r="C4301" t="s">
        <v>8946</v>
      </c>
      <c r="D4301" t="s">
        <v>2448</v>
      </c>
      <c r="F4301">
        <v>32877686</v>
      </c>
      <c r="G4301">
        <v>24294382</v>
      </c>
      <c r="H4301">
        <v>26436702</v>
      </c>
      <c r="I4301">
        <v>23264042</v>
      </c>
      <c r="P4301">
        <v>131</v>
      </c>
      <c r="Q4301" t="s">
        <v>8947</v>
      </c>
    </row>
    <row r="4302" spans="1:17" x14ac:dyDescent="0.3">
      <c r="A4302" t="s">
        <v>4729</v>
      </c>
      <c r="B4302" t="str">
        <f>"300502"</f>
        <v>300502</v>
      </c>
      <c r="C4302" t="s">
        <v>8948</v>
      </c>
      <c r="D4302" t="s">
        <v>1019</v>
      </c>
      <c r="F4302">
        <v>108424232</v>
      </c>
      <c r="G4302">
        <v>85082820</v>
      </c>
      <c r="H4302">
        <v>81343198</v>
      </c>
      <c r="I4302">
        <v>52664670</v>
      </c>
      <c r="P4302">
        <v>636</v>
      </c>
      <c r="Q4302" t="s">
        <v>8949</v>
      </c>
    </row>
    <row r="4303" spans="1:17" x14ac:dyDescent="0.3">
      <c r="A4303" t="s">
        <v>4729</v>
      </c>
      <c r="B4303" t="str">
        <f>"300503"</f>
        <v>300503</v>
      </c>
      <c r="C4303" t="s">
        <v>8950</v>
      </c>
      <c r="D4303" t="s">
        <v>560</v>
      </c>
      <c r="F4303">
        <v>83778755</v>
      </c>
      <c r="G4303">
        <v>62658762</v>
      </c>
      <c r="H4303">
        <v>51086727</v>
      </c>
      <c r="I4303">
        <v>56913539</v>
      </c>
      <c r="P4303">
        <v>136</v>
      </c>
      <c r="Q4303" t="s">
        <v>8951</v>
      </c>
    </row>
    <row r="4304" spans="1:17" x14ac:dyDescent="0.3">
      <c r="A4304" t="s">
        <v>4729</v>
      </c>
      <c r="B4304" t="str">
        <f>"300504"</f>
        <v>300504</v>
      </c>
      <c r="C4304" t="s">
        <v>8952</v>
      </c>
      <c r="D4304" t="s">
        <v>786</v>
      </c>
      <c r="F4304">
        <v>132931461</v>
      </c>
      <c r="G4304">
        <v>116839301</v>
      </c>
      <c r="H4304">
        <v>119018096</v>
      </c>
      <c r="I4304">
        <v>89587585</v>
      </c>
      <c r="P4304">
        <v>176</v>
      </c>
      <c r="Q4304" t="s">
        <v>8953</v>
      </c>
    </row>
    <row r="4305" spans="1:17" x14ac:dyDescent="0.3">
      <c r="A4305" t="s">
        <v>4729</v>
      </c>
      <c r="B4305" t="str">
        <f>"300505"</f>
        <v>300505</v>
      </c>
      <c r="C4305" t="s">
        <v>8954</v>
      </c>
      <c r="D4305" t="s">
        <v>183</v>
      </c>
      <c r="F4305">
        <v>3249866</v>
      </c>
      <c r="G4305">
        <v>2535471</v>
      </c>
      <c r="H4305">
        <v>3346106</v>
      </c>
      <c r="I4305">
        <v>2395283</v>
      </c>
      <c r="P4305">
        <v>97</v>
      </c>
      <c r="Q4305" t="s">
        <v>8955</v>
      </c>
    </row>
    <row r="4306" spans="1:17" x14ac:dyDescent="0.3">
      <c r="A4306" t="s">
        <v>4729</v>
      </c>
      <c r="B4306" t="str">
        <f>"300506"</f>
        <v>300506</v>
      </c>
      <c r="C4306" t="s">
        <v>8956</v>
      </c>
      <c r="D4306" t="s">
        <v>450</v>
      </c>
      <c r="F4306">
        <v>44698020</v>
      </c>
      <c r="G4306">
        <v>47847043</v>
      </c>
      <c r="H4306">
        <v>57076849</v>
      </c>
      <c r="I4306">
        <v>45314399</v>
      </c>
      <c r="P4306">
        <v>294</v>
      </c>
      <c r="Q4306" t="s">
        <v>8957</v>
      </c>
    </row>
    <row r="4307" spans="1:17" x14ac:dyDescent="0.3">
      <c r="A4307" t="s">
        <v>4729</v>
      </c>
      <c r="B4307" t="str">
        <f>"300507"</f>
        <v>300507</v>
      </c>
      <c r="C4307" t="s">
        <v>8958</v>
      </c>
      <c r="D4307" t="s">
        <v>348</v>
      </c>
      <c r="F4307">
        <v>34026540</v>
      </c>
      <c r="G4307">
        <v>32538473</v>
      </c>
      <c r="H4307">
        <v>25503140</v>
      </c>
      <c r="I4307">
        <v>27886573</v>
      </c>
      <c r="P4307">
        <v>137</v>
      </c>
      <c r="Q4307" t="s">
        <v>8959</v>
      </c>
    </row>
    <row r="4308" spans="1:17" x14ac:dyDescent="0.3">
      <c r="A4308" t="s">
        <v>4729</v>
      </c>
      <c r="B4308" t="str">
        <f>"300508"</f>
        <v>300508</v>
      </c>
      <c r="C4308" t="s">
        <v>8960</v>
      </c>
      <c r="D4308" t="s">
        <v>236</v>
      </c>
      <c r="F4308">
        <v>95906523</v>
      </c>
      <c r="G4308">
        <v>62892092</v>
      </c>
      <c r="H4308">
        <v>69608784</v>
      </c>
      <c r="I4308">
        <v>65852708</v>
      </c>
      <c r="P4308">
        <v>130</v>
      </c>
      <c r="Q4308" t="s">
        <v>8961</v>
      </c>
    </row>
    <row r="4309" spans="1:17" x14ac:dyDescent="0.3">
      <c r="A4309" t="s">
        <v>4729</v>
      </c>
      <c r="B4309" t="str">
        <f>"300509"</f>
        <v>300509</v>
      </c>
      <c r="C4309" t="s">
        <v>8962</v>
      </c>
      <c r="D4309" t="s">
        <v>3415</v>
      </c>
      <c r="F4309">
        <v>43237285</v>
      </c>
      <c r="G4309">
        <v>40155261</v>
      </c>
      <c r="H4309">
        <v>39233189</v>
      </c>
      <c r="I4309">
        <v>31383290</v>
      </c>
      <c r="P4309">
        <v>64</v>
      </c>
      <c r="Q4309" t="s">
        <v>8963</v>
      </c>
    </row>
    <row r="4310" spans="1:17" x14ac:dyDescent="0.3">
      <c r="A4310" t="s">
        <v>4729</v>
      </c>
      <c r="B4310" t="str">
        <f>"300510"</f>
        <v>300510</v>
      </c>
      <c r="C4310" t="s">
        <v>8964</v>
      </c>
      <c r="D4310" t="s">
        <v>610</v>
      </c>
      <c r="F4310">
        <v>65392553</v>
      </c>
      <c r="G4310">
        <v>68816305</v>
      </c>
      <c r="H4310">
        <v>78008632</v>
      </c>
      <c r="I4310">
        <v>58305876</v>
      </c>
      <c r="P4310">
        <v>115</v>
      </c>
      <c r="Q4310" t="s">
        <v>8965</v>
      </c>
    </row>
    <row r="4311" spans="1:17" x14ac:dyDescent="0.3">
      <c r="A4311" t="s">
        <v>4729</v>
      </c>
      <c r="B4311" t="str">
        <f>"300511"</f>
        <v>300511</v>
      </c>
      <c r="C4311" t="s">
        <v>8966</v>
      </c>
      <c r="D4311" t="s">
        <v>7331</v>
      </c>
      <c r="F4311">
        <v>13563006</v>
      </c>
      <c r="G4311">
        <v>11850052</v>
      </c>
      <c r="H4311">
        <v>10934186</v>
      </c>
      <c r="I4311">
        <v>11431640</v>
      </c>
      <c r="P4311">
        <v>301</v>
      </c>
      <c r="Q4311" t="s">
        <v>8967</v>
      </c>
    </row>
    <row r="4312" spans="1:17" x14ac:dyDescent="0.3">
      <c r="A4312" t="s">
        <v>4729</v>
      </c>
      <c r="B4312" t="str">
        <f>"300512"</f>
        <v>300512</v>
      </c>
      <c r="C4312" t="s">
        <v>8968</v>
      </c>
      <c r="D4312" t="s">
        <v>3415</v>
      </c>
      <c r="F4312">
        <v>51109083</v>
      </c>
      <c r="G4312">
        <v>39432283</v>
      </c>
      <c r="H4312">
        <v>48941250</v>
      </c>
      <c r="I4312">
        <v>34051795</v>
      </c>
      <c r="P4312">
        <v>161</v>
      </c>
      <c r="Q4312" t="s">
        <v>8969</v>
      </c>
    </row>
    <row r="4313" spans="1:17" x14ac:dyDescent="0.3">
      <c r="A4313" t="s">
        <v>4729</v>
      </c>
      <c r="B4313" t="str">
        <f>"300513"</f>
        <v>300513</v>
      </c>
      <c r="C4313" t="s">
        <v>8970</v>
      </c>
      <c r="D4313" t="s">
        <v>654</v>
      </c>
      <c r="F4313">
        <v>54044474</v>
      </c>
      <c r="G4313">
        <v>62285369</v>
      </c>
      <c r="H4313">
        <v>53243534</v>
      </c>
      <c r="I4313">
        <v>52713635</v>
      </c>
      <c r="P4313">
        <v>160</v>
      </c>
      <c r="Q4313" t="s">
        <v>8971</v>
      </c>
    </row>
    <row r="4314" spans="1:17" x14ac:dyDescent="0.3">
      <c r="A4314" t="s">
        <v>4729</v>
      </c>
      <c r="B4314" t="str">
        <f>"300514"</f>
        <v>300514</v>
      </c>
      <c r="C4314" t="s">
        <v>8972</v>
      </c>
      <c r="D4314" t="s">
        <v>2180</v>
      </c>
      <c r="F4314">
        <v>75144542</v>
      </c>
      <c r="G4314">
        <v>53049975</v>
      </c>
      <c r="H4314">
        <v>61104030</v>
      </c>
      <c r="I4314">
        <v>75620652</v>
      </c>
      <c r="P4314">
        <v>148</v>
      </c>
      <c r="Q4314" t="s">
        <v>8973</v>
      </c>
    </row>
    <row r="4315" spans="1:17" x14ac:dyDescent="0.3">
      <c r="A4315" t="s">
        <v>4729</v>
      </c>
      <c r="B4315" t="str">
        <f>"300515"</f>
        <v>300515</v>
      </c>
      <c r="C4315" t="s">
        <v>8974</v>
      </c>
      <c r="D4315" t="s">
        <v>2566</v>
      </c>
      <c r="F4315">
        <v>41753143</v>
      </c>
      <c r="G4315">
        <v>32076836</v>
      </c>
      <c r="H4315">
        <v>33667154</v>
      </c>
      <c r="I4315">
        <v>29402885</v>
      </c>
      <c r="P4315">
        <v>80</v>
      </c>
      <c r="Q4315" t="s">
        <v>8975</v>
      </c>
    </row>
    <row r="4316" spans="1:17" x14ac:dyDescent="0.3">
      <c r="A4316" t="s">
        <v>4729</v>
      </c>
      <c r="B4316" t="str">
        <f>"300516"</f>
        <v>300516</v>
      </c>
      <c r="C4316" t="s">
        <v>8976</v>
      </c>
      <c r="D4316" t="s">
        <v>651</v>
      </c>
      <c r="F4316">
        <v>77164337</v>
      </c>
      <c r="G4316">
        <v>73124971</v>
      </c>
      <c r="H4316">
        <v>60322212</v>
      </c>
      <c r="I4316">
        <v>70266152</v>
      </c>
      <c r="P4316">
        <v>118</v>
      </c>
      <c r="Q4316" t="s">
        <v>8977</v>
      </c>
    </row>
    <row r="4317" spans="1:17" x14ac:dyDescent="0.3">
      <c r="A4317" t="s">
        <v>4729</v>
      </c>
      <c r="B4317" t="str">
        <f>"300517"</f>
        <v>300517</v>
      </c>
      <c r="C4317" t="s">
        <v>8978</v>
      </c>
      <c r="D4317" t="s">
        <v>978</v>
      </c>
      <c r="F4317">
        <v>39851563</v>
      </c>
      <c r="G4317">
        <v>29936496</v>
      </c>
      <c r="H4317">
        <v>23392969</v>
      </c>
      <c r="I4317">
        <v>18830045</v>
      </c>
      <c r="P4317">
        <v>76</v>
      </c>
      <c r="Q4317" t="s">
        <v>8979</v>
      </c>
    </row>
    <row r="4318" spans="1:17" x14ac:dyDescent="0.3">
      <c r="A4318" t="s">
        <v>4729</v>
      </c>
      <c r="B4318" t="str">
        <f>"300518"</f>
        <v>300518</v>
      </c>
      <c r="C4318" t="s">
        <v>8980</v>
      </c>
      <c r="D4318" t="s">
        <v>517</v>
      </c>
      <c r="F4318">
        <v>18639578</v>
      </c>
      <c r="G4318">
        <v>16011519</v>
      </c>
      <c r="H4318">
        <v>23278410</v>
      </c>
      <c r="I4318">
        <v>34636527</v>
      </c>
      <c r="P4318">
        <v>91</v>
      </c>
      <c r="Q4318" t="s">
        <v>8981</v>
      </c>
    </row>
    <row r="4319" spans="1:17" x14ac:dyDescent="0.3">
      <c r="A4319" t="s">
        <v>4729</v>
      </c>
      <c r="B4319" t="str">
        <f>"300519"</f>
        <v>300519</v>
      </c>
      <c r="C4319" t="s">
        <v>8982</v>
      </c>
      <c r="D4319" t="s">
        <v>188</v>
      </c>
      <c r="F4319">
        <v>13519576</v>
      </c>
      <c r="G4319">
        <v>12010113</v>
      </c>
      <c r="H4319">
        <v>15896840</v>
      </c>
      <c r="I4319">
        <v>17774016</v>
      </c>
      <c r="P4319">
        <v>251</v>
      </c>
      <c r="Q4319" t="s">
        <v>8983</v>
      </c>
    </row>
    <row r="4320" spans="1:17" x14ac:dyDescent="0.3">
      <c r="A4320" t="s">
        <v>4729</v>
      </c>
      <c r="B4320" t="str">
        <f>"300520"</f>
        <v>300520</v>
      </c>
      <c r="C4320" t="s">
        <v>8984</v>
      </c>
      <c r="D4320" t="s">
        <v>945</v>
      </c>
      <c r="F4320">
        <v>241960649</v>
      </c>
      <c r="G4320">
        <v>180418799</v>
      </c>
      <c r="H4320">
        <v>179176352</v>
      </c>
      <c r="I4320">
        <v>134627977</v>
      </c>
      <c r="P4320">
        <v>255</v>
      </c>
      <c r="Q4320" t="s">
        <v>8985</v>
      </c>
    </row>
    <row r="4321" spans="1:17" x14ac:dyDescent="0.3">
      <c r="A4321" t="s">
        <v>4729</v>
      </c>
      <c r="B4321" t="str">
        <f>"300521"</f>
        <v>300521</v>
      </c>
      <c r="C4321" t="s">
        <v>8986</v>
      </c>
      <c r="D4321" t="s">
        <v>3415</v>
      </c>
      <c r="F4321">
        <v>21730503</v>
      </c>
      <c r="G4321">
        <v>23595590</v>
      </c>
      <c r="H4321">
        <v>26494801</v>
      </c>
      <c r="I4321">
        <v>25770479</v>
      </c>
      <c r="P4321">
        <v>57</v>
      </c>
      <c r="Q4321" t="s">
        <v>8987</v>
      </c>
    </row>
    <row r="4322" spans="1:17" x14ac:dyDescent="0.3">
      <c r="A4322" t="s">
        <v>4729</v>
      </c>
      <c r="B4322" t="str">
        <f>"300522"</f>
        <v>300522</v>
      </c>
      <c r="C4322" t="s">
        <v>8988</v>
      </c>
      <c r="D4322" t="s">
        <v>2585</v>
      </c>
      <c r="F4322">
        <v>58976638</v>
      </c>
      <c r="G4322">
        <v>38058738</v>
      </c>
      <c r="H4322">
        <v>27244864</v>
      </c>
      <c r="I4322">
        <v>23333060</v>
      </c>
      <c r="P4322">
        <v>99</v>
      </c>
      <c r="Q4322" t="s">
        <v>8989</v>
      </c>
    </row>
    <row r="4323" spans="1:17" x14ac:dyDescent="0.3">
      <c r="A4323" t="s">
        <v>4729</v>
      </c>
      <c r="B4323" t="str">
        <f>"300523"</f>
        <v>300523</v>
      </c>
      <c r="C4323" t="s">
        <v>8990</v>
      </c>
      <c r="D4323" t="s">
        <v>316</v>
      </c>
      <c r="F4323">
        <v>122096226</v>
      </c>
      <c r="G4323">
        <v>104085217</v>
      </c>
      <c r="H4323">
        <v>126416517</v>
      </c>
      <c r="I4323">
        <v>113291218</v>
      </c>
      <c r="P4323">
        <v>135</v>
      </c>
      <c r="Q4323" t="s">
        <v>8991</v>
      </c>
    </row>
    <row r="4324" spans="1:17" x14ac:dyDescent="0.3">
      <c r="A4324" t="s">
        <v>4729</v>
      </c>
      <c r="B4324" t="str">
        <f>"300525"</f>
        <v>300525</v>
      </c>
      <c r="C4324" t="s">
        <v>8992</v>
      </c>
      <c r="D4324" t="s">
        <v>945</v>
      </c>
      <c r="F4324">
        <v>241068582</v>
      </c>
      <c r="G4324">
        <v>167084103</v>
      </c>
      <c r="H4324">
        <v>132007019</v>
      </c>
      <c r="I4324">
        <v>86562243</v>
      </c>
      <c r="P4324">
        <v>241</v>
      </c>
      <c r="Q4324" t="s">
        <v>8993</v>
      </c>
    </row>
    <row r="4325" spans="1:17" x14ac:dyDescent="0.3">
      <c r="A4325" t="s">
        <v>4729</v>
      </c>
      <c r="B4325" t="str">
        <f>"300526"</f>
        <v>300526</v>
      </c>
      <c r="C4325" t="s">
        <v>8994</v>
      </c>
      <c r="D4325" t="s">
        <v>330</v>
      </c>
      <c r="F4325">
        <v>1325388</v>
      </c>
      <c r="G4325">
        <v>4306538</v>
      </c>
      <c r="H4325">
        <v>29942681</v>
      </c>
      <c r="I4325">
        <v>21057410</v>
      </c>
      <c r="P4325">
        <v>104</v>
      </c>
      <c r="Q4325" t="s">
        <v>8995</v>
      </c>
    </row>
    <row r="4326" spans="1:17" x14ac:dyDescent="0.3">
      <c r="A4326" t="s">
        <v>4729</v>
      </c>
      <c r="B4326" t="str">
        <f>"300527"</f>
        <v>300527</v>
      </c>
      <c r="C4326" t="s">
        <v>8996</v>
      </c>
      <c r="D4326" t="s">
        <v>428</v>
      </c>
      <c r="F4326">
        <v>109717196</v>
      </c>
      <c r="G4326">
        <v>107746248</v>
      </c>
      <c r="H4326">
        <v>102689084</v>
      </c>
      <c r="I4326">
        <v>86034504</v>
      </c>
      <c r="J4326">
        <v>74326071</v>
      </c>
      <c r="P4326">
        <v>144</v>
      </c>
      <c r="Q4326" t="s">
        <v>8997</v>
      </c>
    </row>
    <row r="4327" spans="1:17" x14ac:dyDescent="0.3">
      <c r="A4327" t="s">
        <v>4729</v>
      </c>
      <c r="B4327" t="str">
        <f>"300528"</f>
        <v>300528</v>
      </c>
      <c r="C4327" t="s">
        <v>8998</v>
      </c>
      <c r="D4327" t="s">
        <v>2573</v>
      </c>
      <c r="F4327">
        <v>0</v>
      </c>
      <c r="G4327">
        <v>0</v>
      </c>
      <c r="H4327">
        <v>0</v>
      </c>
      <c r="I4327">
        <v>0</v>
      </c>
      <c r="P4327">
        <v>81</v>
      </c>
      <c r="Q4327" t="s">
        <v>8999</v>
      </c>
    </row>
    <row r="4328" spans="1:17" x14ac:dyDescent="0.3">
      <c r="A4328" t="s">
        <v>4729</v>
      </c>
      <c r="B4328" t="str">
        <f>"300529"</f>
        <v>300529</v>
      </c>
      <c r="C4328" t="s">
        <v>9000</v>
      </c>
      <c r="D4328" t="s">
        <v>1077</v>
      </c>
      <c r="F4328">
        <v>173771395</v>
      </c>
      <c r="G4328">
        <v>80759295</v>
      </c>
      <c r="H4328">
        <v>68451643</v>
      </c>
      <c r="I4328">
        <v>46137850</v>
      </c>
      <c r="P4328">
        <v>5943</v>
      </c>
      <c r="Q4328" t="s">
        <v>9001</v>
      </c>
    </row>
    <row r="4329" spans="1:17" x14ac:dyDescent="0.3">
      <c r="A4329" t="s">
        <v>4729</v>
      </c>
      <c r="B4329" t="str">
        <f>"300530"</f>
        <v>300530</v>
      </c>
      <c r="C4329" t="s">
        <v>9002</v>
      </c>
      <c r="D4329" t="s">
        <v>386</v>
      </c>
      <c r="F4329">
        <v>93904362</v>
      </c>
      <c r="G4329">
        <v>43089237</v>
      </c>
      <c r="H4329">
        <v>8964462</v>
      </c>
      <c r="I4329">
        <v>10499967</v>
      </c>
      <c r="P4329">
        <v>64</v>
      </c>
      <c r="Q4329" t="s">
        <v>9003</v>
      </c>
    </row>
    <row r="4330" spans="1:17" x14ac:dyDescent="0.3">
      <c r="A4330" t="s">
        <v>4729</v>
      </c>
      <c r="B4330" t="str">
        <f>"300531"</f>
        <v>300531</v>
      </c>
      <c r="C4330" t="s">
        <v>9004</v>
      </c>
      <c r="D4330" t="s">
        <v>236</v>
      </c>
      <c r="F4330">
        <v>100191001</v>
      </c>
      <c r="G4330">
        <v>100806435</v>
      </c>
      <c r="H4330">
        <v>74004867</v>
      </c>
      <c r="I4330">
        <v>72231425</v>
      </c>
      <c r="P4330">
        <v>173</v>
      </c>
      <c r="Q4330" t="s">
        <v>9005</v>
      </c>
    </row>
    <row r="4331" spans="1:17" x14ac:dyDescent="0.3">
      <c r="A4331" t="s">
        <v>4729</v>
      </c>
      <c r="B4331" t="str">
        <f>"300532"</f>
        <v>300532</v>
      </c>
      <c r="C4331" t="s">
        <v>9006</v>
      </c>
      <c r="D4331" t="s">
        <v>316</v>
      </c>
      <c r="F4331">
        <v>91175864</v>
      </c>
      <c r="G4331">
        <v>59920270</v>
      </c>
      <c r="H4331">
        <v>52943503</v>
      </c>
      <c r="I4331">
        <v>42594347</v>
      </c>
      <c r="P4331">
        <v>220</v>
      </c>
      <c r="Q4331" t="s">
        <v>9007</v>
      </c>
    </row>
    <row r="4332" spans="1:17" x14ac:dyDescent="0.3">
      <c r="A4332" t="s">
        <v>4729</v>
      </c>
      <c r="B4332" t="str">
        <f>"300533"</f>
        <v>300533</v>
      </c>
      <c r="C4332" t="s">
        <v>9008</v>
      </c>
      <c r="D4332" t="s">
        <v>517</v>
      </c>
      <c r="F4332">
        <v>191188106</v>
      </c>
      <c r="G4332">
        <v>141209688</v>
      </c>
      <c r="H4332">
        <v>114507127</v>
      </c>
      <c r="I4332">
        <v>98660275</v>
      </c>
      <c r="P4332">
        <v>131</v>
      </c>
      <c r="Q4332" t="s">
        <v>9009</v>
      </c>
    </row>
    <row r="4333" spans="1:17" x14ac:dyDescent="0.3">
      <c r="A4333" t="s">
        <v>4729</v>
      </c>
      <c r="B4333" t="str">
        <f>"300534"</f>
        <v>300534</v>
      </c>
      <c r="C4333" t="s">
        <v>9010</v>
      </c>
      <c r="D4333" t="s">
        <v>188</v>
      </c>
      <c r="F4333">
        <v>6696661</v>
      </c>
      <c r="G4333">
        <v>5974494</v>
      </c>
      <c r="H4333">
        <v>7411569</v>
      </c>
      <c r="I4333">
        <v>6731895</v>
      </c>
      <c r="P4333">
        <v>109</v>
      </c>
      <c r="Q4333" t="s">
        <v>9011</v>
      </c>
    </row>
    <row r="4334" spans="1:17" x14ac:dyDescent="0.3">
      <c r="A4334" t="s">
        <v>4729</v>
      </c>
      <c r="B4334" t="str">
        <f>"300535"</f>
        <v>300535</v>
      </c>
      <c r="C4334" t="s">
        <v>9012</v>
      </c>
      <c r="D4334" t="s">
        <v>386</v>
      </c>
      <c r="F4334">
        <v>42244188</v>
      </c>
      <c r="G4334">
        <v>37471463</v>
      </c>
      <c r="H4334">
        <v>39034257</v>
      </c>
      <c r="I4334">
        <v>24299959</v>
      </c>
      <c r="P4334">
        <v>73</v>
      </c>
      <c r="Q4334" t="s">
        <v>9013</v>
      </c>
    </row>
    <row r="4335" spans="1:17" x14ac:dyDescent="0.3">
      <c r="A4335" t="s">
        <v>4729</v>
      </c>
      <c r="B4335" t="str">
        <f>"300536"</f>
        <v>300536</v>
      </c>
      <c r="C4335" t="s">
        <v>9014</v>
      </c>
      <c r="D4335" t="s">
        <v>2417</v>
      </c>
      <c r="F4335">
        <v>3374349</v>
      </c>
      <c r="G4335">
        <v>8637091</v>
      </c>
      <c r="H4335">
        <v>15651175</v>
      </c>
      <c r="I4335">
        <v>15261914</v>
      </c>
      <c r="P4335">
        <v>63</v>
      </c>
      <c r="Q4335" t="s">
        <v>9015</v>
      </c>
    </row>
    <row r="4336" spans="1:17" x14ac:dyDescent="0.3">
      <c r="A4336" t="s">
        <v>4729</v>
      </c>
      <c r="B4336" t="str">
        <f>"300537"</f>
        <v>300537</v>
      </c>
      <c r="C4336" t="s">
        <v>9016</v>
      </c>
      <c r="D4336" t="s">
        <v>2408</v>
      </c>
      <c r="F4336">
        <v>46103764</v>
      </c>
      <c r="G4336">
        <v>47818604</v>
      </c>
      <c r="H4336">
        <v>39645896</v>
      </c>
      <c r="I4336">
        <v>30368265</v>
      </c>
      <c r="P4336">
        <v>225</v>
      </c>
      <c r="Q4336" t="s">
        <v>9017</v>
      </c>
    </row>
    <row r="4337" spans="1:17" x14ac:dyDescent="0.3">
      <c r="A4337" t="s">
        <v>4729</v>
      </c>
      <c r="B4337" t="str">
        <f>"300538"</f>
        <v>300538</v>
      </c>
      <c r="C4337" t="s">
        <v>9018</v>
      </c>
      <c r="D4337" t="s">
        <v>341</v>
      </c>
      <c r="F4337">
        <v>15079859</v>
      </c>
      <c r="G4337">
        <v>11292401</v>
      </c>
      <c r="H4337">
        <v>12037485</v>
      </c>
      <c r="I4337">
        <v>7415808</v>
      </c>
      <c r="P4337">
        <v>186</v>
      </c>
      <c r="Q4337" t="s">
        <v>9019</v>
      </c>
    </row>
    <row r="4338" spans="1:17" x14ac:dyDescent="0.3">
      <c r="A4338" t="s">
        <v>4729</v>
      </c>
      <c r="B4338" t="str">
        <f>"300539"</f>
        <v>300539</v>
      </c>
      <c r="C4338" t="s">
        <v>9020</v>
      </c>
      <c r="D4338" t="s">
        <v>1192</v>
      </c>
      <c r="F4338">
        <v>26807126</v>
      </c>
      <c r="G4338">
        <v>22629873</v>
      </c>
      <c r="H4338">
        <v>26301200</v>
      </c>
      <c r="I4338">
        <v>24473867</v>
      </c>
      <c r="P4338">
        <v>84</v>
      </c>
      <c r="Q4338" t="s">
        <v>9021</v>
      </c>
    </row>
    <row r="4339" spans="1:17" x14ac:dyDescent="0.3">
      <c r="A4339" t="s">
        <v>4729</v>
      </c>
      <c r="B4339" t="str">
        <f>"300540"</f>
        <v>300540</v>
      </c>
      <c r="C4339" t="s">
        <v>9022</v>
      </c>
      <c r="D4339" t="s">
        <v>741</v>
      </c>
      <c r="F4339">
        <v>21791792</v>
      </c>
      <c r="G4339">
        <v>18064487</v>
      </c>
      <c r="H4339">
        <v>17476648</v>
      </c>
      <c r="I4339">
        <v>16466027</v>
      </c>
      <c r="P4339">
        <v>65</v>
      </c>
      <c r="Q4339" t="s">
        <v>9023</v>
      </c>
    </row>
    <row r="4340" spans="1:17" x14ac:dyDescent="0.3">
      <c r="A4340" t="s">
        <v>4729</v>
      </c>
      <c r="B4340" t="str">
        <f>"300541"</f>
        <v>300541</v>
      </c>
      <c r="C4340" t="s">
        <v>9024</v>
      </c>
      <c r="D4340" t="s">
        <v>316</v>
      </c>
      <c r="F4340">
        <v>85745590</v>
      </c>
      <c r="G4340">
        <v>64781040</v>
      </c>
      <c r="H4340">
        <v>56501879</v>
      </c>
      <c r="I4340">
        <v>42983089</v>
      </c>
      <c r="P4340">
        <v>177</v>
      </c>
      <c r="Q4340" t="s">
        <v>9025</v>
      </c>
    </row>
    <row r="4341" spans="1:17" x14ac:dyDescent="0.3">
      <c r="A4341" t="s">
        <v>4729</v>
      </c>
      <c r="B4341" t="str">
        <f>"300542"</f>
        <v>300542</v>
      </c>
      <c r="C4341" t="s">
        <v>9026</v>
      </c>
      <c r="D4341" t="s">
        <v>945</v>
      </c>
      <c r="F4341">
        <v>73787174</v>
      </c>
      <c r="G4341">
        <v>77718393</v>
      </c>
      <c r="H4341">
        <v>72331791</v>
      </c>
      <c r="I4341">
        <v>37494344</v>
      </c>
      <c r="P4341">
        <v>143</v>
      </c>
      <c r="Q4341" t="s">
        <v>9027</v>
      </c>
    </row>
    <row r="4342" spans="1:17" x14ac:dyDescent="0.3">
      <c r="A4342" t="s">
        <v>4729</v>
      </c>
      <c r="B4342" t="str">
        <f>"300543"</f>
        <v>300543</v>
      </c>
      <c r="C4342" t="s">
        <v>9028</v>
      </c>
      <c r="D4342" t="s">
        <v>313</v>
      </c>
      <c r="F4342">
        <v>81543320</v>
      </c>
      <c r="G4342">
        <v>55919339</v>
      </c>
      <c r="H4342">
        <v>51389838</v>
      </c>
      <c r="I4342">
        <v>40771149</v>
      </c>
      <c r="P4342">
        <v>152</v>
      </c>
      <c r="Q4342" t="s">
        <v>9029</v>
      </c>
    </row>
    <row r="4343" spans="1:17" x14ac:dyDescent="0.3">
      <c r="A4343" t="s">
        <v>4729</v>
      </c>
      <c r="B4343" t="str">
        <f>"300545"</f>
        <v>300545</v>
      </c>
      <c r="C4343" t="s">
        <v>9030</v>
      </c>
      <c r="D4343" t="s">
        <v>1117</v>
      </c>
      <c r="F4343">
        <v>92225767</v>
      </c>
      <c r="G4343">
        <v>66491202</v>
      </c>
      <c r="H4343">
        <v>66915547</v>
      </c>
      <c r="I4343">
        <v>57023863</v>
      </c>
      <c r="P4343">
        <v>182</v>
      </c>
      <c r="Q4343" t="s">
        <v>9031</v>
      </c>
    </row>
    <row r="4344" spans="1:17" x14ac:dyDescent="0.3">
      <c r="A4344" t="s">
        <v>4729</v>
      </c>
      <c r="B4344" t="str">
        <f>"300546"</f>
        <v>300546</v>
      </c>
      <c r="C4344" t="s">
        <v>9032</v>
      </c>
      <c r="D4344" t="s">
        <v>236</v>
      </c>
      <c r="F4344">
        <v>86230858</v>
      </c>
      <c r="G4344">
        <v>90989433</v>
      </c>
      <c r="H4344">
        <v>100006181</v>
      </c>
      <c r="I4344">
        <v>66574177</v>
      </c>
      <c r="P4344">
        <v>196</v>
      </c>
      <c r="Q4344" t="s">
        <v>9033</v>
      </c>
    </row>
    <row r="4345" spans="1:17" x14ac:dyDescent="0.3">
      <c r="A4345" t="s">
        <v>4729</v>
      </c>
      <c r="B4345" t="str">
        <f>"300547"</f>
        <v>300547</v>
      </c>
      <c r="C4345" t="s">
        <v>9034</v>
      </c>
      <c r="D4345" t="s">
        <v>348</v>
      </c>
      <c r="F4345">
        <v>32172363</v>
      </c>
      <c r="G4345">
        <v>24814355</v>
      </c>
      <c r="H4345">
        <v>22296401</v>
      </c>
      <c r="I4345">
        <v>24326851</v>
      </c>
      <c r="P4345">
        <v>181</v>
      </c>
      <c r="Q4345" t="s">
        <v>9035</v>
      </c>
    </row>
    <row r="4346" spans="1:17" x14ac:dyDescent="0.3">
      <c r="A4346" t="s">
        <v>4729</v>
      </c>
      <c r="B4346" t="str">
        <f>"300548"</f>
        <v>300548</v>
      </c>
      <c r="C4346" t="s">
        <v>9036</v>
      </c>
      <c r="D4346" t="s">
        <v>1019</v>
      </c>
      <c r="F4346">
        <v>62245026</v>
      </c>
      <c r="G4346">
        <v>53927484</v>
      </c>
      <c r="H4346">
        <v>37401408</v>
      </c>
      <c r="I4346">
        <v>19685066</v>
      </c>
      <c r="P4346">
        <v>289</v>
      </c>
      <c r="Q4346" t="s">
        <v>9037</v>
      </c>
    </row>
    <row r="4347" spans="1:17" x14ac:dyDescent="0.3">
      <c r="A4347" t="s">
        <v>4729</v>
      </c>
      <c r="B4347" t="str">
        <f>"300549"</f>
        <v>300549</v>
      </c>
      <c r="C4347" t="s">
        <v>9038</v>
      </c>
      <c r="D4347" t="s">
        <v>741</v>
      </c>
      <c r="F4347">
        <v>19977947</v>
      </c>
      <c r="G4347">
        <v>17560299</v>
      </c>
      <c r="H4347">
        <v>14449079</v>
      </c>
      <c r="I4347">
        <v>16102969</v>
      </c>
      <c r="P4347">
        <v>92</v>
      </c>
      <c r="Q4347" t="s">
        <v>9039</v>
      </c>
    </row>
    <row r="4348" spans="1:17" x14ac:dyDescent="0.3">
      <c r="A4348" t="s">
        <v>4729</v>
      </c>
      <c r="B4348" t="str">
        <f>"300550"</f>
        <v>300550</v>
      </c>
      <c r="C4348" t="s">
        <v>9040</v>
      </c>
      <c r="D4348" t="s">
        <v>945</v>
      </c>
      <c r="F4348">
        <v>53828484</v>
      </c>
      <c r="G4348">
        <v>45718691</v>
      </c>
      <c r="H4348">
        <v>47355554</v>
      </c>
      <c r="I4348">
        <v>44684798</v>
      </c>
      <c r="P4348">
        <v>123</v>
      </c>
      <c r="Q4348" t="s">
        <v>9041</v>
      </c>
    </row>
    <row r="4349" spans="1:17" x14ac:dyDescent="0.3">
      <c r="A4349" t="s">
        <v>4729</v>
      </c>
      <c r="B4349" t="str">
        <f>"300551"</f>
        <v>300551</v>
      </c>
      <c r="C4349" t="s">
        <v>9042</v>
      </c>
      <c r="D4349" t="s">
        <v>236</v>
      </c>
      <c r="F4349">
        <v>38358931</v>
      </c>
      <c r="G4349">
        <v>31490230</v>
      </c>
      <c r="H4349">
        <v>52476753</v>
      </c>
      <c r="I4349">
        <v>35529200</v>
      </c>
      <c r="P4349">
        <v>89</v>
      </c>
      <c r="Q4349" t="s">
        <v>9043</v>
      </c>
    </row>
    <row r="4350" spans="1:17" x14ac:dyDescent="0.3">
      <c r="A4350" t="s">
        <v>4729</v>
      </c>
      <c r="B4350" t="str">
        <f>"300552"</f>
        <v>300552</v>
      </c>
      <c r="C4350" t="s">
        <v>9044</v>
      </c>
      <c r="D4350" t="s">
        <v>236</v>
      </c>
      <c r="F4350">
        <v>234945042</v>
      </c>
      <c r="G4350">
        <v>153526064</v>
      </c>
      <c r="H4350">
        <v>146338013</v>
      </c>
      <c r="I4350">
        <v>85711174</v>
      </c>
      <c r="P4350">
        <v>327</v>
      </c>
      <c r="Q4350" t="s">
        <v>9045</v>
      </c>
    </row>
    <row r="4351" spans="1:17" x14ac:dyDescent="0.3">
      <c r="A4351" t="s">
        <v>4729</v>
      </c>
      <c r="B4351" t="str">
        <f>"300553"</f>
        <v>300553</v>
      </c>
      <c r="C4351" t="s">
        <v>9046</v>
      </c>
      <c r="D4351" t="s">
        <v>2566</v>
      </c>
      <c r="F4351">
        <v>24057450</v>
      </c>
      <c r="G4351">
        <v>27447281</v>
      </c>
      <c r="H4351">
        <v>17953999</v>
      </c>
      <c r="I4351">
        <v>17021155</v>
      </c>
      <c r="P4351">
        <v>72</v>
      </c>
      <c r="Q4351" t="s">
        <v>9047</v>
      </c>
    </row>
    <row r="4352" spans="1:17" x14ac:dyDescent="0.3">
      <c r="A4352" t="s">
        <v>4729</v>
      </c>
      <c r="B4352" t="str">
        <f>"300554"</f>
        <v>300554</v>
      </c>
      <c r="C4352" t="s">
        <v>9048</v>
      </c>
      <c r="D4352" t="s">
        <v>404</v>
      </c>
      <c r="F4352">
        <v>24211998</v>
      </c>
      <c r="G4352">
        <v>17307764</v>
      </c>
      <c r="H4352">
        <v>18623999</v>
      </c>
      <c r="I4352">
        <v>25286494</v>
      </c>
      <c r="P4352">
        <v>123</v>
      </c>
      <c r="Q4352" t="s">
        <v>9049</v>
      </c>
    </row>
    <row r="4353" spans="1:17" x14ac:dyDescent="0.3">
      <c r="A4353" t="s">
        <v>4729</v>
      </c>
      <c r="B4353" t="str">
        <f>"300555"</f>
        <v>300555</v>
      </c>
      <c r="C4353" t="s">
        <v>9050</v>
      </c>
      <c r="D4353" t="s">
        <v>786</v>
      </c>
      <c r="F4353">
        <v>13580779</v>
      </c>
      <c r="G4353">
        <v>14500304</v>
      </c>
      <c r="H4353">
        <v>15157766</v>
      </c>
      <c r="I4353">
        <v>15836575</v>
      </c>
      <c r="P4353">
        <v>72</v>
      </c>
      <c r="Q4353" t="s">
        <v>9051</v>
      </c>
    </row>
    <row r="4354" spans="1:17" x14ac:dyDescent="0.3">
      <c r="A4354" t="s">
        <v>4729</v>
      </c>
      <c r="B4354" t="str">
        <f>"300556"</f>
        <v>300556</v>
      </c>
      <c r="C4354" t="s">
        <v>9052</v>
      </c>
      <c r="D4354" t="s">
        <v>945</v>
      </c>
      <c r="F4354">
        <v>70016259</v>
      </c>
      <c r="G4354">
        <v>51403427</v>
      </c>
      <c r="H4354">
        <v>43084979</v>
      </c>
      <c r="I4354">
        <v>30794719</v>
      </c>
      <c r="P4354">
        <v>112</v>
      </c>
      <c r="Q4354" t="s">
        <v>9053</v>
      </c>
    </row>
    <row r="4355" spans="1:17" x14ac:dyDescent="0.3">
      <c r="A4355" t="s">
        <v>4729</v>
      </c>
      <c r="B4355" t="str">
        <f>"300557"</f>
        <v>300557</v>
      </c>
      <c r="C4355" t="s">
        <v>9054</v>
      </c>
      <c r="D4355" t="s">
        <v>2566</v>
      </c>
      <c r="F4355">
        <v>36614595</v>
      </c>
      <c r="G4355">
        <v>31808137</v>
      </c>
      <c r="H4355">
        <v>27094025</v>
      </c>
      <c r="I4355">
        <v>26142415</v>
      </c>
      <c r="P4355">
        <v>60</v>
      </c>
      <c r="Q4355" t="s">
        <v>9055</v>
      </c>
    </row>
    <row r="4356" spans="1:17" x14ac:dyDescent="0.3">
      <c r="A4356" t="s">
        <v>4729</v>
      </c>
      <c r="B4356" t="str">
        <f>"300558"</f>
        <v>300558</v>
      </c>
      <c r="C4356" t="s">
        <v>9056</v>
      </c>
      <c r="D4356" t="s">
        <v>143</v>
      </c>
      <c r="F4356">
        <v>565947799</v>
      </c>
      <c r="G4356">
        <v>362850005</v>
      </c>
      <c r="H4356">
        <v>326363447</v>
      </c>
      <c r="I4356">
        <v>303695787</v>
      </c>
      <c r="P4356">
        <v>756</v>
      </c>
      <c r="Q4356" t="s">
        <v>9057</v>
      </c>
    </row>
    <row r="4357" spans="1:17" x14ac:dyDescent="0.3">
      <c r="A4357" t="s">
        <v>4729</v>
      </c>
      <c r="B4357" t="str">
        <f>"300559"</f>
        <v>300559</v>
      </c>
      <c r="C4357" t="s">
        <v>9058</v>
      </c>
      <c r="D4357" t="s">
        <v>945</v>
      </c>
      <c r="F4357">
        <v>41671992</v>
      </c>
      <c r="G4357">
        <v>36704222</v>
      </c>
      <c r="H4357">
        <v>35379249</v>
      </c>
      <c r="I4357">
        <v>34279874</v>
      </c>
      <c r="P4357">
        <v>369</v>
      </c>
      <c r="Q4357" t="s">
        <v>9059</v>
      </c>
    </row>
    <row r="4358" spans="1:17" x14ac:dyDescent="0.3">
      <c r="A4358" t="s">
        <v>4729</v>
      </c>
      <c r="B4358" t="str">
        <f>"300560"</f>
        <v>300560</v>
      </c>
      <c r="C4358" t="s">
        <v>9060</v>
      </c>
      <c r="D4358" t="s">
        <v>654</v>
      </c>
      <c r="F4358">
        <v>39874273</v>
      </c>
      <c r="G4358">
        <v>27091813</v>
      </c>
      <c r="H4358">
        <v>29224128</v>
      </c>
      <c r="I4358">
        <v>18109674</v>
      </c>
      <c r="J4358">
        <v>14625372</v>
      </c>
      <c r="P4358">
        <v>192</v>
      </c>
      <c r="Q4358" t="s">
        <v>9061</v>
      </c>
    </row>
    <row r="4359" spans="1:17" x14ac:dyDescent="0.3">
      <c r="A4359" t="s">
        <v>4729</v>
      </c>
      <c r="B4359" t="str">
        <f>"300561"</f>
        <v>300561</v>
      </c>
      <c r="C4359" t="s">
        <v>9062</v>
      </c>
      <c r="D4359" t="s">
        <v>945</v>
      </c>
      <c r="F4359">
        <v>22289515</v>
      </c>
      <c r="G4359">
        <v>25946782</v>
      </c>
      <c r="H4359">
        <v>32347916</v>
      </c>
      <c r="I4359">
        <v>35901446</v>
      </c>
      <c r="P4359">
        <v>114</v>
      </c>
      <c r="Q4359" t="s">
        <v>9063</v>
      </c>
    </row>
    <row r="4360" spans="1:17" x14ac:dyDescent="0.3">
      <c r="A4360" t="s">
        <v>4729</v>
      </c>
      <c r="B4360" t="str">
        <f>"300562"</f>
        <v>300562</v>
      </c>
      <c r="C4360" t="s">
        <v>9064</v>
      </c>
      <c r="D4360" t="s">
        <v>122</v>
      </c>
      <c r="F4360">
        <v>149153210</v>
      </c>
      <c r="G4360">
        <v>96518843</v>
      </c>
      <c r="H4360">
        <v>68673306</v>
      </c>
      <c r="I4360">
        <v>56404153</v>
      </c>
      <c r="P4360">
        <v>155</v>
      </c>
      <c r="Q4360" t="s">
        <v>9065</v>
      </c>
    </row>
    <row r="4361" spans="1:17" x14ac:dyDescent="0.3">
      <c r="A4361" t="s">
        <v>4729</v>
      </c>
      <c r="B4361" t="str">
        <f>"300563"</f>
        <v>300563</v>
      </c>
      <c r="C4361" t="s">
        <v>9066</v>
      </c>
      <c r="D4361" t="s">
        <v>250</v>
      </c>
      <c r="F4361">
        <v>21848554</v>
      </c>
      <c r="G4361">
        <v>23002509</v>
      </c>
      <c r="H4361">
        <v>15147639</v>
      </c>
      <c r="I4361">
        <v>14774239</v>
      </c>
      <c r="P4361">
        <v>144</v>
      </c>
      <c r="Q4361" t="s">
        <v>9067</v>
      </c>
    </row>
    <row r="4362" spans="1:17" x14ac:dyDescent="0.3">
      <c r="A4362" t="s">
        <v>4729</v>
      </c>
      <c r="B4362" t="str">
        <f>"300564"</f>
        <v>300564</v>
      </c>
      <c r="C4362" t="s">
        <v>9068</v>
      </c>
      <c r="D4362" t="s">
        <v>1272</v>
      </c>
      <c r="F4362">
        <v>58775595</v>
      </c>
      <c r="G4362">
        <v>48813088</v>
      </c>
      <c r="H4362">
        <v>40133695</v>
      </c>
      <c r="I4362">
        <v>37186490</v>
      </c>
      <c r="J4362">
        <v>31108811</v>
      </c>
      <c r="K4362">
        <v>30591387</v>
      </c>
      <c r="P4362">
        <v>211</v>
      </c>
      <c r="Q4362" t="s">
        <v>9069</v>
      </c>
    </row>
    <row r="4363" spans="1:17" x14ac:dyDescent="0.3">
      <c r="A4363" t="s">
        <v>4729</v>
      </c>
      <c r="B4363" t="str">
        <f>"300565"</f>
        <v>300565</v>
      </c>
      <c r="C4363" t="s">
        <v>9070</v>
      </c>
      <c r="D4363" t="s">
        <v>1019</v>
      </c>
      <c r="F4363">
        <v>78908560</v>
      </c>
      <c r="G4363">
        <v>59772538</v>
      </c>
      <c r="H4363">
        <v>39686087</v>
      </c>
      <c r="I4363">
        <v>32526039</v>
      </c>
      <c r="P4363">
        <v>113</v>
      </c>
      <c r="Q4363" t="s">
        <v>9071</v>
      </c>
    </row>
    <row r="4364" spans="1:17" x14ac:dyDescent="0.3">
      <c r="A4364" t="s">
        <v>4729</v>
      </c>
      <c r="B4364" t="str">
        <f>"300566"</f>
        <v>300566</v>
      </c>
      <c r="C4364" t="s">
        <v>9072</v>
      </c>
      <c r="D4364" t="s">
        <v>164</v>
      </c>
      <c r="F4364">
        <v>123156933</v>
      </c>
      <c r="G4364">
        <v>104531982</v>
      </c>
      <c r="H4364">
        <v>84542489</v>
      </c>
      <c r="I4364">
        <v>71245453</v>
      </c>
      <c r="P4364">
        <v>197</v>
      </c>
      <c r="Q4364" t="s">
        <v>9073</v>
      </c>
    </row>
    <row r="4365" spans="1:17" x14ac:dyDescent="0.3">
      <c r="A4365" t="s">
        <v>4729</v>
      </c>
      <c r="B4365" t="str">
        <f>"300567"</f>
        <v>300567</v>
      </c>
      <c r="C4365" t="s">
        <v>9074</v>
      </c>
      <c r="D4365" t="s">
        <v>2566</v>
      </c>
      <c r="F4365">
        <v>426458315</v>
      </c>
      <c r="G4365">
        <v>322124297</v>
      </c>
      <c r="H4365">
        <v>265953625</v>
      </c>
      <c r="I4365">
        <v>172261432</v>
      </c>
      <c r="P4365">
        <v>1242</v>
      </c>
      <c r="Q4365" t="s">
        <v>9075</v>
      </c>
    </row>
    <row r="4366" spans="1:17" x14ac:dyDescent="0.3">
      <c r="A4366" t="s">
        <v>4729</v>
      </c>
      <c r="B4366" t="str">
        <f>"300568"</f>
        <v>300568</v>
      </c>
      <c r="C4366" t="s">
        <v>9076</v>
      </c>
      <c r="D4366" t="s">
        <v>1790</v>
      </c>
      <c r="F4366">
        <v>111262013</v>
      </c>
      <c r="G4366">
        <v>56667739</v>
      </c>
      <c r="H4366">
        <v>35402180</v>
      </c>
      <c r="I4366">
        <v>38203249</v>
      </c>
      <c r="P4366">
        <v>474</v>
      </c>
      <c r="Q4366" t="s">
        <v>9077</v>
      </c>
    </row>
    <row r="4367" spans="1:17" x14ac:dyDescent="0.3">
      <c r="A4367" t="s">
        <v>4729</v>
      </c>
      <c r="B4367" t="str">
        <f>"300569"</f>
        <v>300569</v>
      </c>
      <c r="C4367" t="s">
        <v>9078</v>
      </c>
      <c r="D4367" t="s">
        <v>950</v>
      </c>
      <c r="F4367">
        <v>106613473</v>
      </c>
      <c r="G4367">
        <v>92092549</v>
      </c>
      <c r="H4367">
        <v>68400224</v>
      </c>
      <c r="I4367">
        <v>38396536</v>
      </c>
      <c r="P4367">
        <v>201</v>
      </c>
      <c r="Q4367" t="s">
        <v>9079</v>
      </c>
    </row>
    <row r="4368" spans="1:17" x14ac:dyDescent="0.3">
      <c r="A4368" t="s">
        <v>4729</v>
      </c>
      <c r="B4368" t="str">
        <f>"300570"</f>
        <v>300570</v>
      </c>
      <c r="C4368" t="s">
        <v>9080</v>
      </c>
      <c r="D4368" t="s">
        <v>1019</v>
      </c>
      <c r="F4368">
        <v>36456526</v>
      </c>
      <c r="G4368">
        <v>34703612</v>
      </c>
      <c r="H4368">
        <v>37461413</v>
      </c>
      <c r="I4368">
        <v>35937415</v>
      </c>
      <c r="P4368">
        <v>229</v>
      </c>
      <c r="Q4368" t="s">
        <v>9081</v>
      </c>
    </row>
    <row r="4369" spans="1:17" x14ac:dyDescent="0.3">
      <c r="A4369" t="s">
        <v>4729</v>
      </c>
      <c r="B4369" t="str">
        <f>"300571"</f>
        <v>300571</v>
      </c>
      <c r="C4369" t="s">
        <v>9082</v>
      </c>
      <c r="D4369" t="s">
        <v>5670</v>
      </c>
      <c r="F4369">
        <v>52308574</v>
      </c>
      <c r="G4369">
        <v>46679159</v>
      </c>
      <c r="H4369">
        <v>57716055</v>
      </c>
      <c r="I4369">
        <v>34962647</v>
      </c>
      <c r="P4369">
        <v>2111</v>
      </c>
      <c r="Q4369" t="s">
        <v>9083</v>
      </c>
    </row>
    <row r="4370" spans="1:17" x14ac:dyDescent="0.3">
      <c r="A4370" t="s">
        <v>4729</v>
      </c>
      <c r="B4370" t="str">
        <f>"300572"</f>
        <v>300572</v>
      </c>
      <c r="C4370" t="s">
        <v>9084</v>
      </c>
      <c r="D4370" t="s">
        <v>2510</v>
      </c>
      <c r="F4370">
        <v>36695091</v>
      </c>
      <c r="G4370">
        <v>35829587</v>
      </c>
      <c r="H4370">
        <v>52746722</v>
      </c>
      <c r="I4370">
        <v>28693210</v>
      </c>
      <c r="P4370">
        <v>466</v>
      </c>
      <c r="Q4370" t="s">
        <v>9085</v>
      </c>
    </row>
    <row r="4371" spans="1:17" x14ac:dyDescent="0.3">
      <c r="A4371" t="s">
        <v>4729</v>
      </c>
      <c r="B4371" t="str">
        <f>"300573"</f>
        <v>300573</v>
      </c>
      <c r="C4371" t="s">
        <v>9086</v>
      </c>
      <c r="D4371" t="s">
        <v>143</v>
      </c>
      <c r="F4371">
        <v>88446594</v>
      </c>
      <c r="G4371">
        <v>63193483</v>
      </c>
      <c r="H4371">
        <v>53966758</v>
      </c>
      <c r="I4371">
        <v>40967958</v>
      </c>
      <c r="P4371">
        <v>315</v>
      </c>
      <c r="Q4371" t="s">
        <v>9087</v>
      </c>
    </row>
    <row r="4372" spans="1:17" x14ac:dyDescent="0.3">
      <c r="A4372" t="s">
        <v>4729</v>
      </c>
      <c r="B4372" t="str">
        <f>"300575"</f>
        <v>300575</v>
      </c>
      <c r="C4372" t="s">
        <v>9088</v>
      </c>
      <c r="D4372" t="s">
        <v>853</v>
      </c>
      <c r="F4372">
        <v>57369708</v>
      </c>
      <c r="G4372">
        <v>59304104</v>
      </c>
      <c r="H4372">
        <v>44192149</v>
      </c>
      <c r="I4372">
        <v>34710653</v>
      </c>
      <c r="P4372">
        <v>187</v>
      </c>
      <c r="Q4372" t="s">
        <v>9089</v>
      </c>
    </row>
    <row r="4373" spans="1:17" x14ac:dyDescent="0.3">
      <c r="A4373" t="s">
        <v>4729</v>
      </c>
      <c r="B4373" t="str">
        <f>"300576"</f>
        <v>300576</v>
      </c>
      <c r="C4373" t="s">
        <v>9090</v>
      </c>
      <c r="D4373" t="s">
        <v>2408</v>
      </c>
      <c r="F4373">
        <v>41166565</v>
      </c>
      <c r="G4373">
        <v>25261342</v>
      </c>
      <c r="H4373">
        <v>23522685</v>
      </c>
      <c r="I4373">
        <v>21582171</v>
      </c>
      <c r="P4373">
        <v>189</v>
      </c>
      <c r="Q4373" t="s">
        <v>9091</v>
      </c>
    </row>
    <row r="4374" spans="1:17" x14ac:dyDescent="0.3">
      <c r="A4374" t="s">
        <v>4729</v>
      </c>
      <c r="B4374" t="str">
        <f>"300577"</f>
        <v>300577</v>
      </c>
      <c r="C4374" t="s">
        <v>9092</v>
      </c>
      <c r="D4374" t="s">
        <v>330</v>
      </c>
      <c r="F4374">
        <v>63000563</v>
      </c>
      <c r="G4374">
        <v>72684448</v>
      </c>
      <c r="H4374">
        <v>78196384</v>
      </c>
      <c r="I4374">
        <v>52181301</v>
      </c>
      <c r="P4374">
        <v>486</v>
      </c>
      <c r="Q4374" t="s">
        <v>9093</v>
      </c>
    </row>
    <row r="4375" spans="1:17" x14ac:dyDescent="0.3">
      <c r="A4375" t="s">
        <v>4729</v>
      </c>
      <c r="B4375" t="str">
        <f>"300578"</f>
        <v>300578</v>
      </c>
      <c r="C4375" t="s">
        <v>9094</v>
      </c>
      <c r="D4375" t="s">
        <v>5670</v>
      </c>
      <c r="F4375">
        <v>73114736</v>
      </c>
      <c r="G4375">
        <v>69792985</v>
      </c>
      <c r="H4375">
        <v>33800263</v>
      </c>
      <c r="I4375">
        <v>14471036</v>
      </c>
      <c r="P4375">
        <v>305</v>
      </c>
      <c r="Q4375" t="s">
        <v>9095</v>
      </c>
    </row>
    <row r="4376" spans="1:17" x14ac:dyDescent="0.3">
      <c r="A4376" t="s">
        <v>4729</v>
      </c>
      <c r="B4376" t="str">
        <f>"300579"</f>
        <v>300579</v>
      </c>
      <c r="C4376" t="s">
        <v>9096</v>
      </c>
      <c r="D4376" t="s">
        <v>945</v>
      </c>
      <c r="F4376">
        <v>184546497</v>
      </c>
      <c r="G4376">
        <v>161302328</v>
      </c>
      <c r="H4376">
        <v>142015038</v>
      </c>
      <c r="I4376">
        <v>83958490</v>
      </c>
      <c r="P4376">
        <v>335</v>
      </c>
      <c r="Q4376" t="s">
        <v>9097</v>
      </c>
    </row>
    <row r="4377" spans="1:17" x14ac:dyDescent="0.3">
      <c r="A4377" t="s">
        <v>4729</v>
      </c>
      <c r="B4377" t="str">
        <f>"300580"</f>
        <v>300580</v>
      </c>
      <c r="C4377" t="s">
        <v>9098</v>
      </c>
      <c r="D4377" t="s">
        <v>348</v>
      </c>
      <c r="F4377">
        <v>46249736</v>
      </c>
      <c r="G4377">
        <v>46160427</v>
      </c>
      <c r="H4377">
        <v>39757501</v>
      </c>
      <c r="I4377">
        <v>33552479</v>
      </c>
      <c r="P4377">
        <v>148</v>
      </c>
      <c r="Q4377" t="s">
        <v>9099</v>
      </c>
    </row>
    <row r="4378" spans="1:17" x14ac:dyDescent="0.3">
      <c r="A4378" t="s">
        <v>4729</v>
      </c>
      <c r="B4378" t="str">
        <f>"300581"</f>
        <v>300581</v>
      </c>
      <c r="C4378" t="s">
        <v>9100</v>
      </c>
      <c r="D4378" t="s">
        <v>98</v>
      </c>
      <c r="F4378">
        <v>26002173</v>
      </c>
      <c r="G4378">
        <v>25783003</v>
      </c>
      <c r="H4378">
        <v>26932215</v>
      </c>
      <c r="I4378">
        <v>4278419</v>
      </c>
      <c r="P4378">
        <v>151</v>
      </c>
      <c r="Q4378" t="s">
        <v>9101</v>
      </c>
    </row>
    <row r="4379" spans="1:17" x14ac:dyDescent="0.3">
      <c r="A4379" t="s">
        <v>4729</v>
      </c>
      <c r="B4379" t="str">
        <f>"300582"</f>
        <v>300582</v>
      </c>
      <c r="C4379" t="s">
        <v>9102</v>
      </c>
      <c r="D4379" t="s">
        <v>803</v>
      </c>
      <c r="F4379">
        <v>77997665</v>
      </c>
      <c r="G4379">
        <v>67679421</v>
      </c>
      <c r="H4379">
        <v>71425156</v>
      </c>
      <c r="I4379">
        <v>64545873</v>
      </c>
      <c r="P4379">
        <v>152</v>
      </c>
      <c r="Q4379" t="s">
        <v>9103</v>
      </c>
    </row>
    <row r="4380" spans="1:17" x14ac:dyDescent="0.3">
      <c r="A4380" t="s">
        <v>4729</v>
      </c>
      <c r="B4380" t="str">
        <f>"300583"</f>
        <v>300583</v>
      </c>
      <c r="C4380" t="s">
        <v>9104</v>
      </c>
      <c r="D4380" t="s">
        <v>496</v>
      </c>
      <c r="F4380">
        <v>49730559</v>
      </c>
      <c r="G4380">
        <v>45007851</v>
      </c>
      <c r="H4380">
        <v>55785893</v>
      </c>
      <c r="I4380">
        <v>39420833</v>
      </c>
      <c r="P4380">
        <v>76</v>
      </c>
      <c r="Q4380" t="s">
        <v>9105</v>
      </c>
    </row>
    <row r="4381" spans="1:17" x14ac:dyDescent="0.3">
      <c r="A4381" t="s">
        <v>4729</v>
      </c>
      <c r="B4381" t="str">
        <f>"300584"</f>
        <v>300584</v>
      </c>
      <c r="C4381" t="s">
        <v>9106</v>
      </c>
      <c r="D4381" t="s">
        <v>143</v>
      </c>
      <c r="F4381">
        <v>21696953</v>
      </c>
      <c r="G4381">
        <v>31875566</v>
      </c>
      <c r="H4381">
        <v>36097549</v>
      </c>
      <c r="I4381">
        <v>37534107</v>
      </c>
      <c r="P4381">
        <v>195</v>
      </c>
      <c r="Q4381" t="s">
        <v>9107</v>
      </c>
    </row>
    <row r="4382" spans="1:17" x14ac:dyDescent="0.3">
      <c r="A4382" t="s">
        <v>4729</v>
      </c>
      <c r="B4382" t="str">
        <f>"300585"</f>
        <v>300585</v>
      </c>
      <c r="C4382" t="s">
        <v>9108</v>
      </c>
      <c r="D4382" t="s">
        <v>348</v>
      </c>
      <c r="F4382">
        <v>34152294</v>
      </c>
      <c r="G4382">
        <v>36323833</v>
      </c>
      <c r="H4382">
        <v>39162226</v>
      </c>
      <c r="I4382">
        <v>33631619</v>
      </c>
      <c r="P4382">
        <v>92</v>
      </c>
      <c r="Q4382" t="s">
        <v>9109</v>
      </c>
    </row>
    <row r="4383" spans="1:17" x14ac:dyDescent="0.3">
      <c r="A4383" t="s">
        <v>4729</v>
      </c>
      <c r="B4383" t="str">
        <f>"300586"</f>
        <v>300586</v>
      </c>
      <c r="C4383" t="s">
        <v>9110</v>
      </c>
      <c r="D4383" t="s">
        <v>341</v>
      </c>
      <c r="F4383">
        <v>68777407</v>
      </c>
      <c r="G4383">
        <v>50399217</v>
      </c>
      <c r="H4383">
        <v>49959574</v>
      </c>
      <c r="I4383">
        <v>19533819</v>
      </c>
      <c r="P4383">
        <v>132</v>
      </c>
      <c r="Q4383" t="s">
        <v>9111</v>
      </c>
    </row>
    <row r="4384" spans="1:17" x14ac:dyDescent="0.3">
      <c r="A4384" t="s">
        <v>4729</v>
      </c>
      <c r="B4384" t="str">
        <f>"300587"</f>
        <v>300587</v>
      </c>
      <c r="C4384" t="s">
        <v>9112</v>
      </c>
      <c r="D4384" t="s">
        <v>2469</v>
      </c>
      <c r="F4384">
        <v>74816496</v>
      </c>
      <c r="G4384">
        <v>42155542</v>
      </c>
      <c r="H4384">
        <v>30262298</v>
      </c>
      <c r="I4384">
        <v>14272974</v>
      </c>
      <c r="P4384">
        <v>155</v>
      </c>
      <c r="Q4384" t="s">
        <v>9113</v>
      </c>
    </row>
    <row r="4385" spans="1:17" x14ac:dyDescent="0.3">
      <c r="A4385" t="s">
        <v>4729</v>
      </c>
      <c r="B4385" t="str">
        <f>"300588"</f>
        <v>300588</v>
      </c>
      <c r="C4385" t="s">
        <v>9114</v>
      </c>
      <c r="D4385" t="s">
        <v>2980</v>
      </c>
      <c r="F4385">
        <v>13800331</v>
      </c>
      <c r="G4385">
        <v>20406580</v>
      </c>
      <c r="H4385">
        <v>13205327</v>
      </c>
      <c r="I4385">
        <v>39391591</v>
      </c>
      <c r="P4385">
        <v>144</v>
      </c>
      <c r="Q4385" t="s">
        <v>9115</v>
      </c>
    </row>
    <row r="4386" spans="1:17" x14ac:dyDescent="0.3">
      <c r="A4386" t="s">
        <v>4729</v>
      </c>
      <c r="B4386" t="str">
        <f>"300589"</f>
        <v>300589</v>
      </c>
      <c r="C4386" t="s">
        <v>9116</v>
      </c>
      <c r="D4386" t="s">
        <v>167</v>
      </c>
      <c r="F4386">
        <v>40798742</v>
      </c>
      <c r="G4386">
        <v>32397055</v>
      </c>
      <c r="H4386">
        <v>20683517</v>
      </c>
      <c r="I4386">
        <v>12616171</v>
      </c>
      <c r="P4386">
        <v>87</v>
      </c>
      <c r="Q4386" t="s">
        <v>9117</v>
      </c>
    </row>
    <row r="4387" spans="1:17" x14ac:dyDescent="0.3">
      <c r="A4387" t="s">
        <v>4729</v>
      </c>
      <c r="B4387" t="str">
        <f>"300590"</f>
        <v>300590</v>
      </c>
      <c r="C4387" t="s">
        <v>9118</v>
      </c>
      <c r="D4387" t="s">
        <v>786</v>
      </c>
      <c r="F4387">
        <v>96385138</v>
      </c>
      <c r="G4387">
        <v>67003153</v>
      </c>
      <c r="H4387">
        <v>81370589</v>
      </c>
      <c r="I4387">
        <v>67389838</v>
      </c>
      <c r="P4387">
        <v>410</v>
      </c>
      <c r="Q4387" t="s">
        <v>9119</v>
      </c>
    </row>
    <row r="4388" spans="1:17" x14ac:dyDescent="0.3">
      <c r="A4388" t="s">
        <v>4729</v>
      </c>
      <c r="B4388" t="str">
        <f>"300591"</f>
        <v>300591</v>
      </c>
      <c r="C4388" t="s">
        <v>9120</v>
      </c>
      <c r="D4388" t="s">
        <v>330</v>
      </c>
      <c r="F4388">
        <v>31398648</v>
      </c>
      <c r="G4388">
        <v>32738622</v>
      </c>
      <c r="H4388">
        <v>32729606</v>
      </c>
      <c r="I4388">
        <v>19642206</v>
      </c>
      <c r="P4388">
        <v>88</v>
      </c>
      <c r="Q4388" t="s">
        <v>9121</v>
      </c>
    </row>
    <row r="4389" spans="1:17" x14ac:dyDescent="0.3">
      <c r="A4389" t="s">
        <v>4729</v>
      </c>
      <c r="B4389" t="str">
        <f>"300592"</f>
        <v>300592</v>
      </c>
      <c r="C4389" t="s">
        <v>9122</v>
      </c>
      <c r="D4389" t="s">
        <v>450</v>
      </c>
      <c r="F4389">
        <v>28916187</v>
      </c>
      <c r="G4389">
        <v>7108181</v>
      </c>
      <c r="H4389">
        <v>17330115</v>
      </c>
      <c r="I4389">
        <v>17759428</v>
      </c>
      <c r="P4389">
        <v>65</v>
      </c>
      <c r="Q4389" t="s">
        <v>9123</v>
      </c>
    </row>
    <row r="4390" spans="1:17" x14ac:dyDescent="0.3">
      <c r="A4390" t="s">
        <v>4729</v>
      </c>
      <c r="B4390" t="str">
        <f>"300593"</f>
        <v>300593</v>
      </c>
      <c r="C4390" t="s">
        <v>9124</v>
      </c>
      <c r="D4390" t="s">
        <v>880</v>
      </c>
      <c r="F4390">
        <v>200579049</v>
      </c>
      <c r="G4390">
        <v>122913792</v>
      </c>
      <c r="H4390">
        <v>121028829</v>
      </c>
      <c r="I4390">
        <v>82398769</v>
      </c>
      <c r="P4390">
        <v>254</v>
      </c>
      <c r="Q4390" t="s">
        <v>9125</v>
      </c>
    </row>
    <row r="4391" spans="1:17" x14ac:dyDescent="0.3">
      <c r="A4391" t="s">
        <v>4729</v>
      </c>
      <c r="B4391" t="str">
        <f>"300594"</f>
        <v>300594</v>
      </c>
      <c r="C4391" t="s">
        <v>9126</v>
      </c>
      <c r="D4391" t="s">
        <v>1012</v>
      </c>
      <c r="F4391">
        <v>57935635</v>
      </c>
      <c r="G4391">
        <v>46654245</v>
      </c>
      <c r="H4391">
        <v>31536797</v>
      </c>
      <c r="I4391">
        <v>30018535</v>
      </c>
      <c r="J4391">
        <v>28140493</v>
      </c>
      <c r="K4391">
        <v>21045512</v>
      </c>
      <c r="P4391">
        <v>72</v>
      </c>
      <c r="Q4391" t="s">
        <v>9127</v>
      </c>
    </row>
    <row r="4392" spans="1:17" x14ac:dyDescent="0.3">
      <c r="A4392" t="s">
        <v>4729</v>
      </c>
      <c r="B4392" t="str">
        <f>"300595"</f>
        <v>300595</v>
      </c>
      <c r="C4392" t="s">
        <v>9128</v>
      </c>
      <c r="D4392" t="s">
        <v>1077</v>
      </c>
      <c r="F4392">
        <v>27341028</v>
      </c>
      <c r="G4392">
        <v>19031890</v>
      </c>
      <c r="H4392">
        <v>16084518</v>
      </c>
      <c r="I4392">
        <v>12837728</v>
      </c>
      <c r="P4392">
        <v>4328</v>
      </c>
      <c r="Q4392" t="s">
        <v>9129</v>
      </c>
    </row>
    <row r="4393" spans="1:17" x14ac:dyDescent="0.3">
      <c r="A4393" t="s">
        <v>4729</v>
      </c>
      <c r="B4393" t="str">
        <f>"300596"</f>
        <v>300596</v>
      </c>
      <c r="C4393" t="s">
        <v>9130</v>
      </c>
      <c r="D4393" t="s">
        <v>1192</v>
      </c>
      <c r="F4393">
        <v>151302829</v>
      </c>
      <c r="G4393">
        <v>101590677</v>
      </c>
      <c r="H4393">
        <v>79549043</v>
      </c>
      <c r="I4393">
        <v>67125743</v>
      </c>
      <c r="P4393">
        <v>391</v>
      </c>
      <c r="Q4393" t="s">
        <v>9131</v>
      </c>
    </row>
    <row r="4394" spans="1:17" x14ac:dyDescent="0.3">
      <c r="A4394" t="s">
        <v>4729</v>
      </c>
      <c r="B4394" t="str">
        <f>"300597"</f>
        <v>300597</v>
      </c>
      <c r="C4394" t="s">
        <v>9132</v>
      </c>
      <c r="D4394" t="s">
        <v>654</v>
      </c>
      <c r="F4394">
        <v>19400242</v>
      </c>
      <c r="G4394">
        <v>17904557</v>
      </c>
      <c r="H4394">
        <v>15622736</v>
      </c>
      <c r="I4394">
        <v>15452012</v>
      </c>
      <c r="P4394">
        <v>110</v>
      </c>
      <c r="Q4394" t="s">
        <v>9133</v>
      </c>
    </row>
    <row r="4395" spans="1:17" x14ac:dyDescent="0.3">
      <c r="A4395" t="s">
        <v>4729</v>
      </c>
      <c r="B4395" t="str">
        <f>"300598"</f>
        <v>300598</v>
      </c>
      <c r="C4395" t="s">
        <v>9134</v>
      </c>
      <c r="D4395" t="s">
        <v>945</v>
      </c>
      <c r="F4395">
        <v>101988873</v>
      </c>
      <c r="G4395">
        <v>53911795</v>
      </c>
      <c r="H4395">
        <v>63334891</v>
      </c>
      <c r="I4395">
        <v>48432301</v>
      </c>
      <c r="P4395">
        <v>319</v>
      </c>
      <c r="Q4395" t="s">
        <v>9135</v>
      </c>
    </row>
    <row r="4396" spans="1:17" x14ac:dyDescent="0.3">
      <c r="A4396" t="s">
        <v>4729</v>
      </c>
      <c r="B4396" t="str">
        <f>"300599"</f>
        <v>300599</v>
      </c>
      <c r="C4396" t="s">
        <v>9136</v>
      </c>
      <c r="D4396" t="s">
        <v>3347</v>
      </c>
      <c r="F4396">
        <v>70176726</v>
      </c>
      <c r="G4396">
        <v>72201580</v>
      </c>
      <c r="H4396">
        <v>60927772</v>
      </c>
      <c r="I4396">
        <v>51982920</v>
      </c>
      <c r="P4396">
        <v>102</v>
      </c>
      <c r="Q4396" t="s">
        <v>9137</v>
      </c>
    </row>
    <row r="4397" spans="1:17" x14ac:dyDescent="0.3">
      <c r="A4397" t="s">
        <v>4729</v>
      </c>
      <c r="B4397" t="str">
        <f>"300600"</f>
        <v>300600</v>
      </c>
      <c r="C4397" t="s">
        <v>9138</v>
      </c>
      <c r="D4397" t="s">
        <v>167</v>
      </c>
      <c r="F4397">
        <v>14983091</v>
      </c>
      <c r="G4397">
        <v>16412601</v>
      </c>
      <c r="H4397">
        <v>24278961</v>
      </c>
      <c r="I4397">
        <v>35268241</v>
      </c>
      <c r="P4397">
        <v>101</v>
      </c>
      <c r="Q4397" t="s">
        <v>9139</v>
      </c>
    </row>
    <row r="4398" spans="1:17" x14ac:dyDescent="0.3">
      <c r="A4398" t="s">
        <v>4729</v>
      </c>
      <c r="B4398" t="str">
        <f>"300601"</f>
        <v>300601</v>
      </c>
      <c r="C4398" t="s">
        <v>9140</v>
      </c>
      <c r="D4398" t="s">
        <v>1499</v>
      </c>
      <c r="F4398">
        <v>354264075</v>
      </c>
      <c r="G4398">
        <v>267060541</v>
      </c>
      <c r="H4398">
        <v>198260594</v>
      </c>
      <c r="I4398">
        <v>177823209</v>
      </c>
      <c r="P4398">
        <v>1384</v>
      </c>
      <c r="Q4398" t="s">
        <v>9141</v>
      </c>
    </row>
    <row r="4399" spans="1:17" x14ac:dyDescent="0.3">
      <c r="A4399" t="s">
        <v>4729</v>
      </c>
      <c r="B4399" t="str">
        <f>"300602"</f>
        <v>300602</v>
      </c>
      <c r="C4399" t="s">
        <v>9142</v>
      </c>
      <c r="D4399" t="s">
        <v>313</v>
      </c>
      <c r="F4399">
        <v>201537227</v>
      </c>
      <c r="G4399">
        <v>200208290</v>
      </c>
      <c r="H4399">
        <v>128244961</v>
      </c>
      <c r="I4399">
        <v>68219291</v>
      </c>
      <c r="P4399">
        <v>597</v>
      </c>
      <c r="Q4399" t="s">
        <v>9143</v>
      </c>
    </row>
    <row r="4400" spans="1:17" x14ac:dyDescent="0.3">
      <c r="A4400" t="s">
        <v>4729</v>
      </c>
      <c r="B4400" t="str">
        <f>"300603"</f>
        <v>300603</v>
      </c>
      <c r="C4400" t="s">
        <v>9144</v>
      </c>
      <c r="D4400" t="s">
        <v>5670</v>
      </c>
      <c r="F4400">
        <v>39276647</v>
      </c>
      <c r="G4400">
        <v>34020802</v>
      </c>
      <c r="H4400">
        <v>47031012</v>
      </c>
      <c r="I4400">
        <v>19703612</v>
      </c>
      <c r="P4400">
        <v>196</v>
      </c>
      <c r="Q4400" t="s">
        <v>9145</v>
      </c>
    </row>
    <row r="4401" spans="1:17" x14ac:dyDescent="0.3">
      <c r="A4401" t="s">
        <v>4729</v>
      </c>
      <c r="B4401" t="str">
        <f>"300604"</f>
        <v>300604</v>
      </c>
      <c r="C4401" t="s">
        <v>9146</v>
      </c>
      <c r="D4401" t="s">
        <v>3187</v>
      </c>
      <c r="F4401">
        <v>330377212</v>
      </c>
      <c r="G4401">
        <v>187325142</v>
      </c>
      <c r="H4401">
        <v>106978373</v>
      </c>
      <c r="I4401">
        <v>61709866</v>
      </c>
      <c r="P4401">
        <v>370</v>
      </c>
      <c r="Q4401" t="s">
        <v>9147</v>
      </c>
    </row>
    <row r="4402" spans="1:17" x14ac:dyDescent="0.3">
      <c r="A4402" t="s">
        <v>4729</v>
      </c>
      <c r="B4402" t="str">
        <f>"300605"</f>
        <v>300605</v>
      </c>
      <c r="C4402" t="s">
        <v>9148</v>
      </c>
      <c r="D4402" t="s">
        <v>945</v>
      </c>
      <c r="F4402">
        <v>40836448</v>
      </c>
      <c r="G4402">
        <v>29799761</v>
      </c>
      <c r="H4402">
        <v>35978926</v>
      </c>
      <c r="I4402">
        <v>33608075</v>
      </c>
      <c r="P4402">
        <v>93</v>
      </c>
      <c r="Q4402" t="s">
        <v>9149</v>
      </c>
    </row>
    <row r="4403" spans="1:17" x14ac:dyDescent="0.3">
      <c r="A4403" t="s">
        <v>4729</v>
      </c>
      <c r="B4403" t="str">
        <f>"300606"</f>
        <v>300606</v>
      </c>
      <c r="C4403" t="s">
        <v>9150</v>
      </c>
      <c r="D4403" t="s">
        <v>404</v>
      </c>
      <c r="F4403">
        <v>28091137</v>
      </c>
      <c r="G4403">
        <v>28737568</v>
      </c>
      <c r="H4403">
        <v>20343054</v>
      </c>
      <c r="I4403">
        <v>17574762</v>
      </c>
      <c r="P4403">
        <v>92</v>
      </c>
      <c r="Q4403" t="s">
        <v>9151</v>
      </c>
    </row>
    <row r="4404" spans="1:17" x14ac:dyDescent="0.3">
      <c r="A4404" t="s">
        <v>4729</v>
      </c>
      <c r="B4404" t="str">
        <f>"300607"</f>
        <v>300607</v>
      </c>
      <c r="C4404" t="s">
        <v>9152</v>
      </c>
      <c r="D4404" t="s">
        <v>2938</v>
      </c>
      <c r="F4404">
        <v>141652171</v>
      </c>
      <c r="G4404">
        <v>160681761</v>
      </c>
      <c r="H4404">
        <v>69913617</v>
      </c>
      <c r="I4404">
        <v>59638004</v>
      </c>
      <c r="P4404">
        <v>1388</v>
      </c>
      <c r="Q4404" t="s">
        <v>9153</v>
      </c>
    </row>
    <row r="4405" spans="1:17" x14ac:dyDescent="0.3">
      <c r="A4405" t="s">
        <v>4729</v>
      </c>
      <c r="B4405" t="str">
        <f>"300608"</f>
        <v>300608</v>
      </c>
      <c r="C4405" t="s">
        <v>9154</v>
      </c>
      <c r="D4405" t="s">
        <v>945</v>
      </c>
      <c r="F4405">
        <v>106969360</v>
      </c>
      <c r="G4405">
        <v>97950867</v>
      </c>
      <c r="H4405">
        <v>167526109</v>
      </c>
      <c r="I4405">
        <v>148006110</v>
      </c>
      <c r="P4405">
        <v>217</v>
      </c>
      <c r="Q4405" t="s">
        <v>9155</v>
      </c>
    </row>
    <row r="4406" spans="1:17" x14ac:dyDescent="0.3">
      <c r="A4406" t="s">
        <v>4729</v>
      </c>
      <c r="B4406" t="str">
        <f>"300609"</f>
        <v>300609</v>
      </c>
      <c r="C4406" t="s">
        <v>9156</v>
      </c>
      <c r="D4406" t="s">
        <v>316</v>
      </c>
      <c r="F4406">
        <v>47087238</v>
      </c>
      <c r="G4406">
        <v>42252697</v>
      </c>
      <c r="H4406">
        <v>47565020</v>
      </c>
      <c r="I4406">
        <v>36906871</v>
      </c>
      <c r="P4406">
        <v>155</v>
      </c>
      <c r="Q4406" t="s">
        <v>9157</v>
      </c>
    </row>
    <row r="4407" spans="1:17" x14ac:dyDescent="0.3">
      <c r="A4407" t="s">
        <v>4729</v>
      </c>
      <c r="B4407" t="str">
        <f>"300610"</f>
        <v>300610</v>
      </c>
      <c r="C4407" t="s">
        <v>9158</v>
      </c>
      <c r="D4407" t="s">
        <v>1192</v>
      </c>
      <c r="F4407">
        <v>40899967</v>
      </c>
      <c r="G4407">
        <v>29907224</v>
      </c>
      <c r="H4407">
        <v>24169602</v>
      </c>
      <c r="I4407">
        <v>24849132</v>
      </c>
      <c r="P4407">
        <v>129</v>
      </c>
      <c r="Q4407" t="s">
        <v>9159</v>
      </c>
    </row>
    <row r="4408" spans="1:17" x14ac:dyDescent="0.3">
      <c r="A4408" t="s">
        <v>4729</v>
      </c>
      <c r="B4408" t="str">
        <f>"300611"</f>
        <v>300611</v>
      </c>
      <c r="C4408" t="s">
        <v>9160</v>
      </c>
      <c r="D4408" t="s">
        <v>348</v>
      </c>
      <c r="F4408">
        <v>50213108</v>
      </c>
      <c r="G4408">
        <v>40864056</v>
      </c>
      <c r="H4408">
        <v>33892246</v>
      </c>
      <c r="I4408">
        <v>27177940</v>
      </c>
      <c r="P4408">
        <v>97</v>
      </c>
      <c r="Q4408" t="s">
        <v>9161</v>
      </c>
    </row>
    <row r="4409" spans="1:17" x14ac:dyDescent="0.3">
      <c r="A4409" t="s">
        <v>4729</v>
      </c>
      <c r="B4409" t="str">
        <f>"300612"</f>
        <v>300612</v>
      </c>
      <c r="C4409" t="s">
        <v>9162</v>
      </c>
      <c r="D4409" t="s">
        <v>207</v>
      </c>
      <c r="F4409">
        <v>24246611</v>
      </c>
      <c r="G4409">
        <v>23397015</v>
      </c>
      <c r="H4409">
        <v>25560231</v>
      </c>
      <c r="I4409">
        <v>14684128</v>
      </c>
      <c r="P4409">
        <v>84</v>
      </c>
      <c r="Q4409" t="s">
        <v>9163</v>
      </c>
    </row>
    <row r="4410" spans="1:17" x14ac:dyDescent="0.3">
      <c r="A4410" t="s">
        <v>4729</v>
      </c>
      <c r="B4410" t="str">
        <f>"300613"</f>
        <v>300613</v>
      </c>
      <c r="C4410" t="s">
        <v>9164</v>
      </c>
      <c r="D4410" t="s">
        <v>461</v>
      </c>
      <c r="F4410">
        <v>250392500</v>
      </c>
      <c r="G4410">
        <v>113658258</v>
      </c>
      <c r="H4410">
        <v>134545233</v>
      </c>
      <c r="I4410">
        <v>119198278</v>
      </c>
      <c r="P4410">
        <v>357</v>
      </c>
      <c r="Q4410" t="s">
        <v>9165</v>
      </c>
    </row>
    <row r="4411" spans="1:17" x14ac:dyDescent="0.3">
      <c r="A4411" t="s">
        <v>4729</v>
      </c>
      <c r="B4411" t="str">
        <f>"300614"</f>
        <v>300614</v>
      </c>
      <c r="C4411" t="s">
        <v>9166</v>
      </c>
      <c r="D4411" t="s">
        <v>499</v>
      </c>
      <c r="F4411">
        <v>6563097</v>
      </c>
      <c r="G4411">
        <v>5673309</v>
      </c>
      <c r="H4411">
        <v>3775655</v>
      </c>
      <c r="I4411">
        <v>1718084</v>
      </c>
      <c r="J4411">
        <v>913188</v>
      </c>
      <c r="K4411">
        <v>433350</v>
      </c>
      <c r="P4411">
        <v>41</v>
      </c>
      <c r="Q4411" t="s">
        <v>9167</v>
      </c>
    </row>
    <row r="4412" spans="1:17" x14ac:dyDescent="0.3">
      <c r="A4412" t="s">
        <v>4729</v>
      </c>
      <c r="B4412" t="str">
        <f>"300615"</f>
        <v>300615</v>
      </c>
      <c r="C4412" t="s">
        <v>9168</v>
      </c>
      <c r="D4412" t="s">
        <v>786</v>
      </c>
      <c r="F4412">
        <v>16750630</v>
      </c>
      <c r="G4412">
        <v>15992268</v>
      </c>
      <c r="H4412">
        <v>23166591</v>
      </c>
      <c r="I4412">
        <v>21315953</v>
      </c>
      <c r="P4412">
        <v>156</v>
      </c>
      <c r="Q4412" t="s">
        <v>9169</v>
      </c>
    </row>
    <row r="4413" spans="1:17" x14ac:dyDescent="0.3">
      <c r="A4413" t="s">
        <v>4729</v>
      </c>
      <c r="B4413" t="str">
        <f>"300616"</f>
        <v>300616</v>
      </c>
      <c r="C4413" t="s">
        <v>9170</v>
      </c>
      <c r="D4413" t="s">
        <v>2664</v>
      </c>
      <c r="F4413">
        <v>185928706</v>
      </c>
      <c r="G4413">
        <v>156443537</v>
      </c>
      <c r="H4413">
        <v>136046731</v>
      </c>
      <c r="I4413">
        <v>153779932</v>
      </c>
      <c r="P4413">
        <v>694</v>
      </c>
      <c r="Q4413" t="s">
        <v>9171</v>
      </c>
    </row>
    <row r="4414" spans="1:17" x14ac:dyDescent="0.3">
      <c r="A4414" t="s">
        <v>4729</v>
      </c>
      <c r="B4414" t="str">
        <f>"300617"</f>
        <v>300617</v>
      </c>
      <c r="C4414" t="s">
        <v>9172</v>
      </c>
      <c r="D4414" t="s">
        <v>1164</v>
      </c>
      <c r="F4414">
        <v>57073692</v>
      </c>
      <c r="G4414">
        <v>28224368</v>
      </c>
      <c r="H4414">
        <v>22334549</v>
      </c>
      <c r="I4414">
        <v>15665695</v>
      </c>
      <c r="P4414">
        <v>148</v>
      </c>
      <c r="Q4414" t="s">
        <v>9173</v>
      </c>
    </row>
    <row r="4415" spans="1:17" x14ac:dyDescent="0.3">
      <c r="A4415" t="s">
        <v>4729</v>
      </c>
      <c r="B4415" t="str">
        <f>"300618"</f>
        <v>300618</v>
      </c>
      <c r="C4415" t="s">
        <v>9174</v>
      </c>
      <c r="D4415" t="s">
        <v>1440</v>
      </c>
      <c r="F4415">
        <v>39828982</v>
      </c>
      <c r="G4415">
        <v>37326603</v>
      </c>
      <c r="H4415">
        <v>41343753</v>
      </c>
      <c r="I4415">
        <v>40854792</v>
      </c>
      <c r="P4415">
        <v>574</v>
      </c>
      <c r="Q4415" t="s">
        <v>9175</v>
      </c>
    </row>
    <row r="4416" spans="1:17" x14ac:dyDescent="0.3">
      <c r="A4416" t="s">
        <v>4729</v>
      </c>
      <c r="B4416" t="str">
        <f>"300619"</f>
        <v>300619</v>
      </c>
      <c r="C4416" t="s">
        <v>9176</v>
      </c>
      <c r="D4416" t="s">
        <v>3776</v>
      </c>
      <c r="F4416">
        <v>59268260</v>
      </c>
      <c r="G4416">
        <v>34684737</v>
      </c>
      <c r="H4416">
        <v>31965523</v>
      </c>
      <c r="I4416">
        <v>33909937</v>
      </c>
      <c r="P4416">
        <v>94</v>
      </c>
      <c r="Q4416" t="s">
        <v>9177</v>
      </c>
    </row>
    <row r="4417" spans="1:17" x14ac:dyDescent="0.3">
      <c r="A4417" t="s">
        <v>4729</v>
      </c>
      <c r="B4417" t="str">
        <f>"300620"</f>
        <v>300620</v>
      </c>
      <c r="C4417" t="s">
        <v>9178</v>
      </c>
      <c r="D4417" t="s">
        <v>1019</v>
      </c>
      <c r="F4417">
        <v>77335938</v>
      </c>
      <c r="G4417">
        <v>49388637</v>
      </c>
      <c r="H4417">
        <v>37822574</v>
      </c>
      <c r="I4417">
        <v>26916771</v>
      </c>
      <c r="P4417">
        <v>245</v>
      </c>
      <c r="Q4417" t="s">
        <v>9179</v>
      </c>
    </row>
    <row r="4418" spans="1:17" x14ac:dyDescent="0.3">
      <c r="A4418" t="s">
        <v>4729</v>
      </c>
      <c r="B4418" t="str">
        <f>"300621"</f>
        <v>300621</v>
      </c>
      <c r="C4418" t="s">
        <v>9180</v>
      </c>
      <c r="D4418" t="s">
        <v>450</v>
      </c>
      <c r="F4418">
        <v>51609934</v>
      </c>
      <c r="G4418">
        <v>56350700</v>
      </c>
      <c r="H4418">
        <v>68389488</v>
      </c>
      <c r="I4418">
        <v>11565704</v>
      </c>
      <c r="P4418">
        <v>56</v>
      </c>
      <c r="Q4418" t="s">
        <v>9181</v>
      </c>
    </row>
    <row r="4419" spans="1:17" x14ac:dyDescent="0.3">
      <c r="A4419" t="s">
        <v>4729</v>
      </c>
      <c r="B4419" t="str">
        <f>"300622"</f>
        <v>300622</v>
      </c>
      <c r="C4419" t="s">
        <v>9182</v>
      </c>
      <c r="D4419" t="s">
        <v>295</v>
      </c>
      <c r="F4419">
        <v>0</v>
      </c>
      <c r="G4419">
        <v>0</v>
      </c>
      <c r="H4419">
        <v>0</v>
      </c>
      <c r="I4419">
        <v>0</v>
      </c>
      <c r="P4419">
        <v>123</v>
      </c>
      <c r="Q4419" t="s">
        <v>9183</v>
      </c>
    </row>
    <row r="4420" spans="1:17" x14ac:dyDescent="0.3">
      <c r="A4420" t="s">
        <v>4729</v>
      </c>
      <c r="B4420" t="str">
        <f>"300623"</f>
        <v>300623</v>
      </c>
      <c r="C4420" t="s">
        <v>9184</v>
      </c>
      <c r="D4420" t="s">
        <v>795</v>
      </c>
      <c r="F4420">
        <v>131608601</v>
      </c>
      <c r="G4420">
        <v>74382274</v>
      </c>
      <c r="H4420">
        <v>37177104</v>
      </c>
      <c r="I4420">
        <v>26042310</v>
      </c>
      <c r="P4420">
        <v>666</v>
      </c>
      <c r="Q4420" t="s">
        <v>9185</v>
      </c>
    </row>
    <row r="4421" spans="1:17" x14ac:dyDescent="0.3">
      <c r="A4421" t="s">
        <v>4729</v>
      </c>
      <c r="B4421" t="str">
        <f>"300624"</f>
        <v>300624</v>
      </c>
      <c r="C4421" t="s">
        <v>9186</v>
      </c>
      <c r="D4421" t="s">
        <v>1189</v>
      </c>
      <c r="F4421">
        <v>328110902</v>
      </c>
      <c r="G4421">
        <v>218609340</v>
      </c>
      <c r="H4421">
        <v>155569812</v>
      </c>
      <c r="I4421">
        <v>97499329</v>
      </c>
      <c r="P4421">
        <v>332</v>
      </c>
      <c r="Q4421" t="s">
        <v>9187</v>
      </c>
    </row>
    <row r="4422" spans="1:17" x14ac:dyDescent="0.3">
      <c r="A4422" t="s">
        <v>4729</v>
      </c>
      <c r="B4422" t="str">
        <f>"300625"</f>
        <v>300625</v>
      </c>
      <c r="C4422" t="s">
        <v>9188</v>
      </c>
      <c r="D4422" t="s">
        <v>598</v>
      </c>
      <c r="F4422">
        <v>63701854</v>
      </c>
      <c r="G4422">
        <v>60080543</v>
      </c>
      <c r="H4422">
        <v>61499378</v>
      </c>
      <c r="I4422">
        <v>48606129</v>
      </c>
      <c r="P4422">
        <v>137</v>
      </c>
      <c r="Q4422" t="s">
        <v>9189</v>
      </c>
    </row>
    <row r="4423" spans="1:17" x14ac:dyDescent="0.3">
      <c r="A4423" t="s">
        <v>4729</v>
      </c>
      <c r="B4423" t="str">
        <f>"300626"</f>
        <v>300626</v>
      </c>
      <c r="C4423" t="s">
        <v>9190</v>
      </c>
      <c r="D4423" t="s">
        <v>1171</v>
      </c>
      <c r="F4423">
        <v>49847204</v>
      </c>
      <c r="G4423">
        <v>30788688</v>
      </c>
      <c r="H4423">
        <v>27405976</v>
      </c>
      <c r="I4423">
        <v>32915904</v>
      </c>
      <c r="P4423">
        <v>55</v>
      </c>
      <c r="Q4423" t="s">
        <v>9191</v>
      </c>
    </row>
    <row r="4424" spans="1:17" x14ac:dyDescent="0.3">
      <c r="A4424" t="s">
        <v>4729</v>
      </c>
      <c r="B4424" t="str">
        <f>"300627"</f>
        <v>300627</v>
      </c>
      <c r="C4424" t="s">
        <v>9192</v>
      </c>
      <c r="D4424" t="s">
        <v>786</v>
      </c>
      <c r="F4424">
        <v>332791499</v>
      </c>
      <c r="G4424">
        <v>209119803</v>
      </c>
      <c r="H4424">
        <v>170498494</v>
      </c>
      <c r="I4424">
        <v>132552776</v>
      </c>
      <c r="P4424">
        <v>295</v>
      </c>
      <c r="Q4424" t="s">
        <v>9193</v>
      </c>
    </row>
    <row r="4425" spans="1:17" x14ac:dyDescent="0.3">
      <c r="A4425" t="s">
        <v>4729</v>
      </c>
      <c r="B4425" t="str">
        <f>"300628"</f>
        <v>300628</v>
      </c>
      <c r="C4425" t="s">
        <v>9194</v>
      </c>
      <c r="D4425" t="s">
        <v>786</v>
      </c>
      <c r="F4425">
        <v>364677234</v>
      </c>
      <c r="G4425">
        <v>295848083</v>
      </c>
      <c r="H4425">
        <v>192193776</v>
      </c>
      <c r="I4425">
        <v>136795327</v>
      </c>
      <c r="P4425">
        <v>2262</v>
      </c>
      <c r="Q4425" t="s">
        <v>9195</v>
      </c>
    </row>
    <row r="4426" spans="1:17" x14ac:dyDescent="0.3">
      <c r="A4426" t="s">
        <v>4729</v>
      </c>
      <c r="B4426" t="str">
        <f>"300629"</f>
        <v>300629</v>
      </c>
      <c r="C4426" t="s">
        <v>9196</v>
      </c>
      <c r="D4426" t="s">
        <v>404</v>
      </c>
      <c r="F4426">
        <v>46651827</v>
      </c>
      <c r="G4426">
        <v>32882784</v>
      </c>
      <c r="H4426">
        <v>16535365</v>
      </c>
      <c r="I4426">
        <v>12167301</v>
      </c>
      <c r="P4426">
        <v>65</v>
      </c>
      <c r="Q4426" t="s">
        <v>9197</v>
      </c>
    </row>
    <row r="4427" spans="1:17" x14ac:dyDescent="0.3">
      <c r="A4427" t="s">
        <v>4729</v>
      </c>
      <c r="B4427" t="str">
        <f>"300630"</f>
        <v>300630</v>
      </c>
      <c r="C4427" t="s">
        <v>9198</v>
      </c>
      <c r="D4427" t="s">
        <v>143</v>
      </c>
      <c r="F4427">
        <v>229318459</v>
      </c>
      <c r="G4427">
        <v>191180707</v>
      </c>
      <c r="H4427">
        <v>184293262</v>
      </c>
      <c r="I4427">
        <v>138119042</v>
      </c>
      <c r="P4427">
        <v>1261</v>
      </c>
      <c r="Q4427" t="s">
        <v>9199</v>
      </c>
    </row>
    <row r="4428" spans="1:17" x14ac:dyDescent="0.3">
      <c r="A4428" t="s">
        <v>4729</v>
      </c>
      <c r="B4428" t="str">
        <f>"300631"</f>
        <v>300631</v>
      </c>
      <c r="C4428" t="s">
        <v>9200</v>
      </c>
      <c r="D4428" t="s">
        <v>1070</v>
      </c>
      <c r="F4428">
        <v>42935151</v>
      </c>
      <c r="G4428">
        <v>28926928</v>
      </c>
      <c r="H4428">
        <v>23667892</v>
      </c>
      <c r="I4428">
        <v>17632478</v>
      </c>
      <c r="P4428">
        <v>135</v>
      </c>
      <c r="Q4428" t="s">
        <v>9201</v>
      </c>
    </row>
    <row r="4429" spans="1:17" x14ac:dyDescent="0.3">
      <c r="A4429" t="s">
        <v>4729</v>
      </c>
      <c r="B4429" t="str">
        <f>"300632"</f>
        <v>300632</v>
      </c>
      <c r="C4429" t="s">
        <v>9202</v>
      </c>
      <c r="D4429" t="s">
        <v>803</v>
      </c>
      <c r="F4429">
        <v>55549209</v>
      </c>
      <c r="G4429">
        <v>48533854</v>
      </c>
      <c r="H4429">
        <v>46470299</v>
      </c>
      <c r="I4429">
        <v>34708373</v>
      </c>
      <c r="P4429">
        <v>201</v>
      </c>
      <c r="Q4429" t="s">
        <v>9203</v>
      </c>
    </row>
    <row r="4430" spans="1:17" x14ac:dyDescent="0.3">
      <c r="A4430" t="s">
        <v>4729</v>
      </c>
      <c r="B4430" t="str">
        <f>"300633"</f>
        <v>300633</v>
      </c>
      <c r="C4430" t="s">
        <v>9204</v>
      </c>
      <c r="D4430" t="s">
        <v>122</v>
      </c>
      <c r="F4430">
        <v>263058793</v>
      </c>
      <c r="G4430">
        <v>237419358</v>
      </c>
      <c r="H4430">
        <v>254913415</v>
      </c>
      <c r="I4430">
        <v>233485639</v>
      </c>
      <c r="P4430">
        <v>515</v>
      </c>
      <c r="Q4430" t="s">
        <v>9205</v>
      </c>
    </row>
    <row r="4431" spans="1:17" x14ac:dyDescent="0.3">
      <c r="A4431" t="s">
        <v>4729</v>
      </c>
      <c r="B4431" t="str">
        <f>"300634"</f>
        <v>300634</v>
      </c>
      <c r="C4431" t="s">
        <v>9206</v>
      </c>
      <c r="D4431" t="s">
        <v>316</v>
      </c>
      <c r="F4431">
        <v>137047235</v>
      </c>
      <c r="G4431">
        <v>115510772</v>
      </c>
      <c r="H4431">
        <v>108959710</v>
      </c>
      <c r="I4431">
        <v>97015135</v>
      </c>
      <c r="J4431">
        <v>84979070</v>
      </c>
      <c r="P4431">
        <v>159</v>
      </c>
      <c r="Q4431" t="s">
        <v>9207</v>
      </c>
    </row>
    <row r="4432" spans="1:17" x14ac:dyDescent="0.3">
      <c r="A4432" t="s">
        <v>4729</v>
      </c>
      <c r="B4432" t="str">
        <f>"300635"</f>
        <v>300635</v>
      </c>
      <c r="C4432" t="s">
        <v>9208</v>
      </c>
      <c r="D4432" t="s">
        <v>1272</v>
      </c>
      <c r="F4432">
        <v>45252590</v>
      </c>
      <c r="G4432">
        <v>44830057</v>
      </c>
      <c r="H4432">
        <v>36620192</v>
      </c>
      <c r="I4432">
        <v>16260852</v>
      </c>
      <c r="P4432">
        <v>113</v>
      </c>
      <c r="Q4432" t="s">
        <v>9209</v>
      </c>
    </row>
    <row r="4433" spans="1:17" x14ac:dyDescent="0.3">
      <c r="A4433" t="s">
        <v>4729</v>
      </c>
      <c r="B4433" t="str">
        <f>"300636"</f>
        <v>300636</v>
      </c>
      <c r="C4433" t="s">
        <v>9210</v>
      </c>
      <c r="D4433" t="s">
        <v>496</v>
      </c>
      <c r="F4433">
        <v>39021536</v>
      </c>
      <c r="G4433">
        <v>35300660</v>
      </c>
      <c r="H4433">
        <v>36333434</v>
      </c>
      <c r="I4433">
        <v>25359340</v>
      </c>
      <c r="P4433">
        <v>136</v>
      </c>
      <c r="Q4433" t="s">
        <v>9211</v>
      </c>
    </row>
    <row r="4434" spans="1:17" x14ac:dyDescent="0.3">
      <c r="A4434" t="s">
        <v>4729</v>
      </c>
      <c r="B4434" t="str">
        <f>"300637"</f>
        <v>300637</v>
      </c>
      <c r="C4434" t="s">
        <v>9212</v>
      </c>
      <c r="D4434" t="s">
        <v>2408</v>
      </c>
      <c r="F4434">
        <v>28501732</v>
      </c>
      <c r="G4434">
        <v>28381228</v>
      </c>
      <c r="H4434">
        <v>25892310</v>
      </c>
      <c r="I4434">
        <v>21918406</v>
      </c>
      <c r="P4434">
        <v>117</v>
      </c>
      <c r="Q4434" t="s">
        <v>9213</v>
      </c>
    </row>
    <row r="4435" spans="1:17" x14ac:dyDescent="0.3">
      <c r="A4435" t="s">
        <v>4729</v>
      </c>
      <c r="B4435" t="str">
        <f>"300638"</f>
        <v>300638</v>
      </c>
      <c r="C4435" t="s">
        <v>9214</v>
      </c>
      <c r="D4435" t="s">
        <v>786</v>
      </c>
      <c r="F4435">
        <v>429210090</v>
      </c>
      <c r="G4435">
        <v>287625890</v>
      </c>
      <c r="H4435">
        <v>197397087</v>
      </c>
      <c r="I4435">
        <v>110762187</v>
      </c>
      <c r="P4435">
        <v>759</v>
      </c>
      <c r="Q4435" t="s">
        <v>9215</v>
      </c>
    </row>
    <row r="4436" spans="1:17" x14ac:dyDescent="0.3">
      <c r="A4436" t="s">
        <v>4729</v>
      </c>
      <c r="B4436" t="str">
        <f>"300639"</f>
        <v>300639</v>
      </c>
      <c r="C4436" t="s">
        <v>9216</v>
      </c>
      <c r="D4436" t="s">
        <v>1305</v>
      </c>
      <c r="F4436">
        <v>115294153</v>
      </c>
      <c r="G4436">
        <v>71621886</v>
      </c>
      <c r="H4436">
        <v>57446863</v>
      </c>
      <c r="I4436">
        <v>45950442</v>
      </c>
      <c r="P4436">
        <v>535</v>
      </c>
      <c r="Q4436" t="s">
        <v>9217</v>
      </c>
    </row>
    <row r="4437" spans="1:17" x14ac:dyDescent="0.3">
      <c r="A4437" t="s">
        <v>4729</v>
      </c>
      <c r="B4437" t="str">
        <f>"300640"</f>
        <v>300640</v>
      </c>
      <c r="C4437" t="s">
        <v>9218</v>
      </c>
      <c r="D4437" t="s">
        <v>2445</v>
      </c>
      <c r="F4437">
        <v>22564832</v>
      </c>
      <c r="G4437">
        <v>18014068</v>
      </c>
      <c r="H4437">
        <v>23184407</v>
      </c>
      <c r="I4437">
        <v>18724545</v>
      </c>
      <c r="P4437">
        <v>79</v>
      </c>
      <c r="Q4437" t="s">
        <v>9219</v>
      </c>
    </row>
    <row r="4438" spans="1:17" x14ac:dyDescent="0.3">
      <c r="A4438" t="s">
        <v>4729</v>
      </c>
      <c r="B4438" t="str">
        <f>"300641"</f>
        <v>300641</v>
      </c>
      <c r="C4438" t="s">
        <v>9220</v>
      </c>
      <c r="D4438" t="s">
        <v>386</v>
      </c>
      <c r="F4438">
        <v>53209935</v>
      </c>
      <c r="G4438">
        <v>45365373</v>
      </c>
      <c r="H4438">
        <v>45276013</v>
      </c>
      <c r="I4438">
        <v>42158532</v>
      </c>
      <c r="P4438">
        <v>79</v>
      </c>
      <c r="Q4438" t="s">
        <v>9221</v>
      </c>
    </row>
    <row r="4439" spans="1:17" x14ac:dyDescent="0.3">
      <c r="A4439" t="s">
        <v>4729</v>
      </c>
      <c r="B4439" t="str">
        <f>"300642"</f>
        <v>300642</v>
      </c>
      <c r="C4439" t="s">
        <v>9222</v>
      </c>
      <c r="D4439" t="s">
        <v>1305</v>
      </c>
      <c r="F4439">
        <v>72711167</v>
      </c>
      <c r="G4439">
        <v>61468240</v>
      </c>
      <c r="H4439">
        <v>51988757</v>
      </c>
      <c r="I4439">
        <v>39998078</v>
      </c>
      <c r="P4439">
        <v>417</v>
      </c>
      <c r="Q4439" t="s">
        <v>9223</v>
      </c>
    </row>
    <row r="4440" spans="1:17" x14ac:dyDescent="0.3">
      <c r="A4440" t="s">
        <v>4729</v>
      </c>
      <c r="B4440" t="str">
        <f>"300643"</f>
        <v>300643</v>
      </c>
      <c r="C4440" t="s">
        <v>9224</v>
      </c>
      <c r="D4440" t="s">
        <v>985</v>
      </c>
      <c r="F4440">
        <v>41654845</v>
      </c>
      <c r="G4440">
        <v>34443303</v>
      </c>
      <c r="H4440">
        <v>20938925</v>
      </c>
      <c r="I4440">
        <v>9298963</v>
      </c>
      <c r="P4440">
        <v>96</v>
      </c>
      <c r="Q4440" t="s">
        <v>9225</v>
      </c>
    </row>
    <row r="4441" spans="1:17" x14ac:dyDescent="0.3">
      <c r="A4441" t="s">
        <v>4729</v>
      </c>
      <c r="B4441" t="str">
        <f>"300644"</f>
        <v>300644</v>
      </c>
      <c r="C4441" t="s">
        <v>9226</v>
      </c>
      <c r="D4441" t="s">
        <v>341</v>
      </c>
      <c r="F4441">
        <v>57872044</v>
      </c>
      <c r="G4441">
        <v>46621142</v>
      </c>
      <c r="H4441">
        <v>36869225</v>
      </c>
      <c r="I4441">
        <v>37328344</v>
      </c>
      <c r="J4441">
        <v>35003499</v>
      </c>
      <c r="P4441">
        <v>133</v>
      </c>
      <c r="Q4441" t="s">
        <v>9227</v>
      </c>
    </row>
    <row r="4442" spans="1:17" x14ac:dyDescent="0.3">
      <c r="A4442" t="s">
        <v>4729</v>
      </c>
      <c r="B4442" t="str">
        <f>"300645"</f>
        <v>300645</v>
      </c>
      <c r="C4442" t="s">
        <v>9228</v>
      </c>
      <c r="D4442" t="s">
        <v>236</v>
      </c>
      <c r="F4442">
        <v>131610992</v>
      </c>
      <c r="G4442">
        <v>115463266</v>
      </c>
      <c r="H4442">
        <v>89692806</v>
      </c>
      <c r="I4442">
        <v>70388152</v>
      </c>
      <c r="P4442">
        <v>111</v>
      </c>
      <c r="Q4442" t="s">
        <v>9229</v>
      </c>
    </row>
    <row r="4443" spans="1:17" x14ac:dyDescent="0.3">
      <c r="A4443" t="s">
        <v>4729</v>
      </c>
      <c r="B4443" t="str">
        <f>"300646"</f>
        <v>300646</v>
      </c>
      <c r="C4443" t="s">
        <v>9230</v>
      </c>
      <c r="D4443" t="s">
        <v>386</v>
      </c>
      <c r="P4443">
        <v>14</v>
      </c>
      <c r="Q4443" t="s">
        <v>9231</v>
      </c>
    </row>
    <row r="4444" spans="1:17" x14ac:dyDescent="0.3">
      <c r="A4444" t="s">
        <v>4729</v>
      </c>
      <c r="B4444" t="str">
        <f>"300647"</f>
        <v>300647</v>
      </c>
      <c r="C4444" t="s">
        <v>9232</v>
      </c>
      <c r="D4444" t="s">
        <v>313</v>
      </c>
      <c r="F4444">
        <v>39859129</v>
      </c>
      <c r="G4444">
        <v>39393012</v>
      </c>
      <c r="H4444">
        <v>30133043</v>
      </c>
      <c r="I4444">
        <v>30266841</v>
      </c>
      <c r="P4444">
        <v>116</v>
      </c>
      <c r="Q4444" t="s">
        <v>9233</v>
      </c>
    </row>
    <row r="4445" spans="1:17" x14ac:dyDescent="0.3">
      <c r="A4445" t="s">
        <v>4729</v>
      </c>
      <c r="B4445" t="str">
        <f>"300648"</f>
        <v>300648</v>
      </c>
      <c r="C4445" t="s">
        <v>9234</v>
      </c>
      <c r="D4445" t="s">
        <v>3776</v>
      </c>
      <c r="F4445">
        <v>138417735</v>
      </c>
      <c r="G4445">
        <v>81972288</v>
      </c>
      <c r="H4445">
        <v>58247101</v>
      </c>
      <c r="I4445">
        <v>52593619</v>
      </c>
      <c r="P4445">
        <v>266</v>
      </c>
      <c r="Q4445" t="s">
        <v>9235</v>
      </c>
    </row>
    <row r="4446" spans="1:17" x14ac:dyDescent="0.3">
      <c r="A4446" t="s">
        <v>4729</v>
      </c>
      <c r="B4446" t="str">
        <f>"300649"</f>
        <v>300649</v>
      </c>
      <c r="C4446" t="s">
        <v>9236</v>
      </c>
      <c r="D4446" t="s">
        <v>2417</v>
      </c>
      <c r="F4446">
        <v>25528455</v>
      </c>
      <c r="G4446">
        <v>30418186</v>
      </c>
      <c r="H4446">
        <v>37398045</v>
      </c>
      <c r="I4446">
        <v>21605270</v>
      </c>
      <c r="P4446">
        <v>91</v>
      </c>
      <c r="Q4446" t="s">
        <v>9237</v>
      </c>
    </row>
    <row r="4447" spans="1:17" x14ac:dyDescent="0.3">
      <c r="A4447" t="s">
        <v>4729</v>
      </c>
      <c r="B4447" t="str">
        <f>"300650"</f>
        <v>300650</v>
      </c>
      <c r="C4447" t="s">
        <v>9238</v>
      </c>
      <c r="D4447" t="s">
        <v>803</v>
      </c>
      <c r="F4447">
        <v>40128411</v>
      </c>
      <c r="G4447">
        <v>26611654</v>
      </c>
      <c r="H4447">
        <v>30069048</v>
      </c>
      <c r="I4447">
        <v>22277330</v>
      </c>
      <c r="P4447">
        <v>125</v>
      </c>
      <c r="Q4447" t="s">
        <v>9239</v>
      </c>
    </row>
    <row r="4448" spans="1:17" x14ac:dyDescent="0.3">
      <c r="A4448" t="s">
        <v>4729</v>
      </c>
      <c r="B4448" t="str">
        <f>"300651"</f>
        <v>300651</v>
      </c>
      <c r="C4448" t="s">
        <v>9240</v>
      </c>
      <c r="D4448" t="s">
        <v>327</v>
      </c>
      <c r="F4448">
        <v>18649033</v>
      </c>
      <c r="G4448">
        <v>15345361</v>
      </c>
      <c r="H4448">
        <v>19655249</v>
      </c>
      <c r="I4448">
        <v>15999742</v>
      </c>
      <c r="P4448">
        <v>99</v>
      </c>
      <c r="Q4448" t="s">
        <v>9241</v>
      </c>
    </row>
    <row r="4449" spans="1:17" x14ac:dyDescent="0.3">
      <c r="A4449" t="s">
        <v>4729</v>
      </c>
      <c r="B4449" t="str">
        <f>"300652"</f>
        <v>300652</v>
      </c>
      <c r="C4449" t="s">
        <v>9242</v>
      </c>
      <c r="D4449" t="s">
        <v>422</v>
      </c>
      <c r="F4449">
        <v>26820332</v>
      </c>
      <c r="G4449">
        <v>17577632</v>
      </c>
      <c r="H4449">
        <v>15152716</v>
      </c>
      <c r="I4449">
        <v>14736278</v>
      </c>
      <c r="P4449">
        <v>92</v>
      </c>
      <c r="Q4449" t="s">
        <v>9243</v>
      </c>
    </row>
    <row r="4450" spans="1:17" x14ac:dyDescent="0.3">
      <c r="A4450" t="s">
        <v>4729</v>
      </c>
      <c r="B4450" t="str">
        <f>"300653"</f>
        <v>300653</v>
      </c>
      <c r="C4450" t="s">
        <v>9244</v>
      </c>
      <c r="D4450" t="s">
        <v>1077</v>
      </c>
      <c r="F4450">
        <v>35179509</v>
      </c>
      <c r="G4450">
        <v>26572700</v>
      </c>
      <c r="H4450">
        <v>21397259</v>
      </c>
      <c r="I4450">
        <v>16633620</v>
      </c>
      <c r="P4450">
        <v>898</v>
      </c>
      <c r="Q4450" t="s">
        <v>9245</v>
      </c>
    </row>
    <row r="4451" spans="1:17" x14ac:dyDescent="0.3">
      <c r="A4451" t="s">
        <v>4729</v>
      </c>
      <c r="B4451" t="str">
        <f>"300654"</f>
        <v>300654</v>
      </c>
      <c r="C4451" t="s">
        <v>9246</v>
      </c>
      <c r="D4451" t="s">
        <v>1536</v>
      </c>
      <c r="F4451">
        <v>4221879</v>
      </c>
      <c r="G4451">
        <v>1368001</v>
      </c>
      <c r="H4451">
        <v>688579</v>
      </c>
      <c r="I4451">
        <v>1437560</v>
      </c>
      <c r="P4451">
        <v>73</v>
      </c>
      <c r="Q4451" t="s">
        <v>9247</v>
      </c>
    </row>
    <row r="4452" spans="1:17" x14ac:dyDescent="0.3">
      <c r="A4452" t="s">
        <v>4729</v>
      </c>
      <c r="B4452" t="str">
        <f>"300655"</f>
        <v>300655</v>
      </c>
      <c r="C4452" t="s">
        <v>9248</v>
      </c>
      <c r="D4452" t="s">
        <v>2408</v>
      </c>
      <c r="F4452">
        <v>46366223</v>
      </c>
      <c r="G4452">
        <v>33847024</v>
      </c>
      <c r="H4452">
        <v>30977441</v>
      </c>
      <c r="I4452">
        <v>33300965</v>
      </c>
      <c r="P4452">
        <v>3076</v>
      </c>
      <c r="Q4452" t="s">
        <v>9249</v>
      </c>
    </row>
    <row r="4453" spans="1:17" x14ac:dyDescent="0.3">
      <c r="A4453" t="s">
        <v>4729</v>
      </c>
      <c r="B4453" t="str">
        <f>"300656"</f>
        <v>300656</v>
      </c>
      <c r="C4453" t="s">
        <v>9250</v>
      </c>
      <c r="D4453" t="s">
        <v>651</v>
      </c>
      <c r="F4453">
        <v>22664496</v>
      </c>
      <c r="G4453">
        <v>16316294</v>
      </c>
      <c r="H4453">
        <v>16795607</v>
      </c>
      <c r="I4453">
        <v>18518953</v>
      </c>
      <c r="P4453">
        <v>80</v>
      </c>
      <c r="Q4453" t="s">
        <v>9251</v>
      </c>
    </row>
    <row r="4454" spans="1:17" x14ac:dyDescent="0.3">
      <c r="A4454" t="s">
        <v>4729</v>
      </c>
      <c r="B4454" t="str">
        <f>"300657"</f>
        <v>300657</v>
      </c>
      <c r="C4454" t="s">
        <v>9252</v>
      </c>
      <c r="D4454" t="s">
        <v>425</v>
      </c>
      <c r="F4454">
        <v>151006890</v>
      </c>
      <c r="G4454">
        <v>125853116</v>
      </c>
      <c r="H4454">
        <v>96932492</v>
      </c>
      <c r="I4454">
        <v>83891945</v>
      </c>
      <c r="P4454">
        <v>257</v>
      </c>
      <c r="Q4454" t="s">
        <v>9253</v>
      </c>
    </row>
    <row r="4455" spans="1:17" x14ac:dyDescent="0.3">
      <c r="A4455" t="s">
        <v>4729</v>
      </c>
      <c r="B4455" t="str">
        <f>"300658"</f>
        <v>300658</v>
      </c>
      <c r="C4455" t="s">
        <v>9254</v>
      </c>
      <c r="D4455" t="s">
        <v>2751</v>
      </c>
      <c r="F4455">
        <v>39481436</v>
      </c>
      <c r="G4455">
        <v>50543067</v>
      </c>
      <c r="H4455">
        <v>36663657</v>
      </c>
      <c r="I4455">
        <v>41242300</v>
      </c>
      <c r="P4455">
        <v>232</v>
      </c>
      <c r="Q4455" t="s">
        <v>9255</v>
      </c>
    </row>
    <row r="4456" spans="1:17" x14ac:dyDescent="0.3">
      <c r="A4456" t="s">
        <v>4729</v>
      </c>
      <c r="B4456" t="str">
        <f>"300659"</f>
        <v>300659</v>
      </c>
      <c r="C4456" t="s">
        <v>9256</v>
      </c>
      <c r="D4456" t="s">
        <v>236</v>
      </c>
      <c r="F4456">
        <v>323127957</v>
      </c>
      <c r="G4456">
        <v>166405624</v>
      </c>
      <c r="H4456">
        <v>106597265</v>
      </c>
      <c r="I4456">
        <v>70412919</v>
      </c>
      <c r="P4456">
        <v>272</v>
      </c>
      <c r="Q4456" t="s">
        <v>9257</v>
      </c>
    </row>
    <row r="4457" spans="1:17" x14ac:dyDescent="0.3">
      <c r="A4457" t="s">
        <v>4729</v>
      </c>
      <c r="B4457" t="str">
        <f>"300660"</f>
        <v>300660</v>
      </c>
      <c r="C4457" t="s">
        <v>9258</v>
      </c>
      <c r="D4457" t="s">
        <v>1171</v>
      </c>
      <c r="F4457">
        <v>136845755</v>
      </c>
      <c r="G4457">
        <v>113626162</v>
      </c>
      <c r="H4457">
        <v>97590825</v>
      </c>
      <c r="I4457">
        <v>94718239</v>
      </c>
      <c r="P4457">
        <v>108</v>
      </c>
      <c r="Q4457" t="s">
        <v>9259</v>
      </c>
    </row>
    <row r="4458" spans="1:17" x14ac:dyDescent="0.3">
      <c r="A4458" t="s">
        <v>4729</v>
      </c>
      <c r="B4458" t="str">
        <f>"300661"</f>
        <v>300661</v>
      </c>
      <c r="C4458" t="s">
        <v>9260</v>
      </c>
      <c r="D4458" t="s">
        <v>401</v>
      </c>
      <c r="F4458">
        <v>378019856</v>
      </c>
      <c r="G4458">
        <v>207075304</v>
      </c>
      <c r="H4458">
        <v>131309449</v>
      </c>
      <c r="I4458">
        <v>92658638</v>
      </c>
      <c r="P4458">
        <v>1054</v>
      </c>
      <c r="Q4458" t="s">
        <v>9261</v>
      </c>
    </row>
    <row r="4459" spans="1:17" x14ac:dyDescent="0.3">
      <c r="A4459" t="s">
        <v>4729</v>
      </c>
      <c r="B4459" t="str">
        <f>"300662"</f>
        <v>300662</v>
      </c>
      <c r="C4459" t="s">
        <v>9262</v>
      </c>
      <c r="D4459" t="s">
        <v>9263</v>
      </c>
      <c r="F4459">
        <v>38755717</v>
      </c>
      <c r="G4459">
        <v>14534679</v>
      </c>
      <c r="H4459">
        <v>7589032</v>
      </c>
      <c r="I4459">
        <v>4980524</v>
      </c>
      <c r="P4459">
        <v>688</v>
      </c>
      <c r="Q4459" t="s">
        <v>9264</v>
      </c>
    </row>
    <row r="4460" spans="1:17" x14ac:dyDescent="0.3">
      <c r="A4460" t="s">
        <v>4729</v>
      </c>
      <c r="B4460" t="str">
        <f>"300663"</f>
        <v>300663</v>
      </c>
      <c r="C4460" t="s">
        <v>9265</v>
      </c>
      <c r="D4460" t="s">
        <v>945</v>
      </c>
      <c r="F4460">
        <v>118660422</v>
      </c>
      <c r="G4460">
        <v>116797502</v>
      </c>
      <c r="H4460">
        <v>113794155</v>
      </c>
      <c r="I4460">
        <v>94048598</v>
      </c>
      <c r="P4460">
        <v>261</v>
      </c>
      <c r="Q4460" t="s">
        <v>9266</v>
      </c>
    </row>
    <row r="4461" spans="1:17" x14ac:dyDescent="0.3">
      <c r="A4461" t="s">
        <v>4729</v>
      </c>
      <c r="B4461" t="str">
        <f>"300664"</f>
        <v>300664</v>
      </c>
      <c r="C4461" t="s">
        <v>9267</v>
      </c>
      <c r="D4461" t="s">
        <v>33</v>
      </c>
      <c r="F4461">
        <v>31264451</v>
      </c>
      <c r="G4461">
        <v>37688683</v>
      </c>
      <c r="H4461">
        <v>24055483</v>
      </c>
      <c r="I4461">
        <v>13367768</v>
      </c>
      <c r="P4461">
        <v>118</v>
      </c>
      <c r="Q4461" t="s">
        <v>9268</v>
      </c>
    </row>
    <row r="4462" spans="1:17" x14ac:dyDescent="0.3">
      <c r="A4462" t="s">
        <v>4729</v>
      </c>
      <c r="B4462" t="str">
        <f>"300665"</f>
        <v>300665</v>
      </c>
      <c r="C4462" t="s">
        <v>9269</v>
      </c>
      <c r="D4462" t="s">
        <v>2585</v>
      </c>
      <c r="F4462">
        <v>18345038</v>
      </c>
      <c r="G4462">
        <v>17794784</v>
      </c>
      <c r="H4462">
        <v>15110096</v>
      </c>
      <c r="I4462">
        <v>13936726</v>
      </c>
      <c r="P4462">
        <v>109</v>
      </c>
      <c r="Q4462" t="s">
        <v>9270</v>
      </c>
    </row>
    <row r="4463" spans="1:17" x14ac:dyDescent="0.3">
      <c r="A4463" t="s">
        <v>4729</v>
      </c>
      <c r="B4463" t="str">
        <f>"300666"</f>
        <v>300666</v>
      </c>
      <c r="C4463" t="s">
        <v>9271</v>
      </c>
      <c r="D4463" t="s">
        <v>475</v>
      </c>
      <c r="F4463">
        <v>98261245</v>
      </c>
      <c r="G4463">
        <v>73810952</v>
      </c>
      <c r="H4463">
        <v>59742361</v>
      </c>
      <c r="I4463">
        <v>46575180</v>
      </c>
      <c r="P4463">
        <v>519</v>
      </c>
      <c r="Q4463" t="s">
        <v>9272</v>
      </c>
    </row>
    <row r="4464" spans="1:17" x14ac:dyDescent="0.3">
      <c r="A4464" t="s">
        <v>4729</v>
      </c>
      <c r="B4464" t="str">
        <f>"300667"</f>
        <v>300667</v>
      </c>
      <c r="C4464" t="s">
        <v>9273</v>
      </c>
      <c r="D4464" t="s">
        <v>2566</v>
      </c>
      <c r="F4464">
        <v>74353340</v>
      </c>
      <c r="G4464">
        <v>70335288</v>
      </c>
      <c r="H4464">
        <v>30102762</v>
      </c>
      <c r="I4464">
        <v>22533863</v>
      </c>
      <c r="P4464">
        <v>144</v>
      </c>
      <c r="Q4464" t="s">
        <v>9274</v>
      </c>
    </row>
    <row r="4465" spans="1:17" x14ac:dyDescent="0.3">
      <c r="A4465" t="s">
        <v>4729</v>
      </c>
      <c r="B4465" t="str">
        <f>"300668"</f>
        <v>300668</v>
      </c>
      <c r="C4465" t="s">
        <v>9275</v>
      </c>
      <c r="D4465" t="s">
        <v>1272</v>
      </c>
      <c r="F4465">
        <v>14996721</v>
      </c>
      <c r="G4465">
        <v>16913451</v>
      </c>
      <c r="H4465">
        <v>19599931</v>
      </c>
      <c r="I4465">
        <v>18003235</v>
      </c>
      <c r="P4465">
        <v>207</v>
      </c>
      <c r="Q4465" t="s">
        <v>9276</v>
      </c>
    </row>
    <row r="4466" spans="1:17" x14ac:dyDescent="0.3">
      <c r="A4466" t="s">
        <v>4729</v>
      </c>
      <c r="B4466" t="str">
        <f>"300669"</f>
        <v>300669</v>
      </c>
      <c r="C4466" t="s">
        <v>9277</v>
      </c>
      <c r="D4466" t="s">
        <v>1691</v>
      </c>
      <c r="F4466">
        <v>19686152</v>
      </c>
      <c r="G4466">
        <v>16639512</v>
      </c>
      <c r="H4466">
        <v>16741503</v>
      </c>
      <c r="I4466">
        <v>14921614</v>
      </c>
      <c r="J4466">
        <v>13678004</v>
      </c>
      <c r="P4466">
        <v>102</v>
      </c>
      <c r="Q4466" t="s">
        <v>9278</v>
      </c>
    </row>
    <row r="4467" spans="1:17" x14ac:dyDescent="0.3">
      <c r="A4467" t="s">
        <v>4729</v>
      </c>
      <c r="B4467" t="str">
        <f>"300670"</f>
        <v>300670</v>
      </c>
      <c r="C4467" t="s">
        <v>9279</v>
      </c>
      <c r="D4467" t="s">
        <v>657</v>
      </c>
      <c r="F4467">
        <v>25411091</v>
      </c>
      <c r="G4467">
        <v>24889515</v>
      </c>
      <c r="H4467">
        <v>19167280</v>
      </c>
      <c r="I4467">
        <v>13783313</v>
      </c>
      <c r="P4467">
        <v>67</v>
      </c>
      <c r="Q4467" t="s">
        <v>9280</v>
      </c>
    </row>
    <row r="4468" spans="1:17" x14ac:dyDescent="0.3">
      <c r="A4468" t="s">
        <v>4729</v>
      </c>
      <c r="B4468" t="str">
        <f>"300671"</f>
        <v>300671</v>
      </c>
      <c r="C4468" t="s">
        <v>9281</v>
      </c>
      <c r="D4468" t="s">
        <v>401</v>
      </c>
      <c r="F4468">
        <v>166611071</v>
      </c>
      <c r="G4468">
        <v>61955430</v>
      </c>
      <c r="H4468">
        <v>46097349</v>
      </c>
      <c r="I4468">
        <v>44988487</v>
      </c>
      <c r="P4468">
        <v>303</v>
      </c>
      <c r="Q4468" t="s">
        <v>9282</v>
      </c>
    </row>
    <row r="4469" spans="1:17" x14ac:dyDescent="0.3">
      <c r="A4469" t="s">
        <v>4729</v>
      </c>
      <c r="B4469" t="str">
        <f>"300672"</f>
        <v>300672</v>
      </c>
      <c r="C4469" t="s">
        <v>9283</v>
      </c>
      <c r="D4469" t="s">
        <v>461</v>
      </c>
      <c r="F4469">
        <v>303082835</v>
      </c>
      <c r="G4469">
        <v>173829722</v>
      </c>
      <c r="H4469">
        <v>118042342</v>
      </c>
      <c r="I4469">
        <v>132238078</v>
      </c>
      <c r="P4469">
        <v>305</v>
      </c>
      <c r="Q4469" t="s">
        <v>9284</v>
      </c>
    </row>
    <row r="4470" spans="1:17" x14ac:dyDescent="0.3">
      <c r="A4470" t="s">
        <v>4729</v>
      </c>
      <c r="B4470" t="str">
        <f>"300673"</f>
        <v>300673</v>
      </c>
      <c r="C4470" t="s">
        <v>9285</v>
      </c>
      <c r="D4470" t="s">
        <v>7554</v>
      </c>
      <c r="F4470">
        <v>22655701</v>
      </c>
      <c r="G4470">
        <v>26173112</v>
      </c>
      <c r="H4470">
        <v>25920769</v>
      </c>
      <c r="I4470">
        <v>25806529</v>
      </c>
      <c r="P4470">
        <v>512</v>
      </c>
      <c r="Q4470" t="s">
        <v>9286</v>
      </c>
    </row>
    <row r="4471" spans="1:17" x14ac:dyDescent="0.3">
      <c r="A4471" t="s">
        <v>4729</v>
      </c>
      <c r="B4471" t="str">
        <f>"300674"</f>
        <v>300674</v>
      </c>
      <c r="C4471" t="s">
        <v>9287</v>
      </c>
      <c r="D4471" t="s">
        <v>316</v>
      </c>
      <c r="F4471">
        <v>434863600</v>
      </c>
      <c r="G4471">
        <v>313492525</v>
      </c>
      <c r="H4471">
        <v>274504660</v>
      </c>
      <c r="I4471">
        <v>184132951</v>
      </c>
      <c r="J4471">
        <v>134956448</v>
      </c>
      <c r="K4471">
        <v>135762633</v>
      </c>
      <c r="L4471">
        <v>102632397</v>
      </c>
      <c r="P4471">
        <v>348</v>
      </c>
      <c r="Q4471" t="s">
        <v>9288</v>
      </c>
    </row>
    <row r="4472" spans="1:17" x14ac:dyDescent="0.3">
      <c r="A4472" t="s">
        <v>4729</v>
      </c>
      <c r="B4472" t="str">
        <f>"300675"</f>
        <v>300675</v>
      </c>
      <c r="C4472" t="s">
        <v>9289</v>
      </c>
      <c r="D4472" t="s">
        <v>1272</v>
      </c>
      <c r="F4472">
        <v>47152663</v>
      </c>
      <c r="G4472">
        <v>35648650</v>
      </c>
      <c r="H4472">
        <v>37387758</v>
      </c>
      <c r="I4472">
        <v>13888223</v>
      </c>
      <c r="P4472">
        <v>85</v>
      </c>
      <c r="Q4472" t="s">
        <v>9290</v>
      </c>
    </row>
    <row r="4473" spans="1:17" x14ac:dyDescent="0.3">
      <c r="A4473" t="s">
        <v>4729</v>
      </c>
      <c r="B4473" t="str">
        <f>"300676"</f>
        <v>300676</v>
      </c>
      <c r="C4473" t="s">
        <v>9291</v>
      </c>
      <c r="D4473" t="s">
        <v>1305</v>
      </c>
      <c r="F4473">
        <v>487147968</v>
      </c>
      <c r="G4473">
        <v>619642359</v>
      </c>
      <c r="H4473">
        <v>317315329</v>
      </c>
      <c r="I4473">
        <v>260920378</v>
      </c>
      <c r="P4473">
        <v>1481</v>
      </c>
      <c r="Q4473" t="s">
        <v>9292</v>
      </c>
    </row>
    <row r="4474" spans="1:17" x14ac:dyDescent="0.3">
      <c r="A4474" t="s">
        <v>4729</v>
      </c>
      <c r="B4474" t="str">
        <f>"300677"</f>
        <v>300677</v>
      </c>
      <c r="C4474" t="s">
        <v>9293</v>
      </c>
      <c r="D4474" t="s">
        <v>1077</v>
      </c>
      <c r="F4474">
        <v>365224909</v>
      </c>
      <c r="G4474">
        <v>293301423</v>
      </c>
      <c r="H4474">
        <v>67595359</v>
      </c>
      <c r="I4474">
        <v>62558504</v>
      </c>
      <c r="P4474">
        <v>1821</v>
      </c>
      <c r="Q4474" t="s">
        <v>9294</v>
      </c>
    </row>
    <row r="4475" spans="1:17" x14ac:dyDescent="0.3">
      <c r="A4475" t="s">
        <v>4729</v>
      </c>
      <c r="B4475" t="str">
        <f>"300678"</f>
        <v>300678</v>
      </c>
      <c r="C4475" t="s">
        <v>9295</v>
      </c>
      <c r="D4475" t="s">
        <v>316</v>
      </c>
      <c r="F4475">
        <v>23895405</v>
      </c>
      <c r="G4475">
        <v>24020355</v>
      </c>
      <c r="H4475">
        <v>14563033</v>
      </c>
      <c r="I4475">
        <v>17515832</v>
      </c>
      <c r="P4475">
        <v>105</v>
      </c>
      <c r="Q4475" t="s">
        <v>9296</v>
      </c>
    </row>
    <row r="4476" spans="1:17" x14ac:dyDescent="0.3">
      <c r="A4476" t="s">
        <v>4729</v>
      </c>
      <c r="B4476" t="str">
        <f>"300679"</f>
        <v>300679</v>
      </c>
      <c r="C4476" t="s">
        <v>9297</v>
      </c>
      <c r="D4476" t="s">
        <v>313</v>
      </c>
      <c r="F4476">
        <v>284951799</v>
      </c>
      <c r="G4476">
        <v>274199377</v>
      </c>
      <c r="H4476">
        <v>204218362</v>
      </c>
      <c r="I4476">
        <v>133048199</v>
      </c>
      <c r="P4476">
        <v>336</v>
      </c>
      <c r="Q4476" t="s">
        <v>9298</v>
      </c>
    </row>
    <row r="4477" spans="1:17" x14ac:dyDescent="0.3">
      <c r="A4477" t="s">
        <v>4729</v>
      </c>
      <c r="B4477" t="str">
        <f>"300680"</f>
        <v>300680</v>
      </c>
      <c r="C4477" t="s">
        <v>9299</v>
      </c>
      <c r="D4477" t="s">
        <v>348</v>
      </c>
      <c r="F4477">
        <v>38895912</v>
      </c>
      <c r="G4477">
        <v>29963884</v>
      </c>
      <c r="H4477">
        <v>23174635</v>
      </c>
      <c r="I4477">
        <v>15886957</v>
      </c>
      <c r="P4477">
        <v>114</v>
      </c>
      <c r="Q4477" t="s">
        <v>9300</v>
      </c>
    </row>
    <row r="4478" spans="1:17" x14ac:dyDescent="0.3">
      <c r="A4478" t="s">
        <v>4729</v>
      </c>
      <c r="B4478" t="str">
        <f>"300681"</f>
        <v>300681</v>
      </c>
      <c r="C4478" t="s">
        <v>9301</v>
      </c>
      <c r="D4478" t="s">
        <v>1415</v>
      </c>
      <c r="F4478">
        <v>91899519</v>
      </c>
      <c r="G4478">
        <v>42350533</v>
      </c>
      <c r="H4478">
        <v>52468141</v>
      </c>
      <c r="I4478">
        <v>46016246</v>
      </c>
      <c r="P4478">
        <v>89</v>
      </c>
      <c r="Q4478" t="s">
        <v>9302</v>
      </c>
    </row>
    <row r="4479" spans="1:17" x14ac:dyDescent="0.3">
      <c r="A4479" t="s">
        <v>4729</v>
      </c>
      <c r="B4479" t="str">
        <f>"300682"</f>
        <v>300682</v>
      </c>
      <c r="C4479" t="s">
        <v>9303</v>
      </c>
      <c r="D4479" t="s">
        <v>316</v>
      </c>
      <c r="F4479">
        <v>572294155</v>
      </c>
      <c r="G4479">
        <v>363416581</v>
      </c>
      <c r="H4479">
        <v>309087428</v>
      </c>
      <c r="I4479">
        <v>124268188</v>
      </c>
      <c r="P4479">
        <v>256</v>
      </c>
      <c r="Q4479" t="s">
        <v>9304</v>
      </c>
    </row>
    <row r="4480" spans="1:17" x14ac:dyDescent="0.3">
      <c r="A4480" t="s">
        <v>4729</v>
      </c>
      <c r="B4480" t="str">
        <f>"300683"</f>
        <v>300683</v>
      </c>
      <c r="C4480" t="s">
        <v>9305</v>
      </c>
      <c r="D4480" t="s">
        <v>1379</v>
      </c>
      <c r="F4480">
        <v>103166247</v>
      </c>
      <c r="G4480">
        <v>86121440</v>
      </c>
      <c r="H4480">
        <v>62649773</v>
      </c>
      <c r="I4480">
        <v>29857004</v>
      </c>
      <c r="P4480">
        <v>123</v>
      </c>
      <c r="Q4480" t="s">
        <v>9306</v>
      </c>
    </row>
    <row r="4481" spans="1:17" x14ac:dyDescent="0.3">
      <c r="A4481" t="s">
        <v>4729</v>
      </c>
      <c r="B4481" t="str">
        <f>"300684"</f>
        <v>300684</v>
      </c>
      <c r="C4481" t="s">
        <v>9307</v>
      </c>
      <c r="D4481" t="s">
        <v>313</v>
      </c>
      <c r="F4481">
        <v>80387477</v>
      </c>
      <c r="G4481">
        <v>73331412</v>
      </c>
      <c r="H4481">
        <v>45027575</v>
      </c>
      <c r="I4481">
        <v>32652622</v>
      </c>
      <c r="P4481">
        <v>348</v>
      </c>
      <c r="Q4481" t="s">
        <v>9308</v>
      </c>
    </row>
    <row r="4482" spans="1:17" x14ac:dyDescent="0.3">
      <c r="A4482" t="s">
        <v>4729</v>
      </c>
      <c r="B4482" t="str">
        <f>"300685"</f>
        <v>300685</v>
      </c>
      <c r="C4482" t="s">
        <v>9309</v>
      </c>
      <c r="D4482" t="s">
        <v>1305</v>
      </c>
      <c r="F4482">
        <v>156118520</v>
      </c>
      <c r="G4482">
        <v>115105224</v>
      </c>
      <c r="H4482">
        <v>93754196</v>
      </c>
      <c r="I4482">
        <v>78336288</v>
      </c>
      <c r="P4482">
        <v>974</v>
      </c>
      <c r="Q4482" t="s">
        <v>9310</v>
      </c>
    </row>
    <row r="4483" spans="1:17" x14ac:dyDescent="0.3">
      <c r="A4483" t="s">
        <v>4729</v>
      </c>
      <c r="B4483" t="str">
        <f>"300686"</f>
        <v>300686</v>
      </c>
      <c r="C4483" t="s">
        <v>9311</v>
      </c>
      <c r="D4483" t="s">
        <v>313</v>
      </c>
      <c r="F4483">
        <v>115304875</v>
      </c>
      <c r="G4483">
        <v>114962355</v>
      </c>
      <c r="H4483">
        <v>86328539</v>
      </c>
      <c r="I4483">
        <v>26793966</v>
      </c>
      <c r="P4483">
        <v>192</v>
      </c>
      <c r="Q4483" t="s">
        <v>9312</v>
      </c>
    </row>
    <row r="4484" spans="1:17" x14ac:dyDescent="0.3">
      <c r="A4484" t="s">
        <v>4729</v>
      </c>
      <c r="B4484" t="str">
        <f>"300687"</f>
        <v>300687</v>
      </c>
      <c r="C4484" t="s">
        <v>9313</v>
      </c>
      <c r="D4484" t="s">
        <v>316</v>
      </c>
      <c r="F4484">
        <v>198669973</v>
      </c>
      <c r="G4484">
        <v>133221345</v>
      </c>
      <c r="H4484">
        <v>89305198</v>
      </c>
      <c r="I4484">
        <v>71360608</v>
      </c>
      <c r="P4484">
        <v>266</v>
      </c>
      <c r="Q4484" t="s">
        <v>9314</v>
      </c>
    </row>
    <row r="4485" spans="1:17" x14ac:dyDescent="0.3">
      <c r="A4485" t="s">
        <v>4729</v>
      </c>
      <c r="B4485" t="str">
        <f>"300688"</f>
        <v>300688</v>
      </c>
      <c r="C4485" t="s">
        <v>9315</v>
      </c>
      <c r="D4485" t="s">
        <v>1336</v>
      </c>
      <c r="F4485">
        <v>11632588</v>
      </c>
      <c r="G4485">
        <v>7878779</v>
      </c>
      <c r="H4485">
        <v>8902214</v>
      </c>
      <c r="I4485">
        <v>8599135</v>
      </c>
      <c r="P4485">
        <v>83</v>
      </c>
      <c r="Q4485" t="s">
        <v>9316</v>
      </c>
    </row>
    <row r="4486" spans="1:17" x14ac:dyDescent="0.3">
      <c r="A4486" t="s">
        <v>4729</v>
      </c>
      <c r="B4486" t="str">
        <f>"300689"</f>
        <v>300689</v>
      </c>
      <c r="C4486" t="s">
        <v>9317</v>
      </c>
      <c r="D4486" t="s">
        <v>786</v>
      </c>
      <c r="F4486">
        <v>17482414</v>
      </c>
      <c r="G4486">
        <v>15274109</v>
      </c>
      <c r="H4486">
        <v>14593861</v>
      </c>
      <c r="I4486">
        <v>13889378</v>
      </c>
      <c r="P4486">
        <v>76</v>
      </c>
      <c r="Q4486" t="s">
        <v>9318</v>
      </c>
    </row>
    <row r="4487" spans="1:17" x14ac:dyDescent="0.3">
      <c r="A4487" t="s">
        <v>4729</v>
      </c>
      <c r="B4487" t="str">
        <f>"300690"</f>
        <v>300690</v>
      </c>
      <c r="C4487" t="s">
        <v>9319</v>
      </c>
      <c r="D4487" t="s">
        <v>950</v>
      </c>
      <c r="F4487">
        <v>33195181</v>
      </c>
      <c r="G4487">
        <v>57981611</v>
      </c>
      <c r="H4487">
        <v>30761421</v>
      </c>
      <c r="I4487">
        <v>16172361</v>
      </c>
      <c r="J4487">
        <v>4978486</v>
      </c>
      <c r="P4487">
        <v>214</v>
      </c>
      <c r="Q4487" t="s">
        <v>9320</v>
      </c>
    </row>
    <row r="4488" spans="1:17" x14ac:dyDescent="0.3">
      <c r="A4488" t="s">
        <v>4729</v>
      </c>
      <c r="B4488" t="str">
        <f>"300691"</f>
        <v>300691</v>
      </c>
      <c r="C4488" t="s">
        <v>9321</v>
      </c>
      <c r="D4488" t="s">
        <v>2980</v>
      </c>
      <c r="F4488">
        <v>149707135</v>
      </c>
      <c r="G4488">
        <v>118243841</v>
      </c>
      <c r="H4488">
        <v>109895856</v>
      </c>
      <c r="I4488">
        <v>96148707</v>
      </c>
      <c r="P4488">
        <v>186</v>
      </c>
      <c r="Q4488" t="s">
        <v>9322</v>
      </c>
    </row>
    <row r="4489" spans="1:17" x14ac:dyDescent="0.3">
      <c r="A4489" t="s">
        <v>4729</v>
      </c>
      <c r="B4489" t="str">
        <f>"300692"</f>
        <v>300692</v>
      </c>
      <c r="C4489" t="s">
        <v>9323</v>
      </c>
      <c r="D4489" t="s">
        <v>33</v>
      </c>
      <c r="F4489">
        <v>27214579</v>
      </c>
      <c r="G4489">
        <v>24307807</v>
      </c>
      <c r="H4489">
        <v>21466888</v>
      </c>
      <c r="I4489">
        <v>12832774</v>
      </c>
      <c r="P4489">
        <v>162</v>
      </c>
      <c r="Q4489" t="s">
        <v>9324</v>
      </c>
    </row>
    <row r="4490" spans="1:17" x14ac:dyDescent="0.3">
      <c r="A4490" t="s">
        <v>4729</v>
      </c>
      <c r="B4490" t="str">
        <f>"300693"</f>
        <v>300693</v>
      </c>
      <c r="C4490" t="s">
        <v>9325</v>
      </c>
      <c r="D4490" t="s">
        <v>880</v>
      </c>
      <c r="F4490">
        <v>113476854</v>
      </c>
      <c r="G4490">
        <v>80385327</v>
      </c>
      <c r="H4490">
        <v>63735492</v>
      </c>
      <c r="I4490">
        <v>48303940</v>
      </c>
      <c r="P4490">
        <v>214</v>
      </c>
      <c r="Q4490" t="s">
        <v>9326</v>
      </c>
    </row>
    <row r="4491" spans="1:17" x14ac:dyDescent="0.3">
      <c r="A4491" t="s">
        <v>4729</v>
      </c>
      <c r="B4491" t="str">
        <f>"300694"</f>
        <v>300694</v>
      </c>
      <c r="C4491" t="s">
        <v>9327</v>
      </c>
      <c r="D4491" t="s">
        <v>348</v>
      </c>
      <c r="F4491">
        <v>61129113</v>
      </c>
      <c r="G4491">
        <v>52003286</v>
      </c>
      <c r="H4491">
        <v>54254459</v>
      </c>
      <c r="I4491">
        <v>44762347</v>
      </c>
      <c r="J4491">
        <v>36433433</v>
      </c>
      <c r="K4491">
        <v>23895861</v>
      </c>
      <c r="L4491">
        <v>19144723</v>
      </c>
      <c r="P4491">
        <v>74</v>
      </c>
      <c r="Q4491" t="s">
        <v>9328</v>
      </c>
    </row>
    <row r="4492" spans="1:17" x14ac:dyDescent="0.3">
      <c r="A4492" t="s">
        <v>4729</v>
      </c>
      <c r="B4492" t="str">
        <f>"300695"</f>
        <v>300695</v>
      </c>
      <c r="C4492" t="s">
        <v>9329</v>
      </c>
      <c r="D4492" t="s">
        <v>422</v>
      </c>
      <c r="F4492">
        <v>41399355</v>
      </c>
      <c r="G4492">
        <v>35290332</v>
      </c>
      <c r="H4492">
        <v>34351939</v>
      </c>
      <c r="I4492">
        <v>31682455</v>
      </c>
      <c r="P4492">
        <v>125</v>
      </c>
      <c r="Q4492" t="s">
        <v>9330</v>
      </c>
    </row>
    <row r="4493" spans="1:17" x14ac:dyDescent="0.3">
      <c r="A4493" t="s">
        <v>4729</v>
      </c>
      <c r="B4493" t="str">
        <f>"300696"</f>
        <v>300696</v>
      </c>
      <c r="C4493" t="s">
        <v>9331</v>
      </c>
      <c r="D4493" t="s">
        <v>98</v>
      </c>
      <c r="F4493">
        <v>16903696</v>
      </c>
      <c r="G4493">
        <v>10976846</v>
      </c>
      <c r="H4493">
        <v>12277367</v>
      </c>
      <c r="I4493">
        <v>7219781</v>
      </c>
      <c r="P4493">
        <v>222</v>
      </c>
      <c r="Q4493" t="s">
        <v>9332</v>
      </c>
    </row>
    <row r="4494" spans="1:17" x14ac:dyDescent="0.3">
      <c r="A4494" t="s">
        <v>4729</v>
      </c>
      <c r="B4494" t="str">
        <f>"300697"</f>
        <v>300697</v>
      </c>
      <c r="C4494" t="s">
        <v>9333</v>
      </c>
      <c r="D4494" t="s">
        <v>263</v>
      </c>
      <c r="F4494">
        <v>31187356</v>
      </c>
      <c r="G4494">
        <v>27294348</v>
      </c>
      <c r="H4494">
        <v>35578311</v>
      </c>
      <c r="I4494">
        <v>18815940</v>
      </c>
      <c r="P4494">
        <v>77</v>
      </c>
      <c r="Q4494" t="s">
        <v>9334</v>
      </c>
    </row>
    <row r="4495" spans="1:17" x14ac:dyDescent="0.3">
      <c r="A4495" t="s">
        <v>4729</v>
      </c>
      <c r="B4495" t="str">
        <f>"300698"</f>
        <v>300698</v>
      </c>
      <c r="C4495" t="s">
        <v>9335</v>
      </c>
      <c r="D4495" t="s">
        <v>1019</v>
      </c>
      <c r="F4495">
        <v>34389196</v>
      </c>
      <c r="G4495">
        <v>25633454</v>
      </c>
      <c r="H4495">
        <v>16636397</v>
      </c>
      <c r="I4495">
        <v>17227475</v>
      </c>
      <c r="P4495">
        <v>121</v>
      </c>
      <c r="Q4495" t="s">
        <v>9336</v>
      </c>
    </row>
    <row r="4496" spans="1:17" x14ac:dyDescent="0.3">
      <c r="A4496" t="s">
        <v>4729</v>
      </c>
      <c r="B4496" t="str">
        <f>"300699"</f>
        <v>300699</v>
      </c>
      <c r="C4496" t="s">
        <v>9337</v>
      </c>
      <c r="D4496" t="s">
        <v>98</v>
      </c>
      <c r="F4496">
        <v>232393918</v>
      </c>
      <c r="G4496">
        <v>274206567</v>
      </c>
      <c r="H4496">
        <v>190067766</v>
      </c>
      <c r="I4496">
        <v>194139144</v>
      </c>
      <c r="P4496">
        <v>914</v>
      </c>
      <c r="Q4496" t="s">
        <v>9338</v>
      </c>
    </row>
    <row r="4497" spans="1:17" x14ac:dyDescent="0.3">
      <c r="A4497" t="s">
        <v>4729</v>
      </c>
      <c r="B4497" t="str">
        <f>"300700"</f>
        <v>300700</v>
      </c>
      <c r="C4497" t="s">
        <v>9339</v>
      </c>
      <c r="D4497" t="s">
        <v>404</v>
      </c>
      <c r="F4497">
        <v>17310046</v>
      </c>
      <c r="G4497">
        <v>15449883</v>
      </c>
      <c r="H4497">
        <v>17378340</v>
      </c>
      <c r="I4497">
        <v>15469254</v>
      </c>
      <c r="P4497">
        <v>140</v>
      </c>
      <c r="Q4497" t="s">
        <v>9340</v>
      </c>
    </row>
    <row r="4498" spans="1:17" x14ac:dyDescent="0.3">
      <c r="A4498" t="s">
        <v>4729</v>
      </c>
      <c r="B4498" t="str">
        <f>"300701"</f>
        <v>300701</v>
      </c>
      <c r="C4498" t="s">
        <v>9341</v>
      </c>
      <c r="D4498" t="s">
        <v>164</v>
      </c>
      <c r="F4498">
        <v>13098284</v>
      </c>
      <c r="G4498">
        <v>12078346</v>
      </c>
      <c r="H4498">
        <v>8269311</v>
      </c>
      <c r="I4498">
        <v>8166249</v>
      </c>
      <c r="P4498">
        <v>746</v>
      </c>
      <c r="Q4498" t="s">
        <v>9342</v>
      </c>
    </row>
    <row r="4499" spans="1:17" x14ac:dyDescent="0.3">
      <c r="A4499" t="s">
        <v>4729</v>
      </c>
      <c r="B4499" t="str">
        <f>"300702"</f>
        <v>300702</v>
      </c>
      <c r="C4499" t="s">
        <v>9343</v>
      </c>
      <c r="D4499" t="s">
        <v>496</v>
      </c>
      <c r="F4499">
        <v>227400162</v>
      </c>
      <c r="G4499">
        <v>179065204</v>
      </c>
      <c r="H4499">
        <v>112254684</v>
      </c>
      <c r="I4499">
        <v>79459802</v>
      </c>
      <c r="P4499">
        <v>411</v>
      </c>
      <c r="Q4499" t="s">
        <v>9344</v>
      </c>
    </row>
    <row r="4500" spans="1:17" x14ac:dyDescent="0.3">
      <c r="A4500" t="s">
        <v>4729</v>
      </c>
      <c r="B4500" t="str">
        <f>"300703"</f>
        <v>300703</v>
      </c>
      <c r="C4500" t="s">
        <v>9345</v>
      </c>
      <c r="D4500" t="s">
        <v>3410</v>
      </c>
      <c r="F4500">
        <v>72516118</v>
      </c>
      <c r="G4500">
        <v>66274555</v>
      </c>
      <c r="H4500">
        <v>58455934</v>
      </c>
      <c r="I4500">
        <v>54189584</v>
      </c>
      <c r="P4500">
        <v>109</v>
      </c>
      <c r="Q4500" t="s">
        <v>9346</v>
      </c>
    </row>
    <row r="4501" spans="1:17" x14ac:dyDescent="0.3">
      <c r="A4501" t="s">
        <v>4729</v>
      </c>
      <c r="B4501" t="str">
        <f>"300705"</f>
        <v>300705</v>
      </c>
      <c r="C4501" t="s">
        <v>9347</v>
      </c>
      <c r="D4501" t="s">
        <v>143</v>
      </c>
      <c r="F4501">
        <v>146262501</v>
      </c>
      <c r="G4501">
        <v>81677477</v>
      </c>
      <c r="H4501">
        <v>109800156</v>
      </c>
      <c r="I4501">
        <v>57494757</v>
      </c>
      <c r="P4501">
        <v>167</v>
      </c>
      <c r="Q4501" t="s">
        <v>9348</v>
      </c>
    </row>
    <row r="4502" spans="1:17" x14ac:dyDescent="0.3">
      <c r="A4502" t="s">
        <v>4729</v>
      </c>
      <c r="B4502" t="str">
        <f>"300706"</f>
        <v>300706</v>
      </c>
      <c r="C4502" t="s">
        <v>9349</v>
      </c>
      <c r="D4502" t="s">
        <v>475</v>
      </c>
      <c r="F4502">
        <v>24057775</v>
      </c>
      <c r="G4502">
        <v>19081417</v>
      </c>
      <c r="H4502">
        <v>15120686</v>
      </c>
      <c r="I4502">
        <v>10865891</v>
      </c>
      <c r="P4502">
        <v>178</v>
      </c>
      <c r="Q4502" t="s">
        <v>9350</v>
      </c>
    </row>
    <row r="4503" spans="1:17" x14ac:dyDescent="0.3">
      <c r="A4503" t="s">
        <v>4729</v>
      </c>
      <c r="B4503" t="str">
        <f>"300707"</f>
        <v>300707</v>
      </c>
      <c r="C4503" t="s">
        <v>9351</v>
      </c>
      <c r="D4503" t="s">
        <v>985</v>
      </c>
      <c r="F4503">
        <v>31872440</v>
      </c>
      <c r="G4503">
        <v>20387978</v>
      </c>
      <c r="H4503">
        <v>19990828</v>
      </c>
      <c r="I4503">
        <v>19428362</v>
      </c>
      <c r="P4503">
        <v>140</v>
      </c>
      <c r="Q4503" t="s">
        <v>9352</v>
      </c>
    </row>
    <row r="4504" spans="1:17" x14ac:dyDescent="0.3">
      <c r="A4504" t="s">
        <v>4729</v>
      </c>
      <c r="B4504" t="str">
        <f>"300708"</f>
        <v>300708</v>
      </c>
      <c r="C4504" t="s">
        <v>9353</v>
      </c>
      <c r="D4504" t="s">
        <v>803</v>
      </c>
      <c r="F4504">
        <v>99380464</v>
      </c>
      <c r="G4504">
        <v>61329208</v>
      </c>
      <c r="H4504">
        <v>45651026</v>
      </c>
      <c r="I4504">
        <v>46717204</v>
      </c>
      <c r="P4504">
        <v>164</v>
      </c>
      <c r="Q4504" t="s">
        <v>9354</v>
      </c>
    </row>
    <row r="4505" spans="1:17" x14ac:dyDescent="0.3">
      <c r="A4505" t="s">
        <v>4729</v>
      </c>
      <c r="B4505" t="str">
        <f>"300709"</f>
        <v>300709</v>
      </c>
      <c r="C4505" t="s">
        <v>9355</v>
      </c>
      <c r="D4505" t="s">
        <v>313</v>
      </c>
      <c r="F4505">
        <v>175834300</v>
      </c>
      <c r="G4505">
        <v>149224423</v>
      </c>
      <c r="H4505">
        <v>137170099</v>
      </c>
      <c r="I4505">
        <v>94255726</v>
      </c>
      <c r="P4505">
        <v>220</v>
      </c>
      <c r="Q4505" t="s">
        <v>9356</v>
      </c>
    </row>
    <row r="4506" spans="1:17" x14ac:dyDescent="0.3">
      <c r="A4506" t="s">
        <v>4729</v>
      </c>
      <c r="B4506" t="str">
        <f>"300710"</f>
        <v>300710</v>
      </c>
      <c r="C4506" t="s">
        <v>9357</v>
      </c>
      <c r="D4506" t="s">
        <v>1019</v>
      </c>
      <c r="F4506">
        <v>39449241</v>
      </c>
      <c r="G4506">
        <v>50933728</v>
      </c>
      <c r="H4506">
        <v>29525206</v>
      </c>
      <c r="I4506">
        <v>17371501</v>
      </c>
      <c r="P4506">
        <v>107</v>
      </c>
      <c r="Q4506" t="s">
        <v>9358</v>
      </c>
    </row>
    <row r="4507" spans="1:17" x14ac:dyDescent="0.3">
      <c r="A4507" t="s">
        <v>4729</v>
      </c>
      <c r="B4507" t="str">
        <f>"300711"</f>
        <v>300711</v>
      </c>
      <c r="C4507" t="s">
        <v>9359</v>
      </c>
      <c r="D4507" t="s">
        <v>595</v>
      </c>
      <c r="F4507">
        <v>59425864</v>
      </c>
      <c r="G4507">
        <v>45383935</v>
      </c>
      <c r="H4507">
        <v>42849431</v>
      </c>
      <c r="I4507">
        <v>36242916</v>
      </c>
      <c r="P4507">
        <v>130</v>
      </c>
      <c r="Q4507" t="s">
        <v>9360</v>
      </c>
    </row>
    <row r="4508" spans="1:17" x14ac:dyDescent="0.3">
      <c r="A4508" t="s">
        <v>4729</v>
      </c>
      <c r="B4508" t="str">
        <f>"300712"</f>
        <v>300712</v>
      </c>
      <c r="C4508" t="s">
        <v>9361</v>
      </c>
      <c r="D4508" t="s">
        <v>1992</v>
      </c>
      <c r="F4508">
        <v>55518296</v>
      </c>
      <c r="G4508">
        <v>38466243</v>
      </c>
      <c r="H4508">
        <v>30226859</v>
      </c>
      <c r="I4508">
        <v>19239364</v>
      </c>
      <c r="P4508">
        <v>125</v>
      </c>
      <c r="Q4508" t="s">
        <v>9362</v>
      </c>
    </row>
    <row r="4509" spans="1:17" x14ac:dyDescent="0.3">
      <c r="A4509" t="s">
        <v>4729</v>
      </c>
      <c r="B4509" t="str">
        <f>"300713"</f>
        <v>300713</v>
      </c>
      <c r="C4509" t="s">
        <v>9363</v>
      </c>
      <c r="D4509" t="s">
        <v>880</v>
      </c>
      <c r="F4509">
        <v>44598127</v>
      </c>
      <c r="G4509">
        <v>52545896</v>
      </c>
      <c r="H4509">
        <v>53638668</v>
      </c>
      <c r="I4509">
        <v>37550133</v>
      </c>
      <c r="P4509">
        <v>81</v>
      </c>
      <c r="Q4509" t="s">
        <v>9364</v>
      </c>
    </row>
    <row r="4510" spans="1:17" x14ac:dyDescent="0.3">
      <c r="A4510" t="s">
        <v>4729</v>
      </c>
      <c r="B4510" t="str">
        <f>"300715"</f>
        <v>300715</v>
      </c>
      <c r="C4510" t="s">
        <v>9365</v>
      </c>
      <c r="D4510" t="s">
        <v>6333</v>
      </c>
      <c r="F4510">
        <v>138778298</v>
      </c>
      <c r="G4510">
        <v>105915972</v>
      </c>
      <c r="H4510">
        <v>50327227</v>
      </c>
      <c r="I4510">
        <v>22170238</v>
      </c>
      <c r="P4510">
        <v>413</v>
      </c>
      <c r="Q4510" t="s">
        <v>9366</v>
      </c>
    </row>
    <row r="4511" spans="1:17" x14ac:dyDescent="0.3">
      <c r="A4511" t="s">
        <v>4729</v>
      </c>
      <c r="B4511" t="str">
        <f>"300716"</f>
        <v>300716</v>
      </c>
      <c r="C4511" t="s">
        <v>9367</v>
      </c>
      <c r="D4511" t="s">
        <v>341</v>
      </c>
      <c r="F4511">
        <v>59865945</v>
      </c>
      <c r="G4511">
        <v>59224057</v>
      </c>
      <c r="H4511">
        <v>54136742</v>
      </c>
      <c r="I4511">
        <v>36292197</v>
      </c>
      <c r="P4511">
        <v>59</v>
      </c>
      <c r="Q4511" t="s">
        <v>9368</v>
      </c>
    </row>
    <row r="4512" spans="1:17" x14ac:dyDescent="0.3">
      <c r="A4512" t="s">
        <v>4729</v>
      </c>
      <c r="B4512" t="str">
        <f>"300717"</f>
        <v>300717</v>
      </c>
      <c r="C4512" t="s">
        <v>9369</v>
      </c>
      <c r="D4512" t="s">
        <v>1192</v>
      </c>
      <c r="F4512">
        <v>12741561</v>
      </c>
      <c r="G4512">
        <v>8187581</v>
      </c>
      <c r="H4512">
        <v>10389522</v>
      </c>
      <c r="I4512">
        <v>9668351</v>
      </c>
      <c r="P4512">
        <v>71</v>
      </c>
      <c r="Q4512" t="s">
        <v>9370</v>
      </c>
    </row>
    <row r="4513" spans="1:17" x14ac:dyDescent="0.3">
      <c r="A4513" t="s">
        <v>4729</v>
      </c>
      <c r="B4513" t="str">
        <f>"300718"</f>
        <v>300718</v>
      </c>
      <c r="C4513" t="s">
        <v>9371</v>
      </c>
      <c r="D4513" t="s">
        <v>2007</v>
      </c>
      <c r="F4513">
        <v>41207141</v>
      </c>
      <c r="G4513">
        <v>33401355</v>
      </c>
      <c r="H4513">
        <v>30788807</v>
      </c>
      <c r="I4513">
        <v>26109874</v>
      </c>
      <c r="P4513">
        <v>100</v>
      </c>
      <c r="Q4513" t="s">
        <v>9372</v>
      </c>
    </row>
    <row r="4514" spans="1:17" x14ac:dyDescent="0.3">
      <c r="A4514" t="s">
        <v>4729</v>
      </c>
      <c r="B4514" t="str">
        <f>"300719"</f>
        <v>300719</v>
      </c>
      <c r="C4514" t="s">
        <v>9373</v>
      </c>
      <c r="D4514" t="s">
        <v>98</v>
      </c>
      <c r="F4514">
        <v>70157194</v>
      </c>
      <c r="G4514">
        <v>83675584</v>
      </c>
      <c r="H4514">
        <v>69507399</v>
      </c>
      <c r="I4514">
        <v>58043792</v>
      </c>
      <c r="P4514">
        <v>93</v>
      </c>
      <c r="Q4514" t="s">
        <v>9374</v>
      </c>
    </row>
    <row r="4515" spans="1:17" x14ac:dyDescent="0.3">
      <c r="A4515" t="s">
        <v>4729</v>
      </c>
      <c r="B4515" t="str">
        <f>"300720"</f>
        <v>300720</v>
      </c>
      <c r="C4515" t="s">
        <v>9375</v>
      </c>
      <c r="D4515" t="s">
        <v>2566</v>
      </c>
      <c r="F4515">
        <v>18624502</v>
      </c>
      <c r="G4515">
        <v>14610218</v>
      </c>
      <c r="H4515">
        <v>14137038</v>
      </c>
      <c r="I4515">
        <v>12313775</v>
      </c>
      <c r="P4515">
        <v>70</v>
      </c>
      <c r="Q4515" t="s">
        <v>9376</v>
      </c>
    </row>
    <row r="4516" spans="1:17" x14ac:dyDescent="0.3">
      <c r="A4516" t="s">
        <v>4729</v>
      </c>
      <c r="B4516" t="str">
        <f>"300721"</f>
        <v>300721</v>
      </c>
      <c r="C4516" t="s">
        <v>9377</v>
      </c>
      <c r="D4516" t="s">
        <v>386</v>
      </c>
      <c r="F4516">
        <v>24926038</v>
      </c>
      <c r="G4516">
        <v>21106372</v>
      </c>
      <c r="H4516">
        <v>20135097</v>
      </c>
      <c r="I4516">
        <v>22298761</v>
      </c>
      <c r="P4516">
        <v>73</v>
      </c>
      <c r="Q4516" t="s">
        <v>9378</v>
      </c>
    </row>
    <row r="4517" spans="1:17" x14ac:dyDescent="0.3">
      <c r="A4517" t="s">
        <v>4729</v>
      </c>
      <c r="B4517" t="str">
        <f>"300722"</f>
        <v>300722</v>
      </c>
      <c r="C4517" t="s">
        <v>9379</v>
      </c>
      <c r="D4517" t="s">
        <v>284</v>
      </c>
      <c r="F4517">
        <v>30871549</v>
      </c>
      <c r="G4517">
        <v>28203974</v>
      </c>
      <c r="H4517">
        <v>26250654</v>
      </c>
      <c r="I4517">
        <v>17436869</v>
      </c>
      <c r="P4517">
        <v>113</v>
      </c>
      <c r="Q4517" t="s">
        <v>9380</v>
      </c>
    </row>
    <row r="4518" spans="1:17" x14ac:dyDescent="0.3">
      <c r="A4518" t="s">
        <v>4729</v>
      </c>
      <c r="B4518" t="str">
        <f>"300723"</f>
        <v>300723</v>
      </c>
      <c r="C4518" t="s">
        <v>9381</v>
      </c>
      <c r="D4518" t="s">
        <v>143</v>
      </c>
      <c r="F4518">
        <v>142323018</v>
      </c>
      <c r="G4518">
        <v>135343817</v>
      </c>
      <c r="H4518">
        <v>98048513</v>
      </c>
      <c r="I4518">
        <v>91381466</v>
      </c>
      <c r="P4518">
        <v>222</v>
      </c>
      <c r="Q4518" t="s">
        <v>9382</v>
      </c>
    </row>
    <row r="4519" spans="1:17" x14ac:dyDescent="0.3">
      <c r="A4519" t="s">
        <v>4729</v>
      </c>
      <c r="B4519" t="str">
        <f>"300724"</f>
        <v>300724</v>
      </c>
      <c r="C4519" t="s">
        <v>9383</v>
      </c>
      <c r="D4519" t="s">
        <v>2671</v>
      </c>
      <c r="F4519">
        <v>237815520</v>
      </c>
      <c r="G4519">
        <v>191207830</v>
      </c>
      <c r="H4519">
        <v>122542682</v>
      </c>
      <c r="I4519">
        <v>76521599</v>
      </c>
      <c r="P4519">
        <v>573</v>
      </c>
      <c r="Q4519" t="s">
        <v>9384</v>
      </c>
    </row>
    <row r="4520" spans="1:17" x14ac:dyDescent="0.3">
      <c r="A4520" t="s">
        <v>4729</v>
      </c>
      <c r="B4520" t="str">
        <f>"300725"</f>
        <v>300725</v>
      </c>
      <c r="C4520" t="s">
        <v>9385</v>
      </c>
      <c r="D4520" t="s">
        <v>1461</v>
      </c>
      <c r="F4520">
        <v>114023945</v>
      </c>
      <c r="G4520">
        <v>90926988</v>
      </c>
      <c r="H4520">
        <v>69221260</v>
      </c>
      <c r="I4520">
        <v>44350189</v>
      </c>
      <c r="P4520">
        <v>1116</v>
      </c>
      <c r="Q4520" t="s">
        <v>9386</v>
      </c>
    </row>
    <row r="4521" spans="1:17" x14ac:dyDescent="0.3">
      <c r="A4521" t="s">
        <v>4729</v>
      </c>
      <c r="B4521" t="str">
        <f>"300726"</f>
        <v>300726</v>
      </c>
      <c r="C4521" t="s">
        <v>9387</v>
      </c>
      <c r="D4521" t="s">
        <v>1136</v>
      </c>
      <c r="F4521">
        <v>124647421</v>
      </c>
      <c r="G4521">
        <v>82072929</v>
      </c>
      <c r="H4521">
        <v>56924455</v>
      </c>
      <c r="I4521">
        <v>42933983</v>
      </c>
      <c r="P4521">
        <v>748</v>
      </c>
      <c r="Q4521" t="s">
        <v>9388</v>
      </c>
    </row>
    <row r="4522" spans="1:17" x14ac:dyDescent="0.3">
      <c r="A4522" t="s">
        <v>4729</v>
      </c>
      <c r="B4522" t="str">
        <f>"300727"</f>
        <v>300727</v>
      </c>
      <c r="C4522" t="s">
        <v>9389</v>
      </c>
      <c r="D4522" t="s">
        <v>1205</v>
      </c>
      <c r="F4522">
        <v>37098553</v>
      </c>
      <c r="G4522">
        <v>25556938</v>
      </c>
      <c r="H4522">
        <v>24882096</v>
      </c>
      <c r="I4522">
        <v>25737844</v>
      </c>
      <c r="P4522">
        <v>73</v>
      </c>
      <c r="Q4522" t="s">
        <v>9390</v>
      </c>
    </row>
    <row r="4523" spans="1:17" x14ac:dyDescent="0.3">
      <c r="A4523" t="s">
        <v>4729</v>
      </c>
      <c r="B4523" t="str">
        <f>"300728"</f>
        <v>300728</v>
      </c>
      <c r="C4523" t="s">
        <v>9391</v>
      </c>
      <c r="P4523">
        <v>10</v>
      </c>
      <c r="Q4523" t="s">
        <v>9392</v>
      </c>
    </row>
    <row r="4524" spans="1:17" x14ac:dyDescent="0.3">
      <c r="A4524" t="s">
        <v>4729</v>
      </c>
      <c r="B4524" t="str">
        <f>"300729"</f>
        <v>300729</v>
      </c>
      <c r="C4524" t="s">
        <v>9393</v>
      </c>
      <c r="D4524" t="s">
        <v>2445</v>
      </c>
      <c r="F4524">
        <v>129828544</v>
      </c>
      <c r="G4524">
        <v>84633544</v>
      </c>
      <c r="H4524">
        <v>41184557</v>
      </c>
      <c r="I4524">
        <v>34706442</v>
      </c>
      <c r="P4524">
        <v>219</v>
      </c>
      <c r="Q4524" t="s">
        <v>9394</v>
      </c>
    </row>
    <row r="4525" spans="1:17" x14ac:dyDescent="0.3">
      <c r="A4525" t="s">
        <v>4729</v>
      </c>
      <c r="B4525" t="str">
        <f>"300730"</f>
        <v>300730</v>
      </c>
      <c r="C4525" t="s">
        <v>9395</v>
      </c>
      <c r="D4525" t="s">
        <v>945</v>
      </c>
      <c r="F4525">
        <v>44909911</v>
      </c>
      <c r="G4525">
        <v>37426242</v>
      </c>
      <c r="H4525">
        <v>28295746</v>
      </c>
      <c r="I4525">
        <v>24252042</v>
      </c>
      <c r="P4525">
        <v>98</v>
      </c>
      <c r="Q4525" t="s">
        <v>9396</v>
      </c>
    </row>
    <row r="4526" spans="1:17" x14ac:dyDescent="0.3">
      <c r="A4526" t="s">
        <v>4729</v>
      </c>
      <c r="B4526" t="str">
        <f>"300731"</f>
        <v>300731</v>
      </c>
      <c r="C4526" t="s">
        <v>9397</v>
      </c>
      <c r="D4526" t="s">
        <v>2469</v>
      </c>
      <c r="F4526">
        <v>41467433</v>
      </c>
      <c r="G4526">
        <v>23663530</v>
      </c>
      <c r="H4526">
        <v>19986716</v>
      </c>
      <c r="I4526">
        <v>13338982</v>
      </c>
      <c r="P4526">
        <v>186</v>
      </c>
      <c r="Q4526" t="s">
        <v>9398</v>
      </c>
    </row>
    <row r="4527" spans="1:17" x14ac:dyDescent="0.3">
      <c r="A4527" t="s">
        <v>4729</v>
      </c>
      <c r="B4527" t="str">
        <f>"300732"</f>
        <v>300732</v>
      </c>
      <c r="C4527" t="s">
        <v>9399</v>
      </c>
      <c r="D4527" t="s">
        <v>1272</v>
      </c>
      <c r="F4527">
        <v>114819545</v>
      </c>
      <c r="G4527">
        <v>100816040</v>
      </c>
      <c r="H4527">
        <v>95278194</v>
      </c>
      <c r="I4527">
        <v>59958918</v>
      </c>
      <c r="P4527">
        <v>151</v>
      </c>
      <c r="Q4527" t="s">
        <v>9400</v>
      </c>
    </row>
    <row r="4528" spans="1:17" x14ac:dyDescent="0.3">
      <c r="A4528" t="s">
        <v>4729</v>
      </c>
      <c r="B4528" t="str">
        <f>"300733"</f>
        <v>300733</v>
      </c>
      <c r="C4528" t="s">
        <v>9401</v>
      </c>
      <c r="D4528" t="s">
        <v>348</v>
      </c>
      <c r="F4528">
        <v>27133725</v>
      </c>
      <c r="G4528">
        <v>22438868</v>
      </c>
      <c r="H4528">
        <v>24227581</v>
      </c>
      <c r="I4528">
        <v>22969118</v>
      </c>
      <c r="P4528">
        <v>60</v>
      </c>
      <c r="Q4528" t="s">
        <v>9402</v>
      </c>
    </row>
    <row r="4529" spans="1:17" x14ac:dyDescent="0.3">
      <c r="A4529" t="s">
        <v>4729</v>
      </c>
      <c r="B4529" t="str">
        <f>"300735"</f>
        <v>300735</v>
      </c>
      <c r="C4529" t="s">
        <v>9403</v>
      </c>
      <c r="D4529" t="s">
        <v>313</v>
      </c>
      <c r="F4529">
        <v>100380143</v>
      </c>
      <c r="G4529">
        <v>88307390</v>
      </c>
      <c r="H4529">
        <v>71291403</v>
      </c>
      <c r="I4529">
        <v>65958570</v>
      </c>
      <c r="P4529">
        <v>453</v>
      </c>
      <c r="Q4529" t="s">
        <v>9404</v>
      </c>
    </row>
    <row r="4530" spans="1:17" x14ac:dyDescent="0.3">
      <c r="A4530" t="s">
        <v>4729</v>
      </c>
      <c r="B4530" t="str">
        <f>"300736"</f>
        <v>300736</v>
      </c>
      <c r="C4530" t="s">
        <v>9405</v>
      </c>
      <c r="D4530" t="s">
        <v>651</v>
      </c>
      <c r="F4530">
        <v>6292476</v>
      </c>
      <c r="G4530">
        <v>7032206</v>
      </c>
      <c r="H4530">
        <v>13385505</v>
      </c>
      <c r="I4530">
        <v>8626262</v>
      </c>
      <c r="P4530">
        <v>114</v>
      </c>
      <c r="Q4530" t="s">
        <v>9406</v>
      </c>
    </row>
    <row r="4531" spans="1:17" x14ac:dyDescent="0.3">
      <c r="A4531" t="s">
        <v>4729</v>
      </c>
      <c r="B4531" t="str">
        <f>"300737"</f>
        <v>300737</v>
      </c>
      <c r="C4531" t="s">
        <v>9407</v>
      </c>
      <c r="D4531" t="s">
        <v>6333</v>
      </c>
      <c r="F4531">
        <v>339996564</v>
      </c>
      <c r="G4531">
        <v>281832949</v>
      </c>
      <c r="H4531">
        <v>209507283</v>
      </c>
      <c r="I4531">
        <v>130691708</v>
      </c>
      <c r="P4531">
        <v>461</v>
      </c>
      <c r="Q4531" t="s">
        <v>9408</v>
      </c>
    </row>
    <row r="4532" spans="1:17" x14ac:dyDescent="0.3">
      <c r="A4532" t="s">
        <v>4729</v>
      </c>
      <c r="B4532" t="str">
        <f>"300738"</f>
        <v>300738</v>
      </c>
      <c r="C4532" t="s">
        <v>9409</v>
      </c>
      <c r="D4532" t="s">
        <v>316</v>
      </c>
      <c r="F4532">
        <v>40721322</v>
      </c>
      <c r="G4532">
        <v>21503267</v>
      </c>
      <c r="H4532">
        <v>23455860</v>
      </c>
      <c r="I4532">
        <v>23797360</v>
      </c>
      <c r="P4532">
        <v>300</v>
      </c>
      <c r="Q4532" t="s">
        <v>9410</v>
      </c>
    </row>
    <row r="4533" spans="1:17" x14ac:dyDescent="0.3">
      <c r="A4533" t="s">
        <v>4729</v>
      </c>
      <c r="B4533" t="str">
        <f>"300739"</f>
        <v>300739</v>
      </c>
      <c r="C4533" t="s">
        <v>9411</v>
      </c>
      <c r="D4533" t="s">
        <v>425</v>
      </c>
      <c r="F4533">
        <v>71989434</v>
      </c>
      <c r="G4533">
        <v>53025306</v>
      </c>
      <c r="H4533">
        <v>54318807</v>
      </c>
      <c r="I4533">
        <v>45545972</v>
      </c>
      <c r="P4533">
        <v>170</v>
      </c>
      <c r="Q4533" t="s">
        <v>9412</v>
      </c>
    </row>
    <row r="4534" spans="1:17" x14ac:dyDescent="0.3">
      <c r="A4534" t="s">
        <v>4729</v>
      </c>
      <c r="B4534" t="str">
        <f>"300740"</f>
        <v>300740</v>
      </c>
      <c r="C4534" t="s">
        <v>9413</v>
      </c>
      <c r="D4534" t="s">
        <v>709</v>
      </c>
      <c r="F4534">
        <v>65967283</v>
      </c>
      <c r="G4534">
        <v>47562584</v>
      </c>
      <c r="H4534">
        <v>43888812</v>
      </c>
      <c r="I4534">
        <v>45940924</v>
      </c>
      <c r="P4534">
        <v>256</v>
      </c>
      <c r="Q4534" t="s">
        <v>9414</v>
      </c>
    </row>
    <row r="4535" spans="1:17" x14ac:dyDescent="0.3">
      <c r="A4535" t="s">
        <v>4729</v>
      </c>
      <c r="B4535" t="str">
        <f>"300741"</f>
        <v>300741</v>
      </c>
      <c r="C4535" t="s">
        <v>9415</v>
      </c>
      <c r="D4535" t="s">
        <v>677</v>
      </c>
      <c r="F4535">
        <v>152207318</v>
      </c>
      <c r="G4535">
        <v>153620187</v>
      </c>
      <c r="H4535">
        <v>164528697</v>
      </c>
      <c r="I4535">
        <v>149740767</v>
      </c>
      <c r="P4535">
        <v>458</v>
      </c>
      <c r="Q4535" t="s">
        <v>9416</v>
      </c>
    </row>
    <row r="4536" spans="1:17" x14ac:dyDescent="0.3">
      <c r="A4536" t="s">
        <v>4729</v>
      </c>
      <c r="B4536" t="str">
        <f>"300742"</f>
        <v>300742</v>
      </c>
      <c r="C4536" t="s">
        <v>9417</v>
      </c>
      <c r="D4536" t="s">
        <v>348</v>
      </c>
      <c r="F4536">
        <v>49637099</v>
      </c>
      <c r="G4536">
        <v>33316764</v>
      </c>
      <c r="H4536">
        <v>50744534</v>
      </c>
      <c r="I4536">
        <v>45277595</v>
      </c>
      <c r="P4536">
        <v>90</v>
      </c>
      <c r="Q4536" t="s">
        <v>9418</v>
      </c>
    </row>
    <row r="4537" spans="1:17" x14ac:dyDescent="0.3">
      <c r="A4537" t="s">
        <v>4729</v>
      </c>
      <c r="B4537" t="str">
        <f>"300743"</f>
        <v>300743</v>
      </c>
      <c r="C4537" t="s">
        <v>9419</v>
      </c>
      <c r="D4537" t="s">
        <v>236</v>
      </c>
      <c r="F4537">
        <v>17958810</v>
      </c>
      <c r="G4537">
        <v>14721831</v>
      </c>
      <c r="H4537">
        <v>14797327</v>
      </c>
      <c r="I4537">
        <v>13936483</v>
      </c>
      <c r="P4537">
        <v>54</v>
      </c>
      <c r="Q4537" t="s">
        <v>9420</v>
      </c>
    </row>
    <row r="4538" spans="1:17" x14ac:dyDescent="0.3">
      <c r="A4538" t="s">
        <v>4729</v>
      </c>
      <c r="B4538" t="str">
        <f>"300745"</f>
        <v>300745</v>
      </c>
      <c r="C4538" t="s">
        <v>9421</v>
      </c>
      <c r="D4538" t="s">
        <v>985</v>
      </c>
      <c r="F4538">
        <v>68388032</v>
      </c>
      <c r="G4538">
        <v>80556706</v>
      </c>
      <c r="H4538">
        <v>45651887</v>
      </c>
      <c r="I4538">
        <v>58932228</v>
      </c>
      <c r="J4538">
        <v>60239960</v>
      </c>
      <c r="P4538">
        <v>76</v>
      </c>
      <c r="Q4538" t="s">
        <v>9422</v>
      </c>
    </row>
    <row r="4539" spans="1:17" x14ac:dyDescent="0.3">
      <c r="A4539" t="s">
        <v>4729</v>
      </c>
      <c r="B4539" t="str">
        <f>"300746"</f>
        <v>300746</v>
      </c>
      <c r="C4539" t="s">
        <v>9423</v>
      </c>
      <c r="D4539" t="s">
        <v>1272</v>
      </c>
      <c r="F4539">
        <v>88156149</v>
      </c>
      <c r="G4539">
        <v>68185852</v>
      </c>
      <c r="H4539">
        <v>45555883</v>
      </c>
      <c r="I4539">
        <v>32251063</v>
      </c>
      <c r="P4539">
        <v>66</v>
      </c>
      <c r="Q4539" t="s">
        <v>9424</v>
      </c>
    </row>
    <row r="4540" spans="1:17" x14ac:dyDescent="0.3">
      <c r="A4540" t="s">
        <v>4729</v>
      </c>
      <c r="B4540" t="str">
        <f>"300747"</f>
        <v>300747</v>
      </c>
      <c r="C4540" t="s">
        <v>9425</v>
      </c>
      <c r="D4540" t="s">
        <v>3811</v>
      </c>
      <c r="F4540">
        <v>286195380</v>
      </c>
      <c r="G4540">
        <v>173067067</v>
      </c>
      <c r="H4540">
        <v>118073201</v>
      </c>
      <c r="I4540">
        <v>86541414</v>
      </c>
      <c r="P4540">
        <v>3349</v>
      </c>
      <c r="Q4540" t="s">
        <v>9426</v>
      </c>
    </row>
    <row r="4541" spans="1:17" x14ac:dyDescent="0.3">
      <c r="A4541" t="s">
        <v>4729</v>
      </c>
      <c r="B4541" t="str">
        <f>"300748"</f>
        <v>300748</v>
      </c>
      <c r="C4541" t="s">
        <v>9427</v>
      </c>
      <c r="D4541" t="s">
        <v>808</v>
      </c>
      <c r="F4541">
        <v>160159353</v>
      </c>
      <c r="G4541">
        <v>103175035</v>
      </c>
      <c r="H4541">
        <v>64307709</v>
      </c>
      <c r="I4541">
        <v>55701043</v>
      </c>
      <c r="J4541">
        <v>68244946</v>
      </c>
      <c r="K4541">
        <v>46460533</v>
      </c>
      <c r="L4541">
        <v>37754479</v>
      </c>
      <c r="P4541">
        <v>343</v>
      </c>
      <c r="Q4541" t="s">
        <v>9428</v>
      </c>
    </row>
    <row r="4542" spans="1:17" x14ac:dyDescent="0.3">
      <c r="A4542" t="s">
        <v>4729</v>
      </c>
      <c r="B4542" t="str">
        <f>"300749"</f>
        <v>300749</v>
      </c>
      <c r="C4542" t="s">
        <v>9429</v>
      </c>
      <c r="D4542" t="s">
        <v>2664</v>
      </c>
      <c r="F4542">
        <v>46793378</v>
      </c>
      <c r="G4542">
        <v>40870284</v>
      </c>
      <c r="H4542">
        <v>37549691</v>
      </c>
      <c r="I4542">
        <v>33769969</v>
      </c>
      <c r="J4542">
        <v>33508570</v>
      </c>
      <c r="K4542">
        <v>26756385</v>
      </c>
      <c r="P4542">
        <v>97</v>
      </c>
      <c r="Q4542" t="s">
        <v>9430</v>
      </c>
    </row>
    <row r="4543" spans="1:17" x14ac:dyDescent="0.3">
      <c r="A4543" t="s">
        <v>4729</v>
      </c>
      <c r="B4543" t="str">
        <f>"300750"</f>
        <v>300750</v>
      </c>
      <c r="C4543" t="s">
        <v>9431</v>
      </c>
      <c r="D4543" t="s">
        <v>359</v>
      </c>
      <c r="F4543">
        <v>7691427563</v>
      </c>
      <c r="G4543">
        <v>3569377694</v>
      </c>
      <c r="H4543">
        <v>2992107517</v>
      </c>
      <c r="I4543">
        <v>1991000385</v>
      </c>
      <c r="P4543">
        <v>4825</v>
      </c>
      <c r="Q4543" t="s">
        <v>9432</v>
      </c>
    </row>
    <row r="4544" spans="1:17" x14ac:dyDescent="0.3">
      <c r="A4544" t="s">
        <v>4729</v>
      </c>
      <c r="B4544" t="str">
        <f>"300751"</f>
        <v>300751</v>
      </c>
      <c r="C4544" t="s">
        <v>9433</v>
      </c>
      <c r="D4544" t="s">
        <v>2671</v>
      </c>
      <c r="F4544">
        <v>331423870</v>
      </c>
      <c r="G4544">
        <v>165945187</v>
      </c>
      <c r="H4544">
        <v>94291870</v>
      </c>
      <c r="I4544">
        <v>39355400</v>
      </c>
      <c r="J4544">
        <v>29642487</v>
      </c>
      <c r="K4544">
        <v>15912197</v>
      </c>
      <c r="L4544">
        <v>6235303</v>
      </c>
      <c r="P4544">
        <v>627</v>
      </c>
      <c r="Q4544" t="s">
        <v>9434</v>
      </c>
    </row>
    <row r="4545" spans="1:17" x14ac:dyDescent="0.3">
      <c r="A4545" t="s">
        <v>4729</v>
      </c>
      <c r="B4545" t="str">
        <f>"300752"</f>
        <v>300752</v>
      </c>
      <c r="C4545" t="s">
        <v>9435</v>
      </c>
      <c r="D4545" t="s">
        <v>803</v>
      </c>
      <c r="F4545">
        <v>104613499</v>
      </c>
      <c r="G4545">
        <v>108887494</v>
      </c>
      <c r="H4545">
        <v>84612788</v>
      </c>
      <c r="I4545">
        <v>66881743</v>
      </c>
      <c r="J4545">
        <v>33663119</v>
      </c>
      <c r="K4545">
        <v>20678517</v>
      </c>
      <c r="L4545">
        <v>13999872</v>
      </c>
      <c r="P4545">
        <v>140</v>
      </c>
      <c r="Q4545" t="s">
        <v>9436</v>
      </c>
    </row>
    <row r="4546" spans="1:17" x14ac:dyDescent="0.3">
      <c r="A4546" t="s">
        <v>4729</v>
      </c>
      <c r="B4546" t="str">
        <f>"300753"</f>
        <v>300753</v>
      </c>
      <c r="C4546" t="s">
        <v>9437</v>
      </c>
      <c r="D4546" t="s">
        <v>122</v>
      </c>
      <c r="F4546">
        <v>43980975</v>
      </c>
      <c r="G4546">
        <v>23551540</v>
      </c>
      <c r="H4546">
        <v>24496739</v>
      </c>
      <c r="I4546">
        <v>20982528</v>
      </c>
      <c r="J4546">
        <v>20025800</v>
      </c>
      <c r="K4546">
        <v>15357441</v>
      </c>
      <c r="L4546">
        <v>9776766</v>
      </c>
      <c r="P4546">
        <v>243</v>
      </c>
      <c r="Q4546" t="s">
        <v>9438</v>
      </c>
    </row>
    <row r="4547" spans="1:17" x14ac:dyDescent="0.3">
      <c r="A4547" t="s">
        <v>4729</v>
      </c>
      <c r="B4547" t="str">
        <f>"300755"</f>
        <v>300755</v>
      </c>
      <c r="C4547" t="s">
        <v>9439</v>
      </c>
      <c r="D4547" t="s">
        <v>295</v>
      </c>
      <c r="F4547">
        <v>0</v>
      </c>
      <c r="G4547">
        <v>0</v>
      </c>
      <c r="H4547">
        <v>0</v>
      </c>
      <c r="I4547">
        <v>0</v>
      </c>
      <c r="P4547">
        <v>246</v>
      </c>
      <c r="Q4547" t="s">
        <v>9440</v>
      </c>
    </row>
    <row r="4548" spans="1:17" x14ac:dyDescent="0.3">
      <c r="A4548" t="s">
        <v>4729</v>
      </c>
      <c r="B4548" t="str">
        <f>"300756"</f>
        <v>300756</v>
      </c>
      <c r="C4548" t="s">
        <v>9441</v>
      </c>
      <c r="D4548" t="s">
        <v>2931</v>
      </c>
      <c r="F4548">
        <v>99496220</v>
      </c>
      <c r="G4548">
        <v>55949239</v>
      </c>
      <c r="H4548">
        <v>126177697</v>
      </c>
      <c r="I4548">
        <v>71310892</v>
      </c>
      <c r="J4548">
        <v>66268531</v>
      </c>
      <c r="K4548">
        <v>90655523</v>
      </c>
      <c r="L4548">
        <v>51943628</v>
      </c>
      <c r="P4548">
        <v>76</v>
      </c>
      <c r="Q4548" t="s">
        <v>9442</v>
      </c>
    </row>
    <row r="4549" spans="1:17" x14ac:dyDescent="0.3">
      <c r="A4549" t="s">
        <v>4729</v>
      </c>
      <c r="B4549" t="str">
        <f>"300757"</f>
        <v>300757</v>
      </c>
      <c r="C4549" t="s">
        <v>9443</v>
      </c>
      <c r="D4549" t="s">
        <v>3477</v>
      </c>
      <c r="F4549">
        <v>50937197</v>
      </c>
      <c r="G4549">
        <v>55620296</v>
      </c>
      <c r="H4549">
        <v>36189339</v>
      </c>
      <c r="I4549">
        <v>27144108</v>
      </c>
      <c r="J4549">
        <v>22734313</v>
      </c>
      <c r="K4549">
        <v>15095701</v>
      </c>
      <c r="L4549">
        <v>3938851</v>
      </c>
      <c r="P4549">
        <v>76</v>
      </c>
      <c r="Q4549" t="s">
        <v>9444</v>
      </c>
    </row>
    <row r="4550" spans="1:17" x14ac:dyDescent="0.3">
      <c r="A4550" t="s">
        <v>4729</v>
      </c>
      <c r="B4550" t="str">
        <f>"300758"</f>
        <v>300758</v>
      </c>
      <c r="C4550" t="s">
        <v>9445</v>
      </c>
      <c r="D4550" t="s">
        <v>2585</v>
      </c>
      <c r="F4550">
        <v>81733200</v>
      </c>
      <c r="G4550">
        <v>51227137</v>
      </c>
      <c r="H4550">
        <v>31107559</v>
      </c>
      <c r="I4550">
        <v>24790918</v>
      </c>
      <c r="P4550">
        <v>104</v>
      </c>
      <c r="Q4550" t="s">
        <v>9446</v>
      </c>
    </row>
    <row r="4551" spans="1:17" x14ac:dyDescent="0.3">
      <c r="A4551" t="s">
        <v>4729</v>
      </c>
      <c r="B4551" t="str">
        <f>"300759"</f>
        <v>300759</v>
      </c>
      <c r="C4551" t="s">
        <v>9447</v>
      </c>
      <c r="D4551" t="s">
        <v>1461</v>
      </c>
      <c r="F4551">
        <v>151774529</v>
      </c>
      <c r="G4551">
        <v>105345172</v>
      </c>
      <c r="H4551">
        <v>62871523</v>
      </c>
      <c r="I4551">
        <v>31610839</v>
      </c>
      <c r="P4551">
        <v>1079</v>
      </c>
      <c r="Q4551" t="s">
        <v>9448</v>
      </c>
    </row>
    <row r="4552" spans="1:17" x14ac:dyDescent="0.3">
      <c r="A4552" t="s">
        <v>4729</v>
      </c>
      <c r="B4552" t="str">
        <f>"300760"</f>
        <v>300760</v>
      </c>
      <c r="C4552" t="s">
        <v>9449</v>
      </c>
      <c r="D4552" t="s">
        <v>122</v>
      </c>
      <c r="F4552">
        <v>2524177625</v>
      </c>
      <c r="G4552">
        <v>1869299818</v>
      </c>
      <c r="H4552">
        <v>1465611275</v>
      </c>
      <c r="I4552">
        <v>1267159021</v>
      </c>
      <c r="P4552">
        <v>4593</v>
      </c>
      <c r="Q4552" t="s">
        <v>9450</v>
      </c>
    </row>
    <row r="4553" spans="1:17" x14ac:dyDescent="0.3">
      <c r="A4553" t="s">
        <v>4729</v>
      </c>
      <c r="B4553" t="str">
        <f>"300761"</f>
        <v>300761</v>
      </c>
      <c r="C4553" t="s">
        <v>9451</v>
      </c>
      <c r="D4553" t="s">
        <v>6260</v>
      </c>
      <c r="F4553">
        <v>46139834</v>
      </c>
      <c r="G4553">
        <v>27336131</v>
      </c>
      <c r="H4553">
        <v>22483243</v>
      </c>
      <c r="I4553">
        <v>15994698</v>
      </c>
      <c r="J4553">
        <v>10732828</v>
      </c>
      <c r="K4553">
        <v>10733344</v>
      </c>
      <c r="L4553">
        <v>7978438</v>
      </c>
      <c r="P4553">
        <v>369</v>
      </c>
      <c r="Q4553" t="s">
        <v>9452</v>
      </c>
    </row>
    <row r="4554" spans="1:17" x14ac:dyDescent="0.3">
      <c r="A4554" t="s">
        <v>4729</v>
      </c>
      <c r="B4554" t="str">
        <f>"300762"</f>
        <v>300762</v>
      </c>
      <c r="C4554" t="s">
        <v>9453</v>
      </c>
      <c r="D4554" t="s">
        <v>1136</v>
      </c>
      <c r="F4554">
        <v>149861664</v>
      </c>
      <c r="G4554">
        <v>159897952</v>
      </c>
      <c r="H4554">
        <v>136268710</v>
      </c>
      <c r="I4554">
        <v>107227440</v>
      </c>
      <c r="J4554">
        <v>120838517</v>
      </c>
      <c r="K4554">
        <v>114114144</v>
      </c>
      <c r="P4554">
        <v>181</v>
      </c>
      <c r="Q4554" t="s">
        <v>9454</v>
      </c>
    </row>
    <row r="4555" spans="1:17" x14ac:dyDescent="0.3">
      <c r="A4555" t="s">
        <v>4729</v>
      </c>
      <c r="B4555" t="str">
        <f>"300763"</f>
        <v>300763</v>
      </c>
      <c r="C4555" t="s">
        <v>9455</v>
      </c>
      <c r="D4555" t="s">
        <v>3824</v>
      </c>
      <c r="F4555">
        <v>173063509</v>
      </c>
      <c r="G4555">
        <v>94324629</v>
      </c>
      <c r="H4555">
        <v>42315499</v>
      </c>
      <c r="I4555">
        <v>30733828</v>
      </c>
      <c r="J4555">
        <v>31031711</v>
      </c>
      <c r="K4555">
        <v>10458209</v>
      </c>
      <c r="P4555">
        <v>582</v>
      </c>
      <c r="Q4555" t="s">
        <v>9456</v>
      </c>
    </row>
    <row r="4556" spans="1:17" x14ac:dyDescent="0.3">
      <c r="A4556" t="s">
        <v>4729</v>
      </c>
      <c r="B4556" t="str">
        <f>"300765"</f>
        <v>300765</v>
      </c>
      <c r="C4556" t="s">
        <v>9457</v>
      </c>
      <c r="D4556" t="s">
        <v>496</v>
      </c>
      <c r="F4556">
        <v>20398577</v>
      </c>
      <c r="G4556">
        <v>14045626</v>
      </c>
      <c r="H4556">
        <v>13052297</v>
      </c>
      <c r="I4556">
        <v>11252119</v>
      </c>
      <c r="J4556">
        <v>8506787</v>
      </c>
      <c r="K4556">
        <v>9525113</v>
      </c>
      <c r="P4556">
        <v>173</v>
      </c>
      <c r="Q4556" t="s">
        <v>9458</v>
      </c>
    </row>
    <row r="4557" spans="1:17" x14ac:dyDescent="0.3">
      <c r="A4557" t="s">
        <v>4729</v>
      </c>
      <c r="B4557" t="str">
        <f>"300766"</f>
        <v>300766</v>
      </c>
      <c r="C4557" t="s">
        <v>9459</v>
      </c>
      <c r="D4557" t="s">
        <v>1189</v>
      </c>
      <c r="F4557">
        <v>128430727</v>
      </c>
      <c r="G4557">
        <v>130293499</v>
      </c>
      <c r="H4557">
        <v>124541116</v>
      </c>
      <c r="I4557">
        <v>78440716</v>
      </c>
      <c r="J4557">
        <v>47156227</v>
      </c>
      <c r="K4557">
        <v>33696713</v>
      </c>
      <c r="P4557">
        <v>140</v>
      </c>
      <c r="Q4557" t="s">
        <v>9460</v>
      </c>
    </row>
    <row r="4558" spans="1:17" x14ac:dyDescent="0.3">
      <c r="A4558" t="s">
        <v>4729</v>
      </c>
      <c r="B4558" t="str">
        <f>"300767"</f>
        <v>300767</v>
      </c>
      <c r="C4558" t="s">
        <v>9461</v>
      </c>
      <c r="D4558" t="s">
        <v>2469</v>
      </c>
      <c r="F4558">
        <v>23898422</v>
      </c>
      <c r="G4558">
        <v>15818727</v>
      </c>
      <c r="H4558">
        <v>13210169</v>
      </c>
      <c r="I4558">
        <v>11432625</v>
      </c>
      <c r="J4558">
        <v>5658534</v>
      </c>
      <c r="K4558">
        <v>12744075</v>
      </c>
      <c r="P4558">
        <v>197</v>
      </c>
      <c r="Q4558" t="s">
        <v>9462</v>
      </c>
    </row>
    <row r="4559" spans="1:17" x14ac:dyDescent="0.3">
      <c r="A4559" t="s">
        <v>4729</v>
      </c>
      <c r="B4559" t="str">
        <f>"300768"</f>
        <v>300768</v>
      </c>
      <c r="C4559" t="s">
        <v>9463</v>
      </c>
      <c r="D4559" t="s">
        <v>1189</v>
      </c>
      <c r="F4559">
        <v>229793145</v>
      </c>
      <c r="G4559">
        <v>182575264</v>
      </c>
      <c r="H4559">
        <v>163955059</v>
      </c>
      <c r="I4559">
        <v>157923333</v>
      </c>
      <c r="J4559">
        <v>143551994</v>
      </c>
      <c r="K4559">
        <v>134045907</v>
      </c>
      <c r="P4559">
        <v>240</v>
      </c>
      <c r="Q4559" t="s">
        <v>9464</v>
      </c>
    </row>
    <row r="4560" spans="1:17" x14ac:dyDescent="0.3">
      <c r="A4560" t="s">
        <v>4729</v>
      </c>
      <c r="B4560" t="str">
        <f>"300769"</f>
        <v>300769</v>
      </c>
      <c r="C4560" t="s">
        <v>9465</v>
      </c>
      <c r="D4560" t="s">
        <v>1790</v>
      </c>
      <c r="F4560">
        <v>163799368</v>
      </c>
      <c r="G4560">
        <v>51547701</v>
      </c>
      <c r="H4560">
        <v>49088608</v>
      </c>
      <c r="I4560">
        <v>44458388</v>
      </c>
      <c r="J4560">
        <v>38334845</v>
      </c>
      <c r="K4560">
        <v>28001067</v>
      </c>
      <c r="P4560">
        <v>325</v>
      </c>
      <c r="Q4560" t="s">
        <v>9466</v>
      </c>
    </row>
    <row r="4561" spans="1:17" x14ac:dyDescent="0.3">
      <c r="A4561" t="s">
        <v>4729</v>
      </c>
      <c r="B4561" t="str">
        <f>"300770"</f>
        <v>300770</v>
      </c>
      <c r="C4561" t="s">
        <v>9467</v>
      </c>
      <c r="D4561" t="s">
        <v>95</v>
      </c>
      <c r="F4561">
        <v>46342150</v>
      </c>
      <c r="G4561">
        <v>38263826</v>
      </c>
      <c r="H4561">
        <v>46699553</v>
      </c>
      <c r="I4561">
        <v>35891472</v>
      </c>
      <c r="J4561">
        <v>31654353</v>
      </c>
      <c r="K4561">
        <v>19504641</v>
      </c>
      <c r="P4561">
        <v>634</v>
      </c>
      <c r="Q4561" t="s">
        <v>9468</v>
      </c>
    </row>
    <row r="4562" spans="1:17" x14ac:dyDescent="0.3">
      <c r="A4562" t="s">
        <v>4729</v>
      </c>
      <c r="B4562" t="str">
        <f>"300771"</f>
        <v>300771</v>
      </c>
      <c r="C4562" t="s">
        <v>9469</v>
      </c>
      <c r="D4562" t="s">
        <v>236</v>
      </c>
      <c r="F4562">
        <v>93918392</v>
      </c>
      <c r="G4562">
        <v>70110424</v>
      </c>
      <c r="H4562">
        <v>52751831</v>
      </c>
      <c r="I4562">
        <v>34519985</v>
      </c>
      <c r="J4562">
        <v>20333857</v>
      </c>
      <c r="K4562">
        <v>15298135</v>
      </c>
      <c r="P4562">
        <v>229</v>
      </c>
      <c r="Q4562" t="s">
        <v>9470</v>
      </c>
    </row>
    <row r="4563" spans="1:17" x14ac:dyDescent="0.3">
      <c r="A4563" t="s">
        <v>4729</v>
      </c>
      <c r="B4563" t="str">
        <f>"300772"</f>
        <v>300772</v>
      </c>
      <c r="C4563" t="s">
        <v>9471</v>
      </c>
      <c r="D4563" t="s">
        <v>895</v>
      </c>
      <c r="F4563">
        <v>577400279</v>
      </c>
      <c r="G4563">
        <v>396865262</v>
      </c>
      <c r="H4563">
        <v>182802352</v>
      </c>
      <c r="I4563">
        <v>127395749</v>
      </c>
      <c r="J4563">
        <v>132503513</v>
      </c>
      <c r="K4563">
        <v>120499903</v>
      </c>
      <c r="P4563">
        <v>177</v>
      </c>
      <c r="Q4563" t="s">
        <v>9472</v>
      </c>
    </row>
    <row r="4564" spans="1:17" x14ac:dyDescent="0.3">
      <c r="A4564" t="s">
        <v>4729</v>
      </c>
      <c r="B4564" t="str">
        <f>"300773"</f>
        <v>300773</v>
      </c>
      <c r="C4564" t="s">
        <v>9473</v>
      </c>
      <c r="D4564" t="s">
        <v>6424</v>
      </c>
      <c r="F4564">
        <v>250424409</v>
      </c>
      <c r="G4564">
        <v>256164928</v>
      </c>
      <c r="H4564">
        <v>251545845</v>
      </c>
      <c r="I4564">
        <v>273407923</v>
      </c>
      <c r="J4564">
        <v>193711713</v>
      </c>
      <c r="K4564">
        <v>135664769</v>
      </c>
      <c r="P4564">
        <v>472</v>
      </c>
      <c r="Q4564" t="s">
        <v>9474</v>
      </c>
    </row>
    <row r="4565" spans="1:17" x14ac:dyDescent="0.3">
      <c r="A4565" t="s">
        <v>4729</v>
      </c>
      <c r="B4565" t="str">
        <f>"300774"</f>
        <v>300774</v>
      </c>
      <c r="C4565" t="s">
        <v>9475</v>
      </c>
      <c r="D4565" t="s">
        <v>33</v>
      </c>
      <c r="F4565">
        <v>19883038</v>
      </c>
      <c r="G4565">
        <v>17026392</v>
      </c>
      <c r="H4565">
        <v>13129058</v>
      </c>
      <c r="I4565">
        <v>11294565</v>
      </c>
      <c r="J4565">
        <v>10719879</v>
      </c>
      <c r="P4565">
        <v>24</v>
      </c>
      <c r="Q4565" t="s">
        <v>9476</v>
      </c>
    </row>
    <row r="4566" spans="1:17" x14ac:dyDescent="0.3">
      <c r="A4566" t="s">
        <v>4729</v>
      </c>
      <c r="B4566" t="str">
        <f>"300775"</f>
        <v>300775</v>
      </c>
      <c r="C4566" t="s">
        <v>9477</v>
      </c>
      <c r="D4566" t="s">
        <v>98</v>
      </c>
      <c r="F4566">
        <v>43418939</v>
      </c>
      <c r="G4566">
        <v>23899620</v>
      </c>
      <c r="H4566">
        <v>20902013</v>
      </c>
      <c r="I4566">
        <v>6218262</v>
      </c>
      <c r="J4566">
        <v>10543362</v>
      </c>
      <c r="K4566">
        <v>4132365</v>
      </c>
      <c r="P4566">
        <v>188</v>
      </c>
      <c r="Q4566" t="s">
        <v>9478</v>
      </c>
    </row>
    <row r="4567" spans="1:17" x14ac:dyDescent="0.3">
      <c r="A4567" t="s">
        <v>4729</v>
      </c>
      <c r="B4567" t="str">
        <f>"300776"</f>
        <v>300776</v>
      </c>
      <c r="C4567" t="s">
        <v>9479</v>
      </c>
      <c r="D4567" t="s">
        <v>2671</v>
      </c>
      <c r="F4567">
        <v>103541661</v>
      </c>
      <c r="G4567">
        <v>56351480</v>
      </c>
      <c r="H4567">
        <v>35892123</v>
      </c>
      <c r="I4567">
        <v>18202631</v>
      </c>
      <c r="J4567">
        <v>9575977</v>
      </c>
      <c r="K4567">
        <v>5730903</v>
      </c>
      <c r="P4567">
        <v>399</v>
      </c>
      <c r="Q4567" t="s">
        <v>9480</v>
      </c>
    </row>
    <row r="4568" spans="1:17" x14ac:dyDescent="0.3">
      <c r="A4568" t="s">
        <v>4729</v>
      </c>
      <c r="B4568" t="str">
        <f>"300777"</f>
        <v>300777</v>
      </c>
      <c r="C4568" t="s">
        <v>9481</v>
      </c>
      <c r="D4568" t="s">
        <v>98</v>
      </c>
      <c r="F4568">
        <v>44487942</v>
      </c>
      <c r="G4568">
        <v>30685724</v>
      </c>
      <c r="H4568">
        <v>16689170</v>
      </c>
      <c r="I4568">
        <v>24678538</v>
      </c>
      <c r="J4568">
        <v>17210508</v>
      </c>
      <c r="K4568">
        <v>12757130</v>
      </c>
      <c r="P4568">
        <v>371</v>
      </c>
      <c r="Q4568" t="s">
        <v>9482</v>
      </c>
    </row>
    <row r="4569" spans="1:17" x14ac:dyDescent="0.3">
      <c r="A4569" t="s">
        <v>4729</v>
      </c>
      <c r="B4569" t="str">
        <f>"300778"</f>
        <v>300778</v>
      </c>
      <c r="C4569" t="s">
        <v>9483</v>
      </c>
      <c r="D4569" t="s">
        <v>1272</v>
      </c>
      <c r="F4569">
        <v>13518658</v>
      </c>
      <c r="G4569">
        <v>13443294</v>
      </c>
      <c r="H4569">
        <v>17221361</v>
      </c>
      <c r="I4569">
        <v>13807247</v>
      </c>
      <c r="J4569">
        <v>12023544</v>
      </c>
      <c r="K4569">
        <v>11893112</v>
      </c>
      <c r="P4569">
        <v>104</v>
      </c>
      <c r="Q4569" t="s">
        <v>9484</v>
      </c>
    </row>
    <row r="4570" spans="1:17" x14ac:dyDescent="0.3">
      <c r="A4570" t="s">
        <v>4729</v>
      </c>
      <c r="B4570" t="str">
        <f>"300779"</f>
        <v>300779</v>
      </c>
      <c r="C4570" t="s">
        <v>9485</v>
      </c>
      <c r="D4570" t="s">
        <v>499</v>
      </c>
      <c r="F4570">
        <v>17119583</v>
      </c>
      <c r="G4570">
        <v>14961338</v>
      </c>
      <c r="H4570">
        <v>19632122</v>
      </c>
      <c r="I4570">
        <v>12291971</v>
      </c>
      <c r="J4570">
        <v>9159589</v>
      </c>
      <c r="K4570">
        <v>8333518</v>
      </c>
      <c r="P4570">
        <v>62</v>
      </c>
      <c r="Q4570" t="s">
        <v>9486</v>
      </c>
    </row>
    <row r="4571" spans="1:17" x14ac:dyDescent="0.3">
      <c r="A4571" t="s">
        <v>4729</v>
      </c>
      <c r="B4571" t="str">
        <f>"300780"</f>
        <v>300780</v>
      </c>
      <c r="C4571" t="s">
        <v>9487</v>
      </c>
      <c r="D4571" t="s">
        <v>274</v>
      </c>
      <c r="F4571">
        <v>9064291</v>
      </c>
      <c r="G4571">
        <v>9070340</v>
      </c>
      <c r="H4571">
        <v>8391583</v>
      </c>
      <c r="I4571">
        <v>1668682</v>
      </c>
      <c r="J4571">
        <v>1005774</v>
      </c>
      <c r="K4571">
        <v>828985</v>
      </c>
      <c r="P4571">
        <v>56</v>
      </c>
      <c r="Q4571" t="s">
        <v>9488</v>
      </c>
    </row>
    <row r="4572" spans="1:17" x14ac:dyDescent="0.3">
      <c r="A4572" t="s">
        <v>4729</v>
      </c>
      <c r="B4572" t="str">
        <f>"300781"</f>
        <v>300781</v>
      </c>
      <c r="C4572" t="s">
        <v>9489</v>
      </c>
      <c r="D4572" t="s">
        <v>207</v>
      </c>
      <c r="F4572">
        <v>3952728</v>
      </c>
      <c r="G4572">
        <v>1099369</v>
      </c>
      <c r="H4572">
        <v>1545353</v>
      </c>
      <c r="P4572">
        <v>100</v>
      </c>
      <c r="Q4572" t="s">
        <v>9490</v>
      </c>
    </row>
    <row r="4573" spans="1:17" x14ac:dyDescent="0.3">
      <c r="A4573" t="s">
        <v>4729</v>
      </c>
      <c r="B4573" t="str">
        <f>"300782"</f>
        <v>300782</v>
      </c>
      <c r="C4573" t="s">
        <v>9491</v>
      </c>
      <c r="D4573" t="s">
        <v>401</v>
      </c>
      <c r="F4573">
        <v>304253270</v>
      </c>
      <c r="G4573">
        <v>182285828</v>
      </c>
      <c r="H4573">
        <v>137645921</v>
      </c>
      <c r="I4573">
        <v>67704529</v>
      </c>
      <c r="J4573">
        <v>47838103</v>
      </c>
      <c r="K4573">
        <v>59015518</v>
      </c>
      <c r="P4573">
        <v>1609</v>
      </c>
      <c r="Q4573" t="s">
        <v>9492</v>
      </c>
    </row>
    <row r="4574" spans="1:17" x14ac:dyDescent="0.3">
      <c r="A4574" t="s">
        <v>4729</v>
      </c>
      <c r="B4574" t="str">
        <f>"300783"</f>
        <v>300783</v>
      </c>
      <c r="C4574" t="s">
        <v>9493</v>
      </c>
      <c r="D4574" t="s">
        <v>3194</v>
      </c>
      <c r="F4574">
        <v>57543707</v>
      </c>
      <c r="G4574">
        <v>52524577</v>
      </c>
      <c r="H4574">
        <v>50224502</v>
      </c>
      <c r="I4574">
        <v>34118044</v>
      </c>
      <c r="J4574">
        <v>16766672</v>
      </c>
      <c r="K4574">
        <v>11843391</v>
      </c>
      <c r="P4574">
        <v>730</v>
      </c>
      <c r="Q4574" t="s">
        <v>9494</v>
      </c>
    </row>
    <row r="4575" spans="1:17" x14ac:dyDescent="0.3">
      <c r="A4575" t="s">
        <v>4729</v>
      </c>
      <c r="B4575" t="str">
        <f>"300785"</f>
        <v>300785</v>
      </c>
      <c r="C4575" t="s">
        <v>9495</v>
      </c>
      <c r="D4575" t="s">
        <v>522</v>
      </c>
      <c r="F4575">
        <v>161996430</v>
      </c>
      <c r="G4575">
        <v>123070061</v>
      </c>
      <c r="H4575">
        <v>107483859</v>
      </c>
      <c r="I4575">
        <v>72196806</v>
      </c>
      <c r="J4575">
        <v>52756946</v>
      </c>
      <c r="K4575">
        <v>32227705</v>
      </c>
      <c r="P4575">
        <v>332</v>
      </c>
      <c r="Q4575" t="s">
        <v>9496</v>
      </c>
    </row>
    <row r="4576" spans="1:17" x14ac:dyDescent="0.3">
      <c r="A4576" t="s">
        <v>4729</v>
      </c>
      <c r="B4576" t="str">
        <f>"300786"</f>
        <v>300786</v>
      </c>
      <c r="C4576" t="s">
        <v>9497</v>
      </c>
      <c r="D4576" t="s">
        <v>1070</v>
      </c>
      <c r="F4576">
        <v>19454494</v>
      </c>
      <c r="G4576">
        <v>15559772</v>
      </c>
      <c r="H4576">
        <v>15268388</v>
      </c>
      <c r="I4576">
        <v>13102315</v>
      </c>
      <c r="J4576">
        <v>11278209</v>
      </c>
      <c r="K4576">
        <v>10431167</v>
      </c>
      <c r="P4576">
        <v>95</v>
      </c>
      <c r="Q4576" t="s">
        <v>9498</v>
      </c>
    </row>
    <row r="4577" spans="1:17" x14ac:dyDescent="0.3">
      <c r="A4577" t="s">
        <v>4729</v>
      </c>
      <c r="B4577" t="str">
        <f>"300787"</f>
        <v>300787</v>
      </c>
      <c r="C4577" t="s">
        <v>9499</v>
      </c>
      <c r="D4577" t="s">
        <v>313</v>
      </c>
      <c r="F4577">
        <v>108072530</v>
      </c>
      <c r="G4577">
        <v>89921252</v>
      </c>
      <c r="H4577">
        <v>76441586</v>
      </c>
      <c r="I4577">
        <v>54539916</v>
      </c>
      <c r="J4577">
        <v>46866159</v>
      </c>
      <c r="K4577">
        <v>41668930</v>
      </c>
      <c r="P4577">
        <v>87</v>
      </c>
      <c r="Q4577" t="s">
        <v>9500</v>
      </c>
    </row>
    <row r="4578" spans="1:17" x14ac:dyDescent="0.3">
      <c r="A4578" t="s">
        <v>4729</v>
      </c>
      <c r="B4578" t="str">
        <f>"300788"</f>
        <v>300788</v>
      </c>
      <c r="C4578" t="s">
        <v>9501</v>
      </c>
      <c r="D4578" t="s">
        <v>525</v>
      </c>
      <c r="F4578">
        <v>8649908</v>
      </c>
      <c r="G4578">
        <v>9843185</v>
      </c>
      <c r="H4578">
        <v>7619363</v>
      </c>
      <c r="I4578">
        <v>7248810</v>
      </c>
      <c r="P4578">
        <v>347</v>
      </c>
      <c r="Q4578" t="s">
        <v>9502</v>
      </c>
    </row>
    <row r="4579" spans="1:17" x14ac:dyDescent="0.3">
      <c r="A4579" t="s">
        <v>4729</v>
      </c>
      <c r="B4579" t="str">
        <f>"300789"</f>
        <v>300789</v>
      </c>
      <c r="C4579" t="s">
        <v>9503</v>
      </c>
      <c r="D4579" t="s">
        <v>236</v>
      </c>
      <c r="F4579">
        <v>54723999</v>
      </c>
      <c r="G4579">
        <v>51797252</v>
      </c>
      <c r="H4579">
        <v>38649848</v>
      </c>
      <c r="I4579">
        <v>28798142</v>
      </c>
      <c r="J4579">
        <v>24684574</v>
      </c>
      <c r="K4579">
        <v>17179333</v>
      </c>
      <c r="P4579">
        <v>79</v>
      </c>
      <c r="Q4579" t="s">
        <v>9504</v>
      </c>
    </row>
    <row r="4580" spans="1:17" x14ac:dyDescent="0.3">
      <c r="A4580" t="s">
        <v>4729</v>
      </c>
      <c r="B4580" t="str">
        <f>"300790"</f>
        <v>300790</v>
      </c>
      <c r="C4580" t="s">
        <v>9505</v>
      </c>
      <c r="D4580" t="s">
        <v>2980</v>
      </c>
      <c r="F4580">
        <v>133631300</v>
      </c>
      <c r="G4580">
        <v>74894200</v>
      </c>
      <c r="H4580">
        <v>59903432</v>
      </c>
      <c r="I4580">
        <v>39367195</v>
      </c>
      <c r="J4580">
        <v>29851093</v>
      </c>
      <c r="K4580">
        <v>21746325</v>
      </c>
      <c r="P4580">
        <v>160</v>
      </c>
      <c r="Q4580" t="s">
        <v>9506</v>
      </c>
    </row>
    <row r="4581" spans="1:17" x14ac:dyDescent="0.3">
      <c r="A4581" t="s">
        <v>4729</v>
      </c>
      <c r="B4581" t="str">
        <f>"300791"</f>
        <v>300791</v>
      </c>
      <c r="C4581" t="s">
        <v>9507</v>
      </c>
      <c r="D4581" t="s">
        <v>838</v>
      </c>
      <c r="F4581">
        <v>83190311</v>
      </c>
      <c r="G4581">
        <v>64711229</v>
      </c>
      <c r="H4581">
        <v>65784960</v>
      </c>
      <c r="I4581">
        <v>62062735</v>
      </c>
      <c r="J4581">
        <v>45512081</v>
      </c>
      <c r="K4581">
        <v>40847852</v>
      </c>
      <c r="P4581">
        <v>286</v>
      </c>
      <c r="Q4581" t="s">
        <v>9508</v>
      </c>
    </row>
    <row r="4582" spans="1:17" x14ac:dyDescent="0.3">
      <c r="A4582" t="s">
        <v>4729</v>
      </c>
      <c r="B4582" t="str">
        <f>"300792"</f>
        <v>300792</v>
      </c>
      <c r="C4582" t="s">
        <v>9509</v>
      </c>
      <c r="D4582" t="s">
        <v>3617</v>
      </c>
      <c r="F4582">
        <v>24427468</v>
      </c>
      <c r="G4582">
        <v>13762303</v>
      </c>
      <c r="H4582">
        <v>3097519</v>
      </c>
      <c r="P4582">
        <v>369</v>
      </c>
      <c r="Q4582" t="s">
        <v>9510</v>
      </c>
    </row>
    <row r="4583" spans="1:17" x14ac:dyDescent="0.3">
      <c r="A4583" t="s">
        <v>4729</v>
      </c>
      <c r="B4583" t="str">
        <f>"300793"</f>
        <v>300793</v>
      </c>
      <c r="C4583" t="s">
        <v>9511</v>
      </c>
      <c r="D4583" t="s">
        <v>313</v>
      </c>
      <c r="F4583">
        <v>117279209</v>
      </c>
      <c r="G4583">
        <v>104334764</v>
      </c>
      <c r="H4583">
        <v>79425052</v>
      </c>
      <c r="I4583">
        <v>63978234</v>
      </c>
      <c r="J4583">
        <v>50933350</v>
      </c>
      <c r="K4583">
        <v>63194995</v>
      </c>
      <c r="P4583">
        <v>144</v>
      </c>
      <c r="Q4583" t="s">
        <v>9512</v>
      </c>
    </row>
    <row r="4584" spans="1:17" x14ac:dyDescent="0.3">
      <c r="A4584" t="s">
        <v>4729</v>
      </c>
      <c r="B4584" t="str">
        <f>"300795"</f>
        <v>300795</v>
      </c>
      <c r="C4584" t="s">
        <v>9513</v>
      </c>
      <c r="D4584" t="s">
        <v>1673</v>
      </c>
      <c r="F4584">
        <v>23501864</v>
      </c>
      <c r="G4584">
        <v>13670776</v>
      </c>
      <c r="H4584">
        <v>5487416</v>
      </c>
      <c r="I4584">
        <v>4606001</v>
      </c>
      <c r="J4584">
        <v>3366631</v>
      </c>
      <c r="K4584">
        <v>291265</v>
      </c>
      <c r="P4584">
        <v>109</v>
      </c>
      <c r="Q4584" t="s">
        <v>9514</v>
      </c>
    </row>
    <row r="4585" spans="1:17" x14ac:dyDescent="0.3">
      <c r="A4585" t="s">
        <v>4729</v>
      </c>
      <c r="B4585" t="str">
        <f>"300796"</f>
        <v>300796</v>
      </c>
      <c r="C4585" t="s">
        <v>9515</v>
      </c>
      <c r="D4585" t="s">
        <v>853</v>
      </c>
      <c r="F4585">
        <v>32595075</v>
      </c>
      <c r="G4585">
        <v>22814885</v>
      </c>
      <c r="H4585">
        <v>29475351</v>
      </c>
      <c r="I4585">
        <v>28536540</v>
      </c>
      <c r="J4585">
        <v>25869939</v>
      </c>
      <c r="K4585">
        <v>19505076</v>
      </c>
      <c r="P4585">
        <v>45</v>
      </c>
      <c r="Q4585" t="s">
        <v>9516</v>
      </c>
    </row>
    <row r="4586" spans="1:17" x14ac:dyDescent="0.3">
      <c r="A4586" t="s">
        <v>4729</v>
      </c>
      <c r="B4586" t="str">
        <f>"300797"</f>
        <v>300797</v>
      </c>
      <c r="C4586" t="s">
        <v>9517</v>
      </c>
      <c r="D4586" t="s">
        <v>110</v>
      </c>
      <c r="F4586">
        <v>59311374</v>
      </c>
      <c r="G4586">
        <v>44396354</v>
      </c>
      <c r="H4586">
        <v>45808276</v>
      </c>
      <c r="I4586">
        <v>49333701</v>
      </c>
      <c r="J4586">
        <v>45347614</v>
      </c>
      <c r="K4586">
        <v>40495219</v>
      </c>
      <c r="P4586">
        <v>67</v>
      </c>
      <c r="Q4586" t="s">
        <v>9518</v>
      </c>
    </row>
    <row r="4587" spans="1:17" x14ac:dyDescent="0.3">
      <c r="A4587" t="s">
        <v>4729</v>
      </c>
      <c r="B4587" t="str">
        <f>"300798"</f>
        <v>300798</v>
      </c>
      <c r="C4587" t="s">
        <v>9519</v>
      </c>
      <c r="D4587" t="s">
        <v>779</v>
      </c>
      <c r="F4587">
        <v>33178289</v>
      </c>
      <c r="G4587">
        <v>24565657</v>
      </c>
      <c r="H4587">
        <v>43438330</v>
      </c>
      <c r="I4587">
        <v>44819360</v>
      </c>
      <c r="J4587">
        <v>40863880</v>
      </c>
      <c r="K4587">
        <v>48077366</v>
      </c>
      <c r="P4587">
        <v>55</v>
      </c>
      <c r="Q4587" t="s">
        <v>9520</v>
      </c>
    </row>
    <row r="4588" spans="1:17" x14ac:dyDescent="0.3">
      <c r="A4588" t="s">
        <v>4729</v>
      </c>
      <c r="B4588" t="str">
        <f>"300799"</f>
        <v>300799</v>
      </c>
      <c r="C4588" t="s">
        <v>9521</v>
      </c>
      <c r="D4588" t="s">
        <v>1189</v>
      </c>
      <c r="F4588">
        <v>63722619</v>
      </c>
      <c r="G4588">
        <v>37292156</v>
      </c>
      <c r="H4588">
        <v>29862360</v>
      </c>
      <c r="I4588">
        <v>22375250</v>
      </c>
      <c r="J4588">
        <v>13980292</v>
      </c>
      <c r="K4588">
        <v>5904044</v>
      </c>
      <c r="P4588">
        <v>140</v>
      </c>
      <c r="Q4588" t="s">
        <v>9522</v>
      </c>
    </row>
    <row r="4589" spans="1:17" x14ac:dyDescent="0.3">
      <c r="A4589" t="s">
        <v>4729</v>
      </c>
      <c r="B4589" t="str">
        <f>"300800"</f>
        <v>300800</v>
      </c>
      <c r="C4589" t="s">
        <v>9523</v>
      </c>
      <c r="D4589" t="s">
        <v>1070</v>
      </c>
      <c r="F4589">
        <v>65253778</v>
      </c>
      <c r="G4589">
        <v>51796568</v>
      </c>
      <c r="H4589">
        <v>49887359</v>
      </c>
      <c r="I4589">
        <v>41484591</v>
      </c>
      <c r="J4589">
        <v>24262397</v>
      </c>
      <c r="K4589">
        <v>18805565</v>
      </c>
      <c r="P4589">
        <v>362</v>
      </c>
      <c r="Q4589" t="s">
        <v>9524</v>
      </c>
    </row>
    <row r="4590" spans="1:17" x14ac:dyDescent="0.3">
      <c r="A4590" t="s">
        <v>4729</v>
      </c>
      <c r="B4590" t="str">
        <f>"300801"</f>
        <v>300801</v>
      </c>
      <c r="C4590" t="s">
        <v>9525</v>
      </c>
      <c r="D4590" t="s">
        <v>386</v>
      </c>
      <c r="F4590">
        <v>79742117</v>
      </c>
      <c r="G4590">
        <v>65424230</v>
      </c>
      <c r="H4590">
        <v>46644877</v>
      </c>
      <c r="I4590">
        <v>47967475</v>
      </c>
      <c r="J4590">
        <v>43387303</v>
      </c>
      <c r="K4590">
        <v>31162500</v>
      </c>
      <c r="P4590">
        <v>112</v>
      </c>
      <c r="Q4590" t="s">
        <v>9526</v>
      </c>
    </row>
    <row r="4591" spans="1:17" x14ac:dyDescent="0.3">
      <c r="A4591" t="s">
        <v>4729</v>
      </c>
      <c r="B4591" t="str">
        <f>"300802"</f>
        <v>300802</v>
      </c>
      <c r="C4591" t="s">
        <v>9527</v>
      </c>
      <c r="D4591" t="s">
        <v>3477</v>
      </c>
      <c r="F4591">
        <v>48453569</v>
      </c>
      <c r="G4591">
        <v>28685971</v>
      </c>
      <c r="H4591">
        <v>29534440</v>
      </c>
      <c r="I4591">
        <v>29195164</v>
      </c>
      <c r="J4591">
        <v>25720861</v>
      </c>
      <c r="K4591">
        <v>25781889</v>
      </c>
      <c r="P4591">
        <v>182</v>
      </c>
      <c r="Q4591" t="s">
        <v>9528</v>
      </c>
    </row>
    <row r="4592" spans="1:17" x14ac:dyDescent="0.3">
      <c r="A4592" t="s">
        <v>4729</v>
      </c>
      <c r="B4592" t="str">
        <f>"300803"</f>
        <v>300803</v>
      </c>
      <c r="C4592" t="s">
        <v>9529</v>
      </c>
      <c r="D4592" t="s">
        <v>945</v>
      </c>
      <c r="F4592">
        <v>108901458</v>
      </c>
      <c r="G4592">
        <v>92374609</v>
      </c>
      <c r="H4592">
        <v>80094048</v>
      </c>
      <c r="I4592">
        <v>43442678</v>
      </c>
      <c r="J4592">
        <v>32208322</v>
      </c>
      <c r="K4592">
        <v>47302132</v>
      </c>
      <c r="P4592">
        <v>194</v>
      </c>
      <c r="Q4592" t="s">
        <v>9530</v>
      </c>
    </row>
    <row r="4593" spans="1:17" x14ac:dyDescent="0.3">
      <c r="A4593" t="s">
        <v>4729</v>
      </c>
      <c r="B4593" t="str">
        <f>"300805"</f>
        <v>300805</v>
      </c>
      <c r="C4593" t="s">
        <v>9531</v>
      </c>
      <c r="D4593" t="s">
        <v>207</v>
      </c>
      <c r="F4593">
        <v>32406722</v>
      </c>
      <c r="G4593">
        <v>24056594</v>
      </c>
      <c r="H4593">
        <v>20501098</v>
      </c>
      <c r="I4593">
        <v>20661677</v>
      </c>
      <c r="J4593">
        <v>12011268</v>
      </c>
      <c r="K4593">
        <v>9051545</v>
      </c>
      <c r="P4593">
        <v>71</v>
      </c>
      <c r="Q4593" t="s">
        <v>9532</v>
      </c>
    </row>
    <row r="4594" spans="1:17" x14ac:dyDescent="0.3">
      <c r="A4594" t="s">
        <v>4729</v>
      </c>
      <c r="B4594" t="str">
        <f>"300806"</f>
        <v>300806</v>
      </c>
      <c r="C4594" t="s">
        <v>9533</v>
      </c>
      <c r="D4594" t="s">
        <v>324</v>
      </c>
      <c r="F4594">
        <v>109001729</v>
      </c>
      <c r="G4594">
        <v>94797492</v>
      </c>
      <c r="H4594">
        <v>82806723</v>
      </c>
      <c r="I4594">
        <v>67751784</v>
      </c>
      <c r="J4594">
        <v>73571351</v>
      </c>
      <c r="K4594">
        <v>49706588</v>
      </c>
      <c r="P4594">
        <v>168</v>
      </c>
      <c r="Q4594" t="s">
        <v>9534</v>
      </c>
    </row>
    <row r="4595" spans="1:17" x14ac:dyDescent="0.3">
      <c r="A4595" t="s">
        <v>4729</v>
      </c>
      <c r="B4595" t="str">
        <f>"300807"</f>
        <v>300807</v>
      </c>
      <c r="C4595" t="s">
        <v>9535</v>
      </c>
      <c r="D4595" t="s">
        <v>236</v>
      </c>
      <c r="F4595">
        <v>68658298</v>
      </c>
      <c r="G4595">
        <v>56870078</v>
      </c>
      <c r="H4595">
        <v>52451507</v>
      </c>
      <c r="I4595">
        <v>40577858</v>
      </c>
      <c r="J4595">
        <v>34109637</v>
      </c>
      <c r="K4595">
        <v>28715464</v>
      </c>
      <c r="P4595">
        <v>103</v>
      </c>
      <c r="Q4595" t="s">
        <v>9536</v>
      </c>
    </row>
    <row r="4596" spans="1:17" x14ac:dyDescent="0.3">
      <c r="A4596" t="s">
        <v>4729</v>
      </c>
      <c r="B4596" t="str">
        <f>"300808"</f>
        <v>300808</v>
      </c>
      <c r="C4596" t="s">
        <v>9537</v>
      </c>
      <c r="D4596" t="s">
        <v>803</v>
      </c>
      <c r="F4596">
        <v>23172859</v>
      </c>
      <c r="G4596">
        <v>24195399</v>
      </c>
      <c r="H4596">
        <v>28157860</v>
      </c>
      <c r="I4596">
        <v>30196452</v>
      </c>
      <c r="J4596">
        <v>31818079</v>
      </c>
      <c r="K4596">
        <v>31954834</v>
      </c>
      <c r="P4596">
        <v>55</v>
      </c>
      <c r="Q4596" t="s">
        <v>9538</v>
      </c>
    </row>
    <row r="4597" spans="1:17" x14ac:dyDescent="0.3">
      <c r="A4597" t="s">
        <v>4729</v>
      </c>
      <c r="B4597" t="str">
        <f>"300809"</f>
        <v>300809</v>
      </c>
      <c r="C4597" t="s">
        <v>9539</v>
      </c>
      <c r="D4597" t="s">
        <v>2321</v>
      </c>
      <c r="F4597">
        <v>29229419</v>
      </c>
      <c r="G4597">
        <v>19261246</v>
      </c>
      <c r="H4597">
        <v>16781365</v>
      </c>
      <c r="I4597">
        <v>16652843</v>
      </c>
      <c r="J4597">
        <v>14468261</v>
      </c>
      <c r="K4597">
        <v>13078231</v>
      </c>
      <c r="P4597">
        <v>110</v>
      </c>
      <c r="Q4597" t="s">
        <v>9540</v>
      </c>
    </row>
    <row r="4598" spans="1:17" x14ac:dyDescent="0.3">
      <c r="A4598" t="s">
        <v>4729</v>
      </c>
      <c r="B4598" t="str">
        <f>"300810"</f>
        <v>300810</v>
      </c>
      <c r="C4598" t="s">
        <v>9541</v>
      </c>
      <c r="D4598" t="s">
        <v>167</v>
      </c>
      <c r="F4598">
        <v>49758629</v>
      </c>
      <c r="G4598">
        <v>46513061</v>
      </c>
      <c r="H4598">
        <v>41476436</v>
      </c>
      <c r="I4598">
        <v>34814329</v>
      </c>
      <c r="J4598">
        <v>26589966</v>
      </c>
      <c r="K4598">
        <v>15311179</v>
      </c>
      <c r="P4598">
        <v>57</v>
      </c>
      <c r="Q4598" t="s">
        <v>9542</v>
      </c>
    </row>
    <row r="4599" spans="1:17" x14ac:dyDescent="0.3">
      <c r="A4599" t="s">
        <v>4729</v>
      </c>
      <c r="B4599" t="str">
        <f>"300811"</f>
        <v>300811</v>
      </c>
      <c r="C4599" t="s">
        <v>9543</v>
      </c>
      <c r="D4599" t="s">
        <v>808</v>
      </c>
      <c r="F4599">
        <v>42421041</v>
      </c>
      <c r="G4599">
        <v>26740961</v>
      </c>
      <c r="H4599">
        <v>23712342</v>
      </c>
      <c r="I4599">
        <v>17721674</v>
      </c>
      <c r="J4599">
        <v>20145589</v>
      </c>
      <c r="K4599">
        <v>8682178</v>
      </c>
      <c r="P4599">
        <v>163</v>
      </c>
      <c r="Q4599" t="s">
        <v>9544</v>
      </c>
    </row>
    <row r="4600" spans="1:17" x14ac:dyDescent="0.3">
      <c r="A4600" t="s">
        <v>4729</v>
      </c>
      <c r="B4600" t="str">
        <f>"300812"</f>
        <v>300812</v>
      </c>
      <c r="C4600" t="s">
        <v>9545</v>
      </c>
      <c r="D4600" t="s">
        <v>3187</v>
      </c>
      <c r="F4600">
        <v>55008693</v>
      </c>
      <c r="G4600">
        <v>40517260</v>
      </c>
      <c r="H4600">
        <v>35076480</v>
      </c>
      <c r="I4600">
        <v>28795914</v>
      </c>
      <c r="J4600">
        <v>19033023</v>
      </c>
      <c r="K4600">
        <v>14241563</v>
      </c>
      <c r="P4600">
        <v>111</v>
      </c>
      <c r="Q4600" t="s">
        <v>9546</v>
      </c>
    </row>
    <row r="4601" spans="1:17" x14ac:dyDescent="0.3">
      <c r="A4601" t="s">
        <v>4729</v>
      </c>
      <c r="B4601" t="str">
        <f>"300813"</f>
        <v>300813</v>
      </c>
      <c r="C4601" t="s">
        <v>9547</v>
      </c>
      <c r="D4601" t="s">
        <v>741</v>
      </c>
      <c r="F4601">
        <v>55047569</v>
      </c>
      <c r="G4601">
        <v>37721548</v>
      </c>
      <c r="H4601">
        <v>29309763</v>
      </c>
      <c r="I4601">
        <v>21147911</v>
      </c>
      <c r="J4601">
        <v>15523611</v>
      </c>
      <c r="K4601">
        <v>13541857</v>
      </c>
      <c r="P4601">
        <v>106</v>
      </c>
      <c r="Q4601" t="s">
        <v>9548</v>
      </c>
    </row>
    <row r="4602" spans="1:17" x14ac:dyDescent="0.3">
      <c r="A4602" t="s">
        <v>4729</v>
      </c>
      <c r="B4602" t="str">
        <f>"300814"</f>
        <v>300814</v>
      </c>
      <c r="C4602" t="s">
        <v>9549</v>
      </c>
      <c r="D4602" t="s">
        <v>425</v>
      </c>
      <c r="F4602">
        <v>64626511</v>
      </c>
      <c r="G4602">
        <v>55294816</v>
      </c>
      <c r="H4602">
        <v>63350345</v>
      </c>
      <c r="I4602">
        <v>49824278</v>
      </c>
      <c r="J4602">
        <v>36133467</v>
      </c>
      <c r="P4602">
        <v>14</v>
      </c>
      <c r="Q4602" t="s">
        <v>9550</v>
      </c>
    </row>
    <row r="4603" spans="1:17" x14ac:dyDescent="0.3">
      <c r="A4603" t="s">
        <v>4729</v>
      </c>
      <c r="B4603" t="str">
        <f>"300815"</f>
        <v>300815</v>
      </c>
      <c r="C4603" t="s">
        <v>9551</v>
      </c>
      <c r="D4603" t="s">
        <v>499</v>
      </c>
      <c r="F4603">
        <v>9053595</v>
      </c>
      <c r="G4603">
        <v>4489048</v>
      </c>
      <c r="P4603">
        <v>345</v>
      </c>
      <c r="Q4603" t="s">
        <v>9552</v>
      </c>
    </row>
    <row r="4604" spans="1:17" x14ac:dyDescent="0.3">
      <c r="A4604" t="s">
        <v>4729</v>
      </c>
      <c r="B4604" t="str">
        <f>"300816"</f>
        <v>300816</v>
      </c>
      <c r="C4604" t="s">
        <v>9553</v>
      </c>
      <c r="D4604" t="s">
        <v>985</v>
      </c>
      <c r="F4604">
        <v>47696056</v>
      </c>
      <c r="G4604">
        <v>35444838</v>
      </c>
      <c r="H4604">
        <v>31794026</v>
      </c>
      <c r="I4604">
        <v>22459082</v>
      </c>
      <c r="J4604">
        <v>23690507</v>
      </c>
      <c r="K4604">
        <v>14793011</v>
      </c>
      <c r="P4604">
        <v>150</v>
      </c>
      <c r="Q4604" t="s">
        <v>9554</v>
      </c>
    </row>
    <row r="4605" spans="1:17" x14ac:dyDescent="0.3">
      <c r="A4605" t="s">
        <v>4729</v>
      </c>
      <c r="B4605" t="str">
        <f>"300817"</f>
        <v>300817</v>
      </c>
      <c r="C4605" t="s">
        <v>9555</v>
      </c>
      <c r="D4605" t="s">
        <v>274</v>
      </c>
      <c r="F4605">
        <v>51475606</v>
      </c>
      <c r="G4605">
        <v>32237447</v>
      </c>
      <c r="H4605">
        <v>27215055</v>
      </c>
      <c r="I4605">
        <v>23452824</v>
      </c>
      <c r="J4605">
        <v>20166180</v>
      </c>
      <c r="K4605">
        <v>15714441</v>
      </c>
      <c r="P4605">
        <v>63</v>
      </c>
      <c r="Q4605" t="s">
        <v>9556</v>
      </c>
    </row>
    <row r="4606" spans="1:17" x14ac:dyDescent="0.3">
      <c r="A4606" t="s">
        <v>4729</v>
      </c>
      <c r="B4606" t="str">
        <f>"300818"</f>
        <v>300818</v>
      </c>
      <c r="C4606" t="s">
        <v>9557</v>
      </c>
      <c r="D4606" t="s">
        <v>404</v>
      </c>
      <c r="F4606">
        <v>25168267</v>
      </c>
      <c r="G4606">
        <v>15368497</v>
      </c>
      <c r="H4606">
        <v>11136846</v>
      </c>
      <c r="I4606">
        <v>12093246</v>
      </c>
      <c r="J4606">
        <v>8490146</v>
      </c>
      <c r="K4606">
        <v>8303706</v>
      </c>
      <c r="P4606">
        <v>92</v>
      </c>
      <c r="Q4606" t="s">
        <v>9558</v>
      </c>
    </row>
    <row r="4607" spans="1:17" x14ac:dyDescent="0.3">
      <c r="A4607" t="s">
        <v>4729</v>
      </c>
      <c r="B4607" t="str">
        <f>"300819"</f>
        <v>300819</v>
      </c>
      <c r="C4607" t="s">
        <v>9559</v>
      </c>
      <c r="D4607" t="s">
        <v>366</v>
      </c>
      <c r="F4607">
        <v>21061980</v>
      </c>
      <c r="G4607">
        <v>16164366</v>
      </c>
      <c r="H4607">
        <v>19863596</v>
      </c>
      <c r="I4607">
        <v>18124167</v>
      </c>
      <c r="J4607">
        <v>14133843</v>
      </c>
      <c r="K4607">
        <v>15407213</v>
      </c>
      <c r="P4607">
        <v>50</v>
      </c>
      <c r="Q4607" t="s">
        <v>9560</v>
      </c>
    </row>
    <row r="4608" spans="1:17" x14ac:dyDescent="0.3">
      <c r="A4608" t="s">
        <v>4729</v>
      </c>
      <c r="B4608" t="str">
        <f>"300820"</f>
        <v>300820</v>
      </c>
      <c r="C4608" t="s">
        <v>9561</v>
      </c>
      <c r="D4608" t="s">
        <v>880</v>
      </c>
      <c r="F4608">
        <v>51320537</v>
      </c>
      <c r="G4608">
        <v>34069712</v>
      </c>
      <c r="H4608">
        <v>30780739</v>
      </c>
      <c r="I4608">
        <v>26931751</v>
      </c>
      <c r="J4608">
        <v>19839492</v>
      </c>
      <c r="K4608">
        <v>15296968</v>
      </c>
      <c r="P4608">
        <v>369</v>
      </c>
      <c r="Q4608" t="s">
        <v>9562</v>
      </c>
    </row>
    <row r="4609" spans="1:17" x14ac:dyDescent="0.3">
      <c r="A4609" t="s">
        <v>4729</v>
      </c>
      <c r="B4609" t="str">
        <f>"300821"</f>
        <v>300821</v>
      </c>
      <c r="C4609" t="s">
        <v>9563</v>
      </c>
      <c r="D4609" t="s">
        <v>1205</v>
      </c>
      <c r="F4609">
        <v>231821069</v>
      </c>
      <c r="G4609">
        <v>185969644</v>
      </c>
      <c r="H4609">
        <v>85598468</v>
      </c>
      <c r="I4609">
        <v>44541208</v>
      </c>
      <c r="J4609">
        <v>2961685</v>
      </c>
      <c r="P4609">
        <v>159</v>
      </c>
      <c r="Q4609" t="s">
        <v>9564</v>
      </c>
    </row>
    <row r="4610" spans="1:17" x14ac:dyDescent="0.3">
      <c r="A4610" t="s">
        <v>4729</v>
      </c>
      <c r="B4610" t="str">
        <f>"300822"</f>
        <v>300822</v>
      </c>
      <c r="C4610" t="s">
        <v>9565</v>
      </c>
      <c r="D4610" t="s">
        <v>313</v>
      </c>
      <c r="F4610">
        <v>48938040</v>
      </c>
      <c r="G4610">
        <v>32412426</v>
      </c>
      <c r="H4610">
        <v>26296731</v>
      </c>
      <c r="I4610">
        <v>19814980</v>
      </c>
      <c r="J4610">
        <v>17450690</v>
      </c>
      <c r="P4610">
        <v>131</v>
      </c>
      <c r="Q4610" t="s">
        <v>9566</v>
      </c>
    </row>
    <row r="4611" spans="1:17" x14ac:dyDescent="0.3">
      <c r="A4611" t="s">
        <v>4729</v>
      </c>
      <c r="B4611" t="str">
        <f>"300823"</f>
        <v>300823</v>
      </c>
      <c r="C4611" t="s">
        <v>9567</v>
      </c>
      <c r="D4611" t="s">
        <v>741</v>
      </c>
      <c r="F4611">
        <v>29795282</v>
      </c>
      <c r="G4611">
        <v>26686662</v>
      </c>
      <c r="H4611">
        <v>20979762</v>
      </c>
      <c r="I4611">
        <v>19742195</v>
      </c>
      <c r="J4611">
        <v>17421203</v>
      </c>
      <c r="P4611">
        <v>109</v>
      </c>
      <c r="Q4611" t="s">
        <v>9568</v>
      </c>
    </row>
    <row r="4612" spans="1:17" x14ac:dyDescent="0.3">
      <c r="A4612" t="s">
        <v>4729</v>
      </c>
      <c r="B4612" t="str">
        <f>"300824"</f>
        <v>300824</v>
      </c>
      <c r="C4612" t="s">
        <v>9569</v>
      </c>
      <c r="D4612" t="s">
        <v>5799</v>
      </c>
      <c r="F4612">
        <v>30778996</v>
      </c>
      <c r="G4612">
        <v>26435638</v>
      </c>
      <c r="H4612">
        <v>21910471</v>
      </c>
      <c r="I4612">
        <v>21385883</v>
      </c>
      <c r="J4612">
        <v>21773440</v>
      </c>
      <c r="K4612">
        <v>20359081</v>
      </c>
      <c r="P4612">
        <v>167</v>
      </c>
      <c r="Q4612" t="s">
        <v>9570</v>
      </c>
    </row>
    <row r="4613" spans="1:17" x14ac:dyDescent="0.3">
      <c r="A4613" t="s">
        <v>4729</v>
      </c>
      <c r="B4613" t="str">
        <f>"300825"</f>
        <v>300825</v>
      </c>
      <c r="C4613" t="s">
        <v>9571</v>
      </c>
      <c r="D4613" t="s">
        <v>2368</v>
      </c>
      <c r="F4613">
        <v>122713813</v>
      </c>
      <c r="G4613">
        <v>31951550</v>
      </c>
      <c r="H4613">
        <v>58933053</v>
      </c>
      <c r="I4613">
        <v>73280916</v>
      </c>
      <c r="J4613">
        <v>90300307</v>
      </c>
      <c r="P4613">
        <v>92</v>
      </c>
      <c r="Q4613" t="s">
        <v>9572</v>
      </c>
    </row>
    <row r="4614" spans="1:17" x14ac:dyDescent="0.3">
      <c r="A4614" t="s">
        <v>4729</v>
      </c>
      <c r="B4614" t="str">
        <f>"300826"</f>
        <v>300826</v>
      </c>
      <c r="C4614" t="s">
        <v>9573</v>
      </c>
      <c r="D4614" t="s">
        <v>1272</v>
      </c>
      <c r="F4614">
        <v>44392726</v>
      </c>
      <c r="G4614">
        <v>32683330</v>
      </c>
      <c r="H4614">
        <v>30746714</v>
      </c>
      <c r="I4614">
        <v>28912909</v>
      </c>
      <c r="J4614">
        <v>25810907</v>
      </c>
      <c r="P4614">
        <v>61</v>
      </c>
      <c r="Q4614" t="s">
        <v>9574</v>
      </c>
    </row>
    <row r="4615" spans="1:17" x14ac:dyDescent="0.3">
      <c r="A4615" t="s">
        <v>4729</v>
      </c>
      <c r="B4615" t="str">
        <f>"300827"</f>
        <v>300827</v>
      </c>
      <c r="C4615" t="s">
        <v>9575</v>
      </c>
      <c r="D4615" t="s">
        <v>3824</v>
      </c>
      <c r="F4615">
        <v>92847860</v>
      </c>
      <c r="G4615">
        <v>76151351</v>
      </c>
      <c r="H4615">
        <v>58470618</v>
      </c>
      <c r="I4615">
        <v>45293747</v>
      </c>
      <c r="J4615">
        <v>39419854</v>
      </c>
      <c r="P4615">
        <v>233</v>
      </c>
      <c r="Q4615" t="s">
        <v>9576</v>
      </c>
    </row>
    <row r="4616" spans="1:17" x14ac:dyDescent="0.3">
      <c r="A4616" t="s">
        <v>4729</v>
      </c>
      <c r="B4616" t="str">
        <f>"300828"</f>
        <v>300828</v>
      </c>
      <c r="C4616" t="s">
        <v>9577</v>
      </c>
      <c r="D4616" t="s">
        <v>274</v>
      </c>
      <c r="F4616">
        <v>27479687</v>
      </c>
      <c r="G4616">
        <v>18283677</v>
      </c>
      <c r="H4616">
        <v>14856835</v>
      </c>
      <c r="I4616">
        <v>13357035</v>
      </c>
      <c r="J4616">
        <v>13751572</v>
      </c>
      <c r="P4616">
        <v>91</v>
      </c>
      <c r="Q4616" t="s">
        <v>9578</v>
      </c>
    </row>
    <row r="4617" spans="1:17" x14ac:dyDescent="0.3">
      <c r="A4617" t="s">
        <v>4729</v>
      </c>
      <c r="B4617" t="str">
        <f>"300829"</f>
        <v>300829</v>
      </c>
      <c r="C4617" t="s">
        <v>9579</v>
      </c>
      <c r="D4617" t="s">
        <v>677</v>
      </c>
      <c r="F4617">
        <v>52482187</v>
      </c>
      <c r="G4617">
        <v>41429077</v>
      </c>
      <c r="H4617">
        <v>33311709</v>
      </c>
      <c r="I4617">
        <v>30547745</v>
      </c>
      <c r="J4617">
        <v>24999385</v>
      </c>
      <c r="P4617">
        <v>125</v>
      </c>
      <c r="Q4617" t="s">
        <v>9580</v>
      </c>
    </row>
    <row r="4618" spans="1:17" x14ac:dyDescent="0.3">
      <c r="A4618" t="s">
        <v>4729</v>
      </c>
      <c r="B4618" t="str">
        <f>"300830"</f>
        <v>300830</v>
      </c>
      <c r="C4618" t="s">
        <v>9581</v>
      </c>
      <c r="D4618" t="s">
        <v>945</v>
      </c>
      <c r="F4618">
        <v>70696222</v>
      </c>
      <c r="G4618">
        <v>47792125</v>
      </c>
      <c r="H4618">
        <v>35147216</v>
      </c>
      <c r="I4618">
        <v>31581895</v>
      </c>
      <c r="J4618">
        <v>28329499</v>
      </c>
      <c r="K4618">
        <v>24021387</v>
      </c>
      <c r="P4618">
        <v>74</v>
      </c>
      <c r="Q4618" t="s">
        <v>9582</v>
      </c>
    </row>
    <row r="4619" spans="1:17" x14ac:dyDescent="0.3">
      <c r="A4619" t="s">
        <v>4729</v>
      </c>
      <c r="B4619" t="str">
        <f>"300831"</f>
        <v>300831</v>
      </c>
      <c r="C4619" t="s">
        <v>9583</v>
      </c>
      <c r="D4619" t="s">
        <v>795</v>
      </c>
      <c r="F4619">
        <v>10222695</v>
      </c>
      <c r="G4619">
        <v>4956190</v>
      </c>
      <c r="H4619">
        <v>7422385</v>
      </c>
      <c r="I4619">
        <v>8519071</v>
      </c>
      <c r="J4619">
        <v>17182043</v>
      </c>
      <c r="P4619">
        <v>129</v>
      </c>
      <c r="Q4619" t="s">
        <v>9584</v>
      </c>
    </row>
    <row r="4620" spans="1:17" x14ac:dyDescent="0.3">
      <c r="A4620" t="s">
        <v>4729</v>
      </c>
      <c r="B4620" t="str">
        <f>"300832"</f>
        <v>300832</v>
      </c>
      <c r="C4620" t="s">
        <v>9585</v>
      </c>
      <c r="D4620" t="s">
        <v>1305</v>
      </c>
      <c r="F4620">
        <v>215045140</v>
      </c>
      <c r="G4620">
        <v>150583900</v>
      </c>
      <c r="H4620">
        <v>119590047</v>
      </c>
      <c r="I4620">
        <v>84242373</v>
      </c>
      <c r="J4620">
        <v>57154198</v>
      </c>
      <c r="P4620">
        <v>513</v>
      </c>
      <c r="Q4620" t="s">
        <v>9586</v>
      </c>
    </row>
    <row r="4621" spans="1:17" x14ac:dyDescent="0.3">
      <c r="A4621" t="s">
        <v>4729</v>
      </c>
      <c r="B4621" t="str">
        <f>"300833"</f>
        <v>300833</v>
      </c>
      <c r="C4621" t="s">
        <v>9587</v>
      </c>
      <c r="D4621" t="s">
        <v>741</v>
      </c>
      <c r="F4621">
        <v>41906015</v>
      </c>
      <c r="G4621">
        <v>31111547</v>
      </c>
      <c r="H4621">
        <v>42387244</v>
      </c>
      <c r="I4621">
        <v>40339786</v>
      </c>
      <c r="J4621">
        <v>36168561</v>
      </c>
      <c r="P4621">
        <v>89</v>
      </c>
      <c r="Q4621" t="s">
        <v>9588</v>
      </c>
    </row>
    <row r="4622" spans="1:17" x14ac:dyDescent="0.3">
      <c r="A4622" t="s">
        <v>4729</v>
      </c>
      <c r="B4622" t="str">
        <f>"300834"</f>
        <v>300834</v>
      </c>
      <c r="C4622" t="s">
        <v>9589</v>
      </c>
      <c r="D4622" t="s">
        <v>3377</v>
      </c>
      <c r="F4622">
        <v>68515933</v>
      </c>
      <c r="G4622">
        <v>45410897</v>
      </c>
      <c r="H4622">
        <v>42595804</v>
      </c>
      <c r="I4622">
        <v>50137433</v>
      </c>
      <c r="J4622">
        <v>49400341</v>
      </c>
      <c r="P4622">
        <v>19</v>
      </c>
      <c r="Q4622" t="s">
        <v>9590</v>
      </c>
    </row>
    <row r="4623" spans="1:17" x14ac:dyDescent="0.3">
      <c r="A4623" t="s">
        <v>4729</v>
      </c>
      <c r="B4623" t="str">
        <f>"300835"</f>
        <v>300835</v>
      </c>
      <c r="C4623" t="s">
        <v>9591</v>
      </c>
      <c r="D4623" t="s">
        <v>808</v>
      </c>
      <c r="F4623">
        <v>40775459</v>
      </c>
      <c r="G4623">
        <v>29120808</v>
      </c>
      <c r="H4623">
        <v>27067276</v>
      </c>
      <c r="I4623">
        <v>21947033</v>
      </c>
      <c r="J4623">
        <v>22535816</v>
      </c>
      <c r="P4623">
        <v>67</v>
      </c>
      <c r="Q4623" t="s">
        <v>9592</v>
      </c>
    </row>
    <row r="4624" spans="1:17" x14ac:dyDescent="0.3">
      <c r="A4624" t="s">
        <v>4729</v>
      </c>
      <c r="B4624" t="str">
        <f>"300836"</f>
        <v>300836</v>
      </c>
      <c r="C4624" t="s">
        <v>9593</v>
      </c>
      <c r="D4624" t="s">
        <v>741</v>
      </c>
      <c r="F4624">
        <v>27585525</v>
      </c>
      <c r="G4624">
        <v>21126128</v>
      </c>
      <c r="H4624">
        <v>26203818</v>
      </c>
      <c r="I4624">
        <v>21194420</v>
      </c>
      <c r="J4624">
        <v>12611134</v>
      </c>
      <c r="P4624">
        <v>61</v>
      </c>
      <c r="Q4624" t="s">
        <v>9594</v>
      </c>
    </row>
    <row r="4625" spans="1:17" x14ac:dyDescent="0.3">
      <c r="A4625" t="s">
        <v>4729</v>
      </c>
      <c r="B4625" t="str">
        <f>"300837"</f>
        <v>300837</v>
      </c>
      <c r="C4625" t="s">
        <v>9595</v>
      </c>
      <c r="D4625" t="s">
        <v>395</v>
      </c>
      <c r="F4625">
        <v>17785621</v>
      </c>
      <c r="G4625">
        <v>14702624</v>
      </c>
      <c r="H4625">
        <v>15326110</v>
      </c>
      <c r="I4625">
        <v>10857665</v>
      </c>
      <c r="J4625">
        <v>8073680</v>
      </c>
      <c r="P4625">
        <v>154</v>
      </c>
      <c r="Q4625" t="s">
        <v>9596</v>
      </c>
    </row>
    <row r="4626" spans="1:17" x14ac:dyDescent="0.3">
      <c r="A4626" t="s">
        <v>4729</v>
      </c>
      <c r="B4626" t="str">
        <f>"300838"</f>
        <v>300838</v>
      </c>
      <c r="C4626" t="s">
        <v>9597</v>
      </c>
      <c r="D4626" t="s">
        <v>274</v>
      </c>
      <c r="F4626">
        <v>27702739</v>
      </c>
      <c r="G4626">
        <v>16015779</v>
      </c>
      <c r="H4626">
        <v>15600491</v>
      </c>
      <c r="I4626">
        <v>15452108</v>
      </c>
      <c r="J4626">
        <v>10776606</v>
      </c>
      <c r="P4626">
        <v>39</v>
      </c>
      <c r="Q4626" t="s">
        <v>9598</v>
      </c>
    </row>
    <row r="4627" spans="1:17" x14ac:dyDescent="0.3">
      <c r="A4627" t="s">
        <v>4729</v>
      </c>
      <c r="B4627" t="str">
        <f>"300839"</f>
        <v>300839</v>
      </c>
      <c r="C4627" t="s">
        <v>9599</v>
      </c>
      <c r="D4627" t="s">
        <v>1617</v>
      </c>
      <c r="F4627">
        <v>30758519</v>
      </c>
      <c r="G4627">
        <v>34107365</v>
      </c>
      <c r="H4627">
        <v>22371112</v>
      </c>
      <c r="I4627">
        <v>20492947</v>
      </c>
      <c r="J4627">
        <v>10914480</v>
      </c>
      <c r="P4627">
        <v>58</v>
      </c>
      <c r="Q4627" t="s">
        <v>9600</v>
      </c>
    </row>
    <row r="4628" spans="1:17" x14ac:dyDescent="0.3">
      <c r="A4628" t="s">
        <v>4729</v>
      </c>
      <c r="B4628" t="str">
        <f>"300840"</f>
        <v>300840</v>
      </c>
      <c r="C4628" t="s">
        <v>9601</v>
      </c>
      <c r="D4628" t="s">
        <v>255</v>
      </c>
      <c r="F4628">
        <v>21782479</v>
      </c>
      <c r="G4628">
        <v>12671383</v>
      </c>
      <c r="H4628">
        <v>13477155</v>
      </c>
      <c r="I4628">
        <v>7362181</v>
      </c>
      <c r="J4628">
        <v>2268680</v>
      </c>
      <c r="K4628">
        <v>6970709</v>
      </c>
      <c r="P4628">
        <v>64</v>
      </c>
      <c r="Q4628" t="s">
        <v>9602</v>
      </c>
    </row>
    <row r="4629" spans="1:17" x14ac:dyDescent="0.3">
      <c r="A4629" t="s">
        <v>4729</v>
      </c>
      <c r="B4629" t="str">
        <f>"300841"</f>
        <v>300841</v>
      </c>
      <c r="C4629" t="s">
        <v>9603</v>
      </c>
      <c r="D4629" t="s">
        <v>1499</v>
      </c>
      <c r="F4629">
        <v>78875462</v>
      </c>
      <c r="G4629">
        <v>58253859</v>
      </c>
      <c r="H4629">
        <v>22785780</v>
      </c>
      <c r="I4629">
        <v>18922896</v>
      </c>
      <c r="J4629">
        <v>4273990</v>
      </c>
      <c r="K4629">
        <v>6355153</v>
      </c>
      <c r="P4629">
        <v>314</v>
      </c>
      <c r="Q4629" t="s">
        <v>9604</v>
      </c>
    </row>
    <row r="4630" spans="1:17" x14ac:dyDescent="0.3">
      <c r="A4630" t="s">
        <v>4729</v>
      </c>
      <c r="B4630" t="str">
        <f>"300842"</f>
        <v>300842</v>
      </c>
      <c r="C4630" t="s">
        <v>9605</v>
      </c>
      <c r="D4630" t="s">
        <v>478</v>
      </c>
      <c r="F4630">
        <v>98189004</v>
      </c>
      <c r="G4630">
        <v>57161164</v>
      </c>
      <c r="H4630">
        <v>48241695</v>
      </c>
      <c r="I4630">
        <v>40706015</v>
      </c>
      <c r="J4630">
        <v>37834936</v>
      </c>
      <c r="K4630">
        <v>11739074</v>
      </c>
      <c r="P4630">
        <v>130</v>
      </c>
      <c r="Q4630" t="s">
        <v>9606</v>
      </c>
    </row>
    <row r="4631" spans="1:17" x14ac:dyDescent="0.3">
      <c r="A4631" t="s">
        <v>4729</v>
      </c>
      <c r="B4631" t="str">
        <f>"300843"</f>
        <v>300843</v>
      </c>
      <c r="C4631" t="s">
        <v>9607</v>
      </c>
      <c r="D4631" t="s">
        <v>313</v>
      </c>
      <c r="F4631">
        <v>67964794</v>
      </c>
      <c r="G4631">
        <v>42949690</v>
      </c>
      <c r="H4631">
        <v>34977204</v>
      </c>
      <c r="I4631">
        <v>32517852</v>
      </c>
      <c r="J4631">
        <v>24350127</v>
      </c>
      <c r="K4631">
        <v>21192182</v>
      </c>
      <c r="P4631">
        <v>80</v>
      </c>
      <c r="Q4631" t="s">
        <v>9608</v>
      </c>
    </row>
    <row r="4632" spans="1:17" x14ac:dyDescent="0.3">
      <c r="A4632" t="s">
        <v>4729</v>
      </c>
      <c r="B4632" t="str">
        <f>"300844"</f>
        <v>300844</v>
      </c>
      <c r="C4632" t="s">
        <v>9609</v>
      </c>
      <c r="D4632" t="s">
        <v>1272</v>
      </c>
      <c r="F4632">
        <v>47416294</v>
      </c>
      <c r="G4632">
        <v>32905693</v>
      </c>
      <c r="H4632">
        <v>23011054</v>
      </c>
      <c r="I4632">
        <v>16475736</v>
      </c>
      <c r="J4632">
        <v>12709991</v>
      </c>
      <c r="P4632">
        <v>16</v>
      </c>
      <c r="Q4632" t="s">
        <v>9610</v>
      </c>
    </row>
    <row r="4633" spans="1:17" x14ac:dyDescent="0.3">
      <c r="A4633" t="s">
        <v>4729</v>
      </c>
      <c r="B4633" t="str">
        <f>"300845"</f>
        <v>300845</v>
      </c>
      <c r="C4633" t="s">
        <v>9611</v>
      </c>
      <c r="D4633" t="s">
        <v>236</v>
      </c>
      <c r="F4633">
        <v>26633871</v>
      </c>
      <c r="G4633">
        <v>26802398</v>
      </c>
      <c r="H4633">
        <v>23175150</v>
      </c>
      <c r="I4633">
        <v>21736357</v>
      </c>
      <c r="J4633">
        <v>20460954</v>
      </c>
      <c r="K4633">
        <v>17402601</v>
      </c>
      <c r="P4633">
        <v>83</v>
      </c>
      <c r="Q4633" t="s">
        <v>9612</v>
      </c>
    </row>
    <row r="4634" spans="1:17" x14ac:dyDescent="0.3">
      <c r="A4634" t="s">
        <v>4729</v>
      </c>
      <c r="B4634" t="str">
        <f>"300846"</f>
        <v>300846</v>
      </c>
      <c r="C4634" t="s">
        <v>9613</v>
      </c>
      <c r="D4634" t="s">
        <v>316</v>
      </c>
      <c r="F4634">
        <v>75974851</v>
      </c>
      <c r="G4634">
        <v>63957158</v>
      </c>
      <c r="H4634">
        <v>53504243</v>
      </c>
      <c r="I4634">
        <v>48202226</v>
      </c>
      <c r="J4634">
        <v>39245502</v>
      </c>
      <c r="K4634">
        <v>36059800</v>
      </c>
      <c r="P4634">
        <v>78</v>
      </c>
      <c r="Q4634" t="s">
        <v>9614</v>
      </c>
    </row>
    <row r="4635" spans="1:17" x14ac:dyDescent="0.3">
      <c r="A4635" t="s">
        <v>4729</v>
      </c>
      <c r="B4635" t="str">
        <f>"300847"</f>
        <v>300847</v>
      </c>
      <c r="C4635" t="s">
        <v>9615</v>
      </c>
      <c r="D4635" t="s">
        <v>386</v>
      </c>
      <c r="F4635">
        <v>44294414</v>
      </c>
      <c r="G4635">
        <v>37481783</v>
      </c>
      <c r="H4635">
        <v>35566516</v>
      </c>
      <c r="I4635">
        <v>29958895</v>
      </c>
      <c r="J4635">
        <v>24179710</v>
      </c>
      <c r="K4635">
        <v>19647290</v>
      </c>
      <c r="P4635">
        <v>53</v>
      </c>
      <c r="Q4635" t="s">
        <v>9616</v>
      </c>
    </row>
    <row r="4636" spans="1:17" x14ac:dyDescent="0.3">
      <c r="A4636" t="s">
        <v>4729</v>
      </c>
      <c r="B4636" t="str">
        <f>"300848"</f>
        <v>300848</v>
      </c>
      <c r="C4636" t="s">
        <v>9617</v>
      </c>
      <c r="D4636" t="s">
        <v>528</v>
      </c>
      <c r="F4636">
        <v>56389819</v>
      </c>
      <c r="G4636">
        <v>32252318</v>
      </c>
      <c r="H4636">
        <v>23729669</v>
      </c>
      <c r="I4636">
        <v>21397961</v>
      </c>
      <c r="J4636">
        <v>18607612</v>
      </c>
      <c r="K4636">
        <v>13680309</v>
      </c>
      <c r="P4636">
        <v>125</v>
      </c>
      <c r="Q4636" t="s">
        <v>9618</v>
      </c>
    </row>
    <row r="4637" spans="1:17" x14ac:dyDescent="0.3">
      <c r="A4637" t="s">
        <v>4729</v>
      </c>
      <c r="B4637" t="str">
        <f>"300849"</f>
        <v>300849</v>
      </c>
      <c r="C4637" t="s">
        <v>9619</v>
      </c>
      <c r="D4637" t="s">
        <v>5979</v>
      </c>
      <c r="F4637">
        <v>14532416</v>
      </c>
      <c r="G4637">
        <v>11115147</v>
      </c>
      <c r="H4637">
        <v>12855714</v>
      </c>
      <c r="I4637">
        <v>13940730</v>
      </c>
      <c r="J4637">
        <v>10739488</v>
      </c>
      <c r="K4637">
        <v>9077250</v>
      </c>
      <c r="P4637">
        <v>44</v>
      </c>
      <c r="Q4637" t="s">
        <v>9620</v>
      </c>
    </row>
    <row r="4638" spans="1:17" x14ac:dyDescent="0.3">
      <c r="A4638" t="s">
        <v>4729</v>
      </c>
      <c r="B4638" t="str">
        <f>"300850"</f>
        <v>300850</v>
      </c>
      <c r="C4638" t="s">
        <v>9621</v>
      </c>
      <c r="D4638" t="s">
        <v>950</v>
      </c>
      <c r="F4638">
        <v>106341715</v>
      </c>
      <c r="G4638">
        <v>96169848</v>
      </c>
      <c r="H4638">
        <v>30205837</v>
      </c>
      <c r="I4638">
        <v>21035515</v>
      </c>
      <c r="J4638">
        <v>25069116</v>
      </c>
      <c r="K4638">
        <v>24337624</v>
      </c>
      <c r="P4638">
        <v>264</v>
      </c>
      <c r="Q4638" t="s">
        <v>9622</v>
      </c>
    </row>
    <row r="4639" spans="1:17" x14ac:dyDescent="0.3">
      <c r="A4639" t="s">
        <v>4729</v>
      </c>
      <c r="B4639" t="str">
        <f>"300851"</f>
        <v>300851</v>
      </c>
      <c r="C4639" t="s">
        <v>9623</v>
      </c>
      <c r="D4639" t="s">
        <v>1012</v>
      </c>
      <c r="F4639">
        <v>101836740</v>
      </c>
      <c r="G4639">
        <v>76351952</v>
      </c>
      <c r="H4639">
        <v>71328403</v>
      </c>
      <c r="I4639">
        <v>58445730</v>
      </c>
      <c r="J4639">
        <v>53782178</v>
      </c>
      <c r="K4639">
        <v>56740280</v>
      </c>
      <c r="P4639">
        <v>45</v>
      </c>
      <c r="Q4639" t="s">
        <v>9624</v>
      </c>
    </row>
    <row r="4640" spans="1:17" x14ac:dyDescent="0.3">
      <c r="A4640" t="s">
        <v>4729</v>
      </c>
      <c r="B4640" t="str">
        <f>"300852"</f>
        <v>300852</v>
      </c>
      <c r="C4640" t="s">
        <v>9625</v>
      </c>
      <c r="D4640" t="s">
        <v>425</v>
      </c>
      <c r="F4640">
        <v>47034490</v>
      </c>
      <c r="G4640">
        <v>30766171</v>
      </c>
      <c r="H4640">
        <v>23224603</v>
      </c>
      <c r="I4640">
        <v>18894299</v>
      </c>
      <c r="J4640">
        <v>17361383</v>
      </c>
      <c r="K4640">
        <v>11048754</v>
      </c>
      <c r="P4640">
        <v>103</v>
      </c>
      <c r="Q4640" t="s">
        <v>9626</v>
      </c>
    </row>
    <row r="4641" spans="1:17" x14ac:dyDescent="0.3">
      <c r="A4641" t="s">
        <v>4729</v>
      </c>
      <c r="B4641" t="str">
        <f>"300853"</f>
        <v>300853</v>
      </c>
      <c r="C4641" t="s">
        <v>9627</v>
      </c>
      <c r="D4641" t="s">
        <v>2938</v>
      </c>
      <c r="F4641">
        <v>86399668</v>
      </c>
      <c r="G4641">
        <v>70059233</v>
      </c>
      <c r="H4641">
        <v>57712569</v>
      </c>
      <c r="I4641">
        <v>38108920</v>
      </c>
      <c r="J4641">
        <v>19945415</v>
      </c>
      <c r="P4641">
        <v>142</v>
      </c>
      <c r="Q4641" t="s">
        <v>9628</v>
      </c>
    </row>
    <row r="4642" spans="1:17" x14ac:dyDescent="0.3">
      <c r="A4642" t="s">
        <v>4729</v>
      </c>
      <c r="B4642" t="str">
        <f>"300854"</f>
        <v>300854</v>
      </c>
      <c r="C4642" t="s">
        <v>9629</v>
      </c>
      <c r="D4642" t="s">
        <v>499</v>
      </c>
      <c r="F4642">
        <v>25739553</v>
      </c>
      <c r="G4642">
        <v>25711426</v>
      </c>
      <c r="H4642">
        <v>24673563</v>
      </c>
      <c r="I4642">
        <v>17087064</v>
      </c>
      <c r="J4642">
        <v>15759178</v>
      </c>
      <c r="P4642">
        <v>19</v>
      </c>
      <c r="Q4642" t="s">
        <v>9630</v>
      </c>
    </row>
    <row r="4643" spans="1:17" x14ac:dyDescent="0.3">
      <c r="A4643" t="s">
        <v>4729</v>
      </c>
      <c r="B4643" t="str">
        <f>"300855"</f>
        <v>300855</v>
      </c>
      <c r="C4643" t="s">
        <v>9631</v>
      </c>
      <c r="D4643" t="s">
        <v>581</v>
      </c>
      <c r="F4643">
        <v>44763416</v>
      </c>
      <c r="G4643">
        <v>33886251</v>
      </c>
      <c r="H4643">
        <v>24840037</v>
      </c>
      <c r="I4643">
        <v>16050941</v>
      </c>
      <c r="J4643">
        <v>14961003</v>
      </c>
      <c r="K4643">
        <v>20761089</v>
      </c>
      <c r="P4643">
        <v>139</v>
      </c>
      <c r="Q4643" t="s">
        <v>9632</v>
      </c>
    </row>
    <row r="4644" spans="1:17" x14ac:dyDescent="0.3">
      <c r="A4644" t="s">
        <v>4729</v>
      </c>
      <c r="B4644" t="str">
        <f>"300856"</f>
        <v>300856</v>
      </c>
      <c r="C4644" t="s">
        <v>9633</v>
      </c>
      <c r="D4644" t="s">
        <v>5979</v>
      </c>
      <c r="F4644">
        <v>45310853</v>
      </c>
      <c r="G4644">
        <v>38865771</v>
      </c>
      <c r="H4644">
        <v>34182051</v>
      </c>
      <c r="I4644">
        <v>29102667</v>
      </c>
      <c r="J4644">
        <v>20698538</v>
      </c>
      <c r="K4644">
        <v>20241999</v>
      </c>
      <c r="P4644">
        <v>131</v>
      </c>
      <c r="Q4644" t="s">
        <v>9634</v>
      </c>
    </row>
    <row r="4645" spans="1:17" x14ac:dyDescent="0.3">
      <c r="A4645" t="s">
        <v>4729</v>
      </c>
      <c r="B4645" t="str">
        <f>"300857"</f>
        <v>300857</v>
      </c>
      <c r="C4645" t="s">
        <v>9635</v>
      </c>
      <c r="D4645" t="s">
        <v>313</v>
      </c>
      <c r="F4645">
        <v>102153769</v>
      </c>
      <c r="G4645">
        <v>70837759</v>
      </c>
      <c r="H4645">
        <v>56546397</v>
      </c>
      <c r="I4645">
        <v>47233220</v>
      </c>
      <c r="J4645">
        <v>44576228</v>
      </c>
      <c r="K4645">
        <v>27339581</v>
      </c>
      <c r="P4645">
        <v>59</v>
      </c>
      <c r="Q4645" t="s">
        <v>9636</v>
      </c>
    </row>
    <row r="4646" spans="1:17" x14ac:dyDescent="0.3">
      <c r="A4646" t="s">
        <v>4729</v>
      </c>
      <c r="B4646" t="str">
        <f>"300858"</f>
        <v>300858</v>
      </c>
      <c r="C4646" t="s">
        <v>9637</v>
      </c>
      <c r="D4646" t="s">
        <v>677</v>
      </c>
      <c r="F4646">
        <v>27150652</v>
      </c>
      <c r="G4646">
        <v>17573260</v>
      </c>
      <c r="H4646">
        <v>14752903</v>
      </c>
      <c r="I4646">
        <v>15837094</v>
      </c>
      <c r="J4646">
        <v>12587436</v>
      </c>
      <c r="P4646">
        <v>75</v>
      </c>
      <c r="Q4646" t="s">
        <v>9638</v>
      </c>
    </row>
    <row r="4647" spans="1:17" x14ac:dyDescent="0.3">
      <c r="A4647" t="s">
        <v>4729</v>
      </c>
      <c r="B4647" t="str">
        <f>"300859"</f>
        <v>300859</v>
      </c>
      <c r="C4647" t="s">
        <v>9639</v>
      </c>
      <c r="D4647" t="s">
        <v>119</v>
      </c>
      <c r="F4647">
        <v>0</v>
      </c>
      <c r="G4647">
        <v>0</v>
      </c>
      <c r="H4647">
        <v>0</v>
      </c>
      <c r="I4647">
        <v>0</v>
      </c>
      <c r="J4647">
        <v>0</v>
      </c>
      <c r="P4647">
        <v>69</v>
      </c>
      <c r="Q4647" t="s">
        <v>9640</v>
      </c>
    </row>
    <row r="4648" spans="1:17" x14ac:dyDescent="0.3">
      <c r="A4648" t="s">
        <v>4729</v>
      </c>
      <c r="B4648" t="str">
        <f>"300860"</f>
        <v>300860</v>
      </c>
      <c r="C4648" t="s">
        <v>9641</v>
      </c>
      <c r="D4648" t="s">
        <v>1673</v>
      </c>
      <c r="F4648">
        <v>29523918</v>
      </c>
      <c r="G4648">
        <v>10245527</v>
      </c>
      <c r="H4648">
        <v>361193</v>
      </c>
      <c r="I4648">
        <v>489760</v>
      </c>
      <c r="J4648">
        <v>378190</v>
      </c>
      <c r="P4648">
        <v>95</v>
      </c>
      <c r="Q4648" t="s">
        <v>9642</v>
      </c>
    </row>
    <row r="4649" spans="1:17" x14ac:dyDescent="0.3">
      <c r="A4649" t="s">
        <v>4729</v>
      </c>
      <c r="B4649" t="str">
        <f>"300861"</f>
        <v>300861</v>
      </c>
      <c r="C4649" t="s">
        <v>9643</v>
      </c>
      <c r="D4649" t="s">
        <v>404</v>
      </c>
      <c r="F4649">
        <v>86692671</v>
      </c>
      <c r="G4649">
        <v>89258324</v>
      </c>
      <c r="H4649">
        <v>92673608</v>
      </c>
      <c r="I4649">
        <v>50998923</v>
      </c>
      <c r="J4649">
        <v>20795570</v>
      </c>
      <c r="K4649">
        <v>7995300</v>
      </c>
      <c r="L4649">
        <v>2400</v>
      </c>
      <c r="P4649">
        <v>147</v>
      </c>
      <c r="Q4649" t="s">
        <v>9644</v>
      </c>
    </row>
    <row r="4650" spans="1:17" x14ac:dyDescent="0.3">
      <c r="A4650" t="s">
        <v>4729</v>
      </c>
      <c r="B4650" t="str">
        <f>"300862"</f>
        <v>300862</v>
      </c>
      <c r="C4650" t="s">
        <v>9645</v>
      </c>
      <c r="D4650" t="s">
        <v>2566</v>
      </c>
      <c r="F4650">
        <v>41766163</v>
      </c>
      <c r="G4650">
        <v>41665437</v>
      </c>
      <c r="H4650">
        <v>34514673</v>
      </c>
      <c r="I4650">
        <v>32507497</v>
      </c>
      <c r="J4650">
        <v>29388919</v>
      </c>
      <c r="K4650">
        <v>28073378</v>
      </c>
      <c r="P4650">
        <v>68</v>
      </c>
      <c r="Q4650" t="s">
        <v>9646</v>
      </c>
    </row>
    <row r="4651" spans="1:17" x14ac:dyDescent="0.3">
      <c r="A4651" t="s">
        <v>4729</v>
      </c>
      <c r="B4651" t="str">
        <f>"300863"</f>
        <v>300863</v>
      </c>
      <c r="C4651" t="s">
        <v>9647</v>
      </c>
      <c r="D4651" t="s">
        <v>1415</v>
      </c>
      <c r="F4651">
        <v>52992037</v>
      </c>
      <c r="G4651">
        <v>32462107</v>
      </c>
      <c r="H4651">
        <v>21544892</v>
      </c>
      <c r="I4651">
        <v>23740299</v>
      </c>
      <c r="J4651">
        <v>25915686</v>
      </c>
      <c r="K4651">
        <v>20877848</v>
      </c>
      <c r="P4651">
        <v>75</v>
      </c>
      <c r="Q4651" t="s">
        <v>9648</v>
      </c>
    </row>
    <row r="4652" spans="1:17" x14ac:dyDescent="0.3">
      <c r="A4652" t="s">
        <v>4729</v>
      </c>
      <c r="B4652" t="str">
        <f>"300864"</f>
        <v>300864</v>
      </c>
      <c r="C4652" t="s">
        <v>9649</v>
      </c>
      <c r="D4652" t="s">
        <v>3575</v>
      </c>
      <c r="F4652">
        <v>39719545</v>
      </c>
      <c r="G4652">
        <v>33721296</v>
      </c>
      <c r="H4652">
        <v>28733119</v>
      </c>
      <c r="I4652">
        <v>21491386</v>
      </c>
      <c r="J4652">
        <v>13885334</v>
      </c>
      <c r="K4652">
        <v>9244900</v>
      </c>
      <c r="P4652">
        <v>121</v>
      </c>
      <c r="Q4652" t="s">
        <v>9650</v>
      </c>
    </row>
    <row r="4653" spans="1:17" x14ac:dyDescent="0.3">
      <c r="A4653" t="s">
        <v>4729</v>
      </c>
      <c r="B4653" t="str">
        <f>"300865"</f>
        <v>300865</v>
      </c>
      <c r="C4653" t="s">
        <v>9651</v>
      </c>
      <c r="D4653" t="s">
        <v>395</v>
      </c>
      <c r="F4653">
        <v>24376972</v>
      </c>
      <c r="G4653">
        <v>8777960</v>
      </c>
      <c r="H4653">
        <v>7482075</v>
      </c>
      <c r="I4653">
        <v>4907835</v>
      </c>
      <c r="J4653">
        <v>2606847</v>
      </c>
      <c r="K4653">
        <v>2452591</v>
      </c>
      <c r="P4653">
        <v>43</v>
      </c>
      <c r="Q4653" t="s">
        <v>9652</v>
      </c>
    </row>
    <row r="4654" spans="1:17" x14ac:dyDescent="0.3">
      <c r="A4654" t="s">
        <v>4729</v>
      </c>
      <c r="B4654" t="str">
        <f>"300866"</f>
        <v>300866</v>
      </c>
      <c r="C4654" t="s">
        <v>9653</v>
      </c>
      <c r="D4654" t="s">
        <v>3526</v>
      </c>
      <c r="F4654">
        <v>778430652</v>
      </c>
      <c r="G4654">
        <v>567402295</v>
      </c>
      <c r="H4654">
        <v>393670449</v>
      </c>
      <c r="I4654">
        <v>286626160</v>
      </c>
      <c r="J4654">
        <v>200703588</v>
      </c>
      <c r="K4654">
        <v>104762986</v>
      </c>
      <c r="P4654">
        <v>311</v>
      </c>
      <c r="Q4654" t="s">
        <v>9654</v>
      </c>
    </row>
    <row r="4655" spans="1:17" x14ac:dyDescent="0.3">
      <c r="A4655" t="s">
        <v>4729</v>
      </c>
      <c r="B4655" t="str">
        <f>"300867"</f>
        <v>300867</v>
      </c>
      <c r="C4655" t="s">
        <v>9655</v>
      </c>
      <c r="D4655" t="s">
        <v>499</v>
      </c>
      <c r="F4655">
        <v>14095397</v>
      </c>
      <c r="G4655">
        <v>14020061</v>
      </c>
      <c r="H4655">
        <v>10774862</v>
      </c>
      <c r="I4655">
        <v>9673104</v>
      </c>
      <c r="J4655">
        <v>7948176</v>
      </c>
      <c r="K4655">
        <v>7888168</v>
      </c>
      <c r="P4655">
        <v>105</v>
      </c>
      <c r="Q4655" t="s">
        <v>9656</v>
      </c>
    </row>
    <row r="4656" spans="1:17" x14ac:dyDescent="0.3">
      <c r="A4656" t="s">
        <v>4729</v>
      </c>
      <c r="B4656" t="str">
        <f>"300868"</f>
        <v>300868</v>
      </c>
      <c r="C4656" t="s">
        <v>9657</v>
      </c>
      <c r="D4656" t="s">
        <v>651</v>
      </c>
      <c r="F4656">
        <v>41041571</v>
      </c>
      <c r="G4656">
        <v>32286067</v>
      </c>
      <c r="H4656">
        <v>32121333</v>
      </c>
      <c r="I4656">
        <v>29393328</v>
      </c>
      <c r="J4656">
        <v>18959511</v>
      </c>
      <c r="K4656">
        <v>20049738</v>
      </c>
      <c r="P4656">
        <v>40</v>
      </c>
      <c r="Q4656" t="s">
        <v>9658</v>
      </c>
    </row>
    <row r="4657" spans="1:17" x14ac:dyDescent="0.3">
      <c r="A4657" t="s">
        <v>4729</v>
      </c>
      <c r="B4657" t="str">
        <f>"300869"</f>
        <v>300869</v>
      </c>
      <c r="C4657" t="s">
        <v>9659</v>
      </c>
      <c r="D4657" t="s">
        <v>122</v>
      </c>
      <c r="F4657">
        <v>66060497</v>
      </c>
      <c r="G4657">
        <v>48737166</v>
      </c>
      <c r="H4657">
        <v>40567452</v>
      </c>
      <c r="I4657">
        <v>34394797</v>
      </c>
      <c r="J4657">
        <v>35007130</v>
      </c>
      <c r="P4657">
        <v>174</v>
      </c>
      <c r="Q4657" t="s">
        <v>9660</v>
      </c>
    </row>
    <row r="4658" spans="1:17" x14ac:dyDescent="0.3">
      <c r="A4658" t="s">
        <v>4729</v>
      </c>
      <c r="B4658" t="str">
        <f>"300870"</f>
        <v>300870</v>
      </c>
      <c r="C4658" t="s">
        <v>9661</v>
      </c>
      <c r="D4658" t="s">
        <v>880</v>
      </c>
      <c r="F4658">
        <v>131694055</v>
      </c>
      <c r="G4658">
        <v>68910648</v>
      </c>
      <c r="H4658">
        <v>51979648</v>
      </c>
      <c r="I4658">
        <v>44927939</v>
      </c>
      <c r="J4658">
        <v>34871277</v>
      </c>
      <c r="K4658">
        <v>26636496</v>
      </c>
      <c r="P4658">
        <v>131</v>
      </c>
      <c r="Q4658" t="s">
        <v>9662</v>
      </c>
    </row>
    <row r="4659" spans="1:17" x14ac:dyDescent="0.3">
      <c r="A4659" t="s">
        <v>4729</v>
      </c>
      <c r="B4659" t="str">
        <f>"300871"</f>
        <v>300871</v>
      </c>
      <c r="C4659" t="s">
        <v>9663</v>
      </c>
      <c r="D4659" t="s">
        <v>453</v>
      </c>
      <c r="F4659">
        <v>46887603</v>
      </c>
      <c r="G4659">
        <v>28381969</v>
      </c>
      <c r="H4659">
        <v>21108720</v>
      </c>
      <c r="I4659">
        <v>20356210</v>
      </c>
      <c r="J4659">
        <v>17952319</v>
      </c>
      <c r="K4659">
        <v>12793200</v>
      </c>
      <c r="P4659">
        <v>83</v>
      </c>
      <c r="Q4659" t="s">
        <v>9664</v>
      </c>
    </row>
    <row r="4660" spans="1:17" x14ac:dyDescent="0.3">
      <c r="A4660" t="s">
        <v>4729</v>
      </c>
      <c r="B4660" t="str">
        <f>"300872"</f>
        <v>300872</v>
      </c>
      <c r="C4660" t="s">
        <v>9665</v>
      </c>
      <c r="D4660" t="s">
        <v>316</v>
      </c>
      <c r="F4660">
        <v>236562359</v>
      </c>
      <c r="G4660">
        <v>143749597</v>
      </c>
      <c r="H4660">
        <v>111309214</v>
      </c>
      <c r="I4660">
        <v>89361992</v>
      </c>
      <c r="J4660">
        <v>64170922</v>
      </c>
      <c r="P4660">
        <v>74</v>
      </c>
      <c r="Q4660" t="s">
        <v>9666</v>
      </c>
    </row>
    <row r="4661" spans="1:17" x14ac:dyDescent="0.3">
      <c r="A4661" t="s">
        <v>4729</v>
      </c>
      <c r="B4661" t="str">
        <f>"300873"</f>
        <v>300873</v>
      </c>
      <c r="C4661" t="s">
        <v>9667</v>
      </c>
      <c r="D4661" t="s">
        <v>3125</v>
      </c>
      <c r="F4661">
        <v>19964887</v>
      </c>
      <c r="G4661">
        <v>13840784</v>
      </c>
      <c r="H4661">
        <v>15873524</v>
      </c>
      <c r="I4661">
        <v>14944857</v>
      </c>
      <c r="J4661">
        <v>13914150</v>
      </c>
      <c r="K4661">
        <v>13832105</v>
      </c>
      <c r="P4661">
        <v>90</v>
      </c>
      <c r="Q4661" t="s">
        <v>9668</v>
      </c>
    </row>
    <row r="4662" spans="1:17" x14ac:dyDescent="0.3">
      <c r="A4662" t="s">
        <v>4729</v>
      </c>
      <c r="B4662" t="str">
        <f>"300875"</f>
        <v>300875</v>
      </c>
      <c r="C4662" t="s">
        <v>9669</v>
      </c>
      <c r="D4662" t="s">
        <v>428</v>
      </c>
      <c r="F4662">
        <v>40413502</v>
      </c>
      <c r="G4662">
        <v>28163450</v>
      </c>
      <c r="H4662">
        <v>21499278</v>
      </c>
      <c r="I4662">
        <v>11892546</v>
      </c>
      <c r="J4662">
        <v>5906813</v>
      </c>
      <c r="K4662">
        <v>3669176</v>
      </c>
      <c r="P4662">
        <v>106</v>
      </c>
      <c r="Q4662" t="s">
        <v>9670</v>
      </c>
    </row>
    <row r="4663" spans="1:17" x14ac:dyDescent="0.3">
      <c r="A4663" t="s">
        <v>4729</v>
      </c>
      <c r="B4663" t="str">
        <f>"300876"</f>
        <v>300876</v>
      </c>
      <c r="C4663" t="s">
        <v>9671</v>
      </c>
      <c r="D4663" t="s">
        <v>146</v>
      </c>
      <c r="F4663">
        <v>16596076</v>
      </c>
      <c r="G4663">
        <v>14369264</v>
      </c>
      <c r="H4663">
        <v>13159190</v>
      </c>
      <c r="I4663">
        <v>11271610</v>
      </c>
      <c r="J4663">
        <v>10603920</v>
      </c>
      <c r="P4663">
        <v>67</v>
      </c>
      <c r="Q4663" t="s">
        <v>9672</v>
      </c>
    </row>
    <row r="4664" spans="1:17" x14ac:dyDescent="0.3">
      <c r="A4664" t="s">
        <v>4729</v>
      </c>
      <c r="B4664" t="str">
        <f>"300877"</f>
        <v>300877</v>
      </c>
      <c r="C4664" t="s">
        <v>9673</v>
      </c>
      <c r="D4664" t="s">
        <v>366</v>
      </c>
      <c r="F4664">
        <v>33871445</v>
      </c>
      <c r="G4664">
        <v>35870817</v>
      </c>
      <c r="H4664">
        <v>28973607</v>
      </c>
      <c r="I4664">
        <v>26981430</v>
      </c>
      <c r="J4664">
        <v>21705575</v>
      </c>
      <c r="P4664">
        <v>75</v>
      </c>
      <c r="Q4664" t="s">
        <v>9674</v>
      </c>
    </row>
    <row r="4665" spans="1:17" x14ac:dyDescent="0.3">
      <c r="A4665" t="s">
        <v>4729</v>
      </c>
      <c r="B4665" t="str">
        <f>"300878"</f>
        <v>300878</v>
      </c>
      <c r="C4665" t="s">
        <v>9675</v>
      </c>
      <c r="D4665" t="s">
        <v>188</v>
      </c>
      <c r="F4665">
        <v>37015324</v>
      </c>
      <c r="G4665">
        <v>20408872</v>
      </c>
      <c r="H4665">
        <v>21160217</v>
      </c>
      <c r="I4665">
        <v>16399833</v>
      </c>
      <c r="J4665">
        <v>15828534</v>
      </c>
      <c r="P4665">
        <v>132</v>
      </c>
      <c r="Q4665" t="s">
        <v>9676</v>
      </c>
    </row>
    <row r="4666" spans="1:17" x14ac:dyDescent="0.3">
      <c r="A4666" t="s">
        <v>4729</v>
      </c>
      <c r="B4666" t="str">
        <f>"300879"</f>
        <v>300879</v>
      </c>
      <c r="C4666" t="s">
        <v>9677</v>
      </c>
      <c r="D4666" t="s">
        <v>741</v>
      </c>
      <c r="F4666">
        <v>49391940</v>
      </c>
      <c r="G4666">
        <v>47329231</v>
      </c>
      <c r="H4666">
        <v>43216276</v>
      </c>
      <c r="I4666">
        <v>34959192</v>
      </c>
      <c r="J4666">
        <v>33725554</v>
      </c>
      <c r="K4666">
        <v>25917827</v>
      </c>
      <c r="P4666">
        <v>52</v>
      </c>
      <c r="Q4666" t="s">
        <v>9678</v>
      </c>
    </row>
    <row r="4667" spans="1:17" x14ac:dyDescent="0.3">
      <c r="A4667" t="s">
        <v>4729</v>
      </c>
      <c r="B4667" t="str">
        <f>"300880"</f>
        <v>300880</v>
      </c>
      <c r="C4667" t="s">
        <v>9679</v>
      </c>
      <c r="D4667" t="s">
        <v>2180</v>
      </c>
      <c r="F4667">
        <v>25327257</v>
      </c>
      <c r="G4667">
        <v>19141302</v>
      </c>
      <c r="H4667">
        <v>19638297</v>
      </c>
      <c r="I4667">
        <v>15656521</v>
      </c>
      <c r="J4667">
        <v>10617053</v>
      </c>
      <c r="K4667">
        <v>8994728</v>
      </c>
      <c r="P4667">
        <v>55</v>
      </c>
      <c r="Q4667" t="s">
        <v>9680</v>
      </c>
    </row>
    <row r="4668" spans="1:17" x14ac:dyDescent="0.3">
      <c r="A4668" t="s">
        <v>4729</v>
      </c>
      <c r="B4668" t="str">
        <f>"300881"</f>
        <v>300881</v>
      </c>
      <c r="C4668" t="s">
        <v>9681</v>
      </c>
      <c r="D4668" t="s">
        <v>281</v>
      </c>
      <c r="F4668">
        <v>37082685</v>
      </c>
      <c r="G4668">
        <v>23048282</v>
      </c>
      <c r="H4668">
        <v>20647670</v>
      </c>
      <c r="I4668">
        <v>21638521</v>
      </c>
      <c r="J4668">
        <v>18804871</v>
      </c>
      <c r="K4668">
        <v>18505714</v>
      </c>
      <c r="P4668">
        <v>31</v>
      </c>
      <c r="Q4668" t="s">
        <v>9682</v>
      </c>
    </row>
    <row r="4669" spans="1:17" x14ac:dyDescent="0.3">
      <c r="A4669" t="s">
        <v>4729</v>
      </c>
      <c r="B4669" t="str">
        <f>"300882"</f>
        <v>300882</v>
      </c>
      <c r="C4669" t="s">
        <v>9683</v>
      </c>
      <c r="D4669" t="s">
        <v>2180</v>
      </c>
      <c r="F4669">
        <v>47445779</v>
      </c>
      <c r="G4669">
        <v>35367140</v>
      </c>
      <c r="H4669">
        <v>35427249</v>
      </c>
      <c r="I4669">
        <v>28973712</v>
      </c>
      <c r="J4669">
        <v>28068102</v>
      </c>
      <c r="K4669">
        <v>25538784</v>
      </c>
      <c r="P4669">
        <v>41</v>
      </c>
      <c r="Q4669" t="s">
        <v>9684</v>
      </c>
    </row>
    <row r="4670" spans="1:17" x14ac:dyDescent="0.3">
      <c r="A4670" t="s">
        <v>4729</v>
      </c>
      <c r="B4670" t="str">
        <f>"300883"</f>
        <v>300883</v>
      </c>
      <c r="C4670" t="s">
        <v>9685</v>
      </c>
      <c r="D4670" t="s">
        <v>2165</v>
      </c>
      <c r="F4670">
        <v>37564772</v>
      </c>
      <c r="G4670">
        <v>34457137</v>
      </c>
      <c r="H4670">
        <v>39488959</v>
      </c>
      <c r="I4670">
        <v>38744772</v>
      </c>
      <c r="J4670">
        <v>26689172</v>
      </c>
      <c r="K4670">
        <v>22943691</v>
      </c>
      <c r="P4670">
        <v>37</v>
      </c>
      <c r="Q4670" t="s">
        <v>9686</v>
      </c>
    </row>
    <row r="4671" spans="1:17" x14ac:dyDescent="0.3">
      <c r="A4671" t="s">
        <v>4729</v>
      </c>
      <c r="B4671" t="str">
        <f>"300884"</f>
        <v>300884</v>
      </c>
      <c r="C4671" t="s">
        <v>9687</v>
      </c>
      <c r="D4671" t="s">
        <v>2980</v>
      </c>
      <c r="F4671">
        <v>47984074</v>
      </c>
      <c r="G4671">
        <v>31995745</v>
      </c>
      <c r="H4671">
        <v>22997129</v>
      </c>
      <c r="I4671">
        <v>21557765</v>
      </c>
      <c r="J4671">
        <v>26437237</v>
      </c>
      <c r="K4671">
        <v>23307539</v>
      </c>
      <c r="P4671">
        <v>68</v>
      </c>
      <c r="Q4671" t="s">
        <v>9688</v>
      </c>
    </row>
    <row r="4672" spans="1:17" x14ac:dyDescent="0.3">
      <c r="A4672" t="s">
        <v>4729</v>
      </c>
      <c r="B4672" t="str">
        <f>"300885"</f>
        <v>300885</v>
      </c>
      <c r="C4672" t="s">
        <v>9689</v>
      </c>
      <c r="D4672" t="s">
        <v>274</v>
      </c>
      <c r="F4672">
        <v>12813930</v>
      </c>
      <c r="G4672">
        <v>8239158</v>
      </c>
      <c r="H4672">
        <v>7966545</v>
      </c>
      <c r="I4672">
        <v>7497065</v>
      </c>
      <c r="J4672">
        <v>6725511</v>
      </c>
      <c r="K4672">
        <v>5997017</v>
      </c>
      <c r="P4672">
        <v>45</v>
      </c>
      <c r="Q4672" t="s">
        <v>9690</v>
      </c>
    </row>
    <row r="4673" spans="1:17" x14ac:dyDescent="0.3">
      <c r="A4673" t="s">
        <v>4729</v>
      </c>
      <c r="B4673" t="str">
        <f>"300886"</f>
        <v>300886</v>
      </c>
      <c r="C4673" t="s">
        <v>9691</v>
      </c>
      <c r="D4673" t="s">
        <v>5979</v>
      </c>
      <c r="F4673">
        <v>12812867</v>
      </c>
      <c r="G4673">
        <v>10298572</v>
      </c>
      <c r="H4673">
        <v>8046600</v>
      </c>
      <c r="I4673">
        <v>9314996</v>
      </c>
      <c r="J4673">
        <v>7614354</v>
      </c>
      <c r="K4673">
        <v>8960653</v>
      </c>
      <c r="P4673">
        <v>49</v>
      </c>
      <c r="Q4673" t="s">
        <v>9692</v>
      </c>
    </row>
    <row r="4674" spans="1:17" x14ac:dyDescent="0.3">
      <c r="A4674" t="s">
        <v>4729</v>
      </c>
      <c r="B4674" t="str">
        <f>"300887"</f>
        <v>300887</v>
      </c>
      <c r="C4674" t="s">
        <v>9693</v>
      </c>
      <c r="D4674" t="s">
        <v>2510</v>
      </c>
      <c r="F4674">
        <v>150026731</v>
      </c>
      <c r="G4674">
        <v>98340484</v>
      </c>
      <c r="H4674">
        <v>78780987</v>
      </c>
      <c r="I4674">
        <v>76548152</v>
      </c>
      <c r="J4674">
        <v>75090467</v>
      </c>
      <c r="K4674">
        <v>52427408</v>
      </c>
      <c r="P4674">
        <v>117</v>
      </c>
      <c r="Q4674" t="s">
        <v>9694</v>
      </c>
    </row>
    <row r="4675" spans="1:17" x14ac:dyDescent="0.3">
      <c r="A4675" t="s">
        <v>4729</v>
      </c>
      <c r="B4675" t="str">
        <f>"300888"</f>
        <v>300888</v>
      </c>
      <c r="C4675" t="s">
        <v>9695</v>
      </c>
      <c r="D4675" t="s">
        <v>2751</v>
      </c>
      <c r="F4675">
        <v>298162366</v>
      </c>
      <c r="G4675">
        <v>411383174</v>
      </c>
      <c r="H4675">
        <v>155193227</v>
      </c>
      <c r="I4675">
        <v>116563955</v>
      </c>
      <c r="J4675">
        <v>88627955</v>
      </c>
      <c r="K4675">
        <v>61075311</v>
      </c>
      <c r="P4675">
        <v>457</v>
      </c>
      <c r="Q4675" t="s">
        <v>9696</v>
      </c>
    </row>
    <row r="4676" spans="1:17" x14ac:dyDescent="0.3">
      <c r="A4676" t="s">
        <v>4729</v>
      </c>
      <c r="B4676" t="str">
        <f>"300889"</f>
        <v>300889</v>
      </c>
      <c r="C4676" t="s">
        <v>9697</v>
      </c>
      <c r="D4676" t="s">
        <v>803</v>
      </c>
      <c r="F4676">
        <v>77287693</v>
      </c>
      <c r="G4676">
        <v>45170441</v>
      </c>
      <c r="H4676">
        <v>43217171</v>
      </c>
      <c r="I4676">
        <v>38868460</v>
      </c>
      <c r="J4676">
        <v>29571036</v>
      </c>
      <c r="K4676">
        <v>16755142</v>
      </c>
      <c r="P4676">
        <v>37</v>
      </c>
      <c r="Q4676" t="s">
        <v>9698</v>
      </c>
    </row>
    <row r="4677" spans="1:17" x14ac:dyDescent="0.3">
      <c r="A4677" t="s">
        <v>4729</v>
      </c>
      <c r="B4677" t="str">
        <f>"300890"</f>
        <v>300890</v>
      </c>
      <c r="C4677" t="s">
        <v>9699</v>
      </c>
      <c r="D4677" t="s">
        <v>1790</v>
      </c>
      <c r="F4677">
        <v>40504217</v>
      </c>
      <c r="G4677">
        <v>15241515</v>
      </c>
      <c r="H4677">
        <v>26929652</v>
      </c>
      <c r="I4677">
        <v>20697025</v>
      </c>
      <c r="J4677">
        <v>16317268</v>
      </c>
      <c r="K4677">
        <v>12810267</v>
      </c>
      <c r="P4677">
        <v>62</v>
      </c>
      <c r="Q4677" t="s">
        <v>9700</v>
      </c>
    </row>
    <row r="4678" spans="1:17" x14ac:dyDescent="0.3">
      <c r="A4678" t="s">
        <v>4729</v>
      </c>
      <c r="B4678" t="str">
        <f>"300891"</f>
        <v>300891</v>
      </c>
      <c r="C4678" t="s">
        <v>9701</v>
      </c>
      <c r="D4678" t="s">
        <v>1474</v>
      </c>
      <c r="F4678">
        <v>43961143</v>
      </c>
      <c r="G4678">
        <v>27700832</v>
      </c>
      <c r="H4678">
        <v>29481484</v>
      </c>
      <c r="I4678">
        <v>26738863</v>
      </c>
      <c r="J4678">
        <v>24562947</v>
      </c>
      <c r="K4678">
        <v>18755040</v>
      </c>
      <c r="P4678">
        <v>59</v>
      </c>
      <c r="Q4678" t="s">
        <v>9702</v>
      </c>
    </row>
    <row r="4679" spans="1:17" x14ac:dyDescent="0.3">
      <c r="A4679" t="s">
        <v>4729</v>
      </c>
      <c r="B4679" t="str">
        <f>"300892"</f>
        <v>300892</v>
      </c>
      <c r="C4679" t="s">
        <v>9703</v>
      </c>
      <c r="D4679" t="s">
        <v>131</v>
      </c>
      <c r="F4679">
        <v>679129</v>
      </c>
      <c r="G4679">
        <v>0</v>
      </c>
      <c r="H4679">
        <v>0</v>
      </c>
      <c r="I4679">
        <v>0</v>
      </c>
      <c r="J4679">
        <v>0</v>
      </c>
      <c r="K4679">
        <v>0</v>
      </c>
      <c r="P4679">
        <v>99</v>
      </c>
      <c r="Q4679" t="s">
        <v>9704</v>
      </c>
    </row>
    <row r="4680" spans="1:17" x14ac:dyDescent="0.3">
      <c r="A4680" t="s">
        <v>4729</v>
      </c>
      <c r="B4680" t="str">
        <f>"300893"</f>
        <v>300893</v>
      </c>
      <c r="C4680" t="s">
        <v>9705</v>
      </c>
      <c r="D4680" t="s">
        <v>985</v>
      </c>
      <c r="F4680">
        <v>39832978</v>
      </c>
      <c r="G4680">
        <v>26429009</v>
      </c>
      <c r="H4680">
        <v>19981299</v>
      </c>
      <c r="I4680">
        <v>20678715</v>
      </c>
      <c r="J4680">
        <v>22482503</v>
      </c>
      <c r="P4680">
        <v>48</v>
      </c>
      <c r="Q4680" t="s">
        <v>9706</v>
      </c>
    </row>
    <row r="4681" spans="1:17" x14ac:dyDescent="0.3">
      <c r="A4681" t="s">
        <v>4729</v>
      </c>
      <c r="B4681" t="str">
        <f>"300894"</f>
        <v>300894</v>
      </c>
      <c r="C4681" t="s">
        <v>9707</v>
      </c>
      <c r="D4681" t="s">
        <v>3707</v>
      </c>
      <c r="F4681">
        <v>73996352</v>
      </c>
      <c r="G4681">
        <v>57746796</v>
      </c>
      <c r="H4681">
        <v>45117302</v>
      </c>
      <c r="I4681">
        <v>39733686</v>
      </c>
      <c r="J4681">
        <v>24555638</v>
      </c>
      <c r="K4681">
        <v>14396454</v>
      </c>
      <c r="P4681">
        <v>232</v>
      </c>
      <c r="Q4681" t="s">
        <v>9708</v>
      </c>
    </row>
    <row r="4682" spans="1:17" x14ac:dyDescent="0.3">
      <c r="A4682" t="s">
        <v>4729</v>
      </c>
      <c r="B4682" t="str">
        <f>"300895"</f>
        <v>300895</v>
      </c>
      <c r="C4682" t="s">
        <v>9709</v>
      </c>
      <c r="D4682" t="s">
        <v>316</v>
      </c>
      <c r="F4682">
        <v>16847680</v>
      </c>
      <c r="G4682">
        <v>12795801</v>
      </c>
      <c r="H4682">
        <v>8800565</v>
      </c>
      <c r="I4682">
        <v>8221535</v>
      </c>
      <c r="J4682">
        <v>9038238</v>
      </c>
      <c r="K4682">
        <v>6508127</v>
      </c>
      <c r="P4682">
        <v>48</v>
      </c>
      <c r="Q4682" t="s">
        <v>9710</v>
      </c>
    </row>
    <row r="4683" spans="1:17" x14ac:dyDescent="0.3">
      <c r="A4683" t="s">
        <v>4729</v>
      </c>
      <c r="B4683" t="str">
        <f>"300896"</f>
        <v>300896</v>
      </c>
      <c r="C4683" t="s">
        <v>9711</v>
      </c>
      <c r="D4683" t="s">
        <v>4297</v>
      </c>
      <c r="F4683">
        <v>102312180</v>
      </c>
      <c r="G4683">
        <v>61804031</v>
      </c>
      <c r="H4683">
        <v>48563651</v>
      </c>
      <c r="I4683">
        <v>33677788</v>
      </c>
      <c r="J4683">
        <v>28492998</v>
      </c>
      <c r="K4683">
        <v>13075875</v>
      </c>
      <c r="P4683">
        <v>1332</v>
      </c>
      <c r="Q4683" t="s">
        <v>9712</v>
      </c>
    </row>
    <row r="4684" spans="1:17" x14ac:dyDescent="0.3">
      <c r="A4684" t="s">
        <v>4729</v>
      </c>
      <c r="B4684" t="str">
        <f>"300897"</f>
        <v>300897</v>
      </c>
      <c r="C4684" t="s">
        <v>9713</v>
      </c>
      <c r="D4684" t="s">
        <v>2566</v>
      </c>
      <c r="F4684">
        <v>38069076</v>
      </c>
      <c r="G4684">
        <v>24831655</v>
      </c>
      <c r="H4684">
        <v>18934424</v>
      </c>
      <c r="I4684">
        <v>15264905</v>
      </c>
      <c r="J4684">
        <v>13450032</v>
      </c>
      <c r="K4684">
        <v>11021928</v>
      </c>
      <c r="P4684">
        <v>50</v>
      </c>
      <c r="Q4684" t="s">
        <v>9714</v>
      </c>
    </row>
    <row r="4685" spans="1:17" x14ac:dyDescent="0.3">
      <c r="A4685" t="s">
        <v>4729</v>
      </c>
      <c r="B4685" t="str">
        <f>"300898"</f>
        <v>300898</v>
      </c>
      <c r="C4685" t="s">
        <v>9715</v>
      </c>
      <c r="D4685" t="s">
        <v>900</v>
      </c>
      <c r="F4685">
        <v>18414225</v>
      </c>
      <c r="G4685">
        <v>14580621</v>
      </c>
      <c r="H4685">
        <v>15373767</v>
      </c>
      <c r="I4685">
        <v>13648131</v>
      </c>
      <c r="J4685">
        <v>12897257</v>
      </c>
      <c r="K4685">
        <v>9469090</v>
      </c>
      <c r="P4685">
        <v>73</v>
      </c>
      <c r="Q4685" t="s">
        <v>9716</v>
      </c>
    </row>
    <row r="4686" spans="1:17" x14ac:dyDescent="0.3">
      <c r="A4686" t="s">
        <v>4729</v>
      </c>
      <c r="B4686" t="str">
        <f>"300899"</f>
        <v>300899</v>
      </c>
      <c r="C4686" t="s">
        <v>9717</v>
      </c>
      <c r="D4686" t="s">
        <v>33</v>
      </c>
      <c r="F4686">
        <v>16881970</v>
      </c>
      <c r="G4686">
        <v>11600735</v>
      </c>
      <c r="H4686">
        <v>12840860</v>
      </c>
      <c r="I4686">
        <v>11750158</v>
      </c>
      <c r="J4686">
        <v>7567584</v>
      </c>
      <c r="K4686">
        <v>5909506</v>
      </c>
      <c r="P4686">
        <v>58</v>
      </c>
      <c r="Q4686" t="s">
        <v>9718</v>
      </c>
    </row>
    <row r="4687" spans="1:17" x14ac:dyDescent="0.3">
      <c r="A4687" t="s">
        <v>4729</v>
      </c>
      <c r="B4687" t="str">
        <f>"300900"</f>
        <v>300900</v>
      </c>
      <c r="C4687" t="s">
        <v>9719</v>
      </c>
      <c r="D4687" t="s">
        <v>98</v>
      </c>
      <c r="F4687">
        <v>25945085</v>
      </c>
      <c r="G4687">
        <v>13588445</v>
      </c>
      <c r="H4687">
        <v>12727464</v>
      </c>
      <c r="I4687">
        <v>9210848</v>
      </c>
      <c r="J4687">
        <v>6083995</v>
      </c>
      <c r="K4687">
        <v>5887000</v>
      </c>
      <c r="P4687">
        <v>76</v>
      </c>
      <c r="Q4687" t="s">
        <v>9720</v>
      </c>
    </row>
    <row r="4688" spans="1:17" x14ac:dyDescent="0.3">
      <c r="A4688" t="s">
        <v>4729</v>
      </c>
      <c r="B4688" t="str">
        <f>"300901"</f>
        <v>300901</v>
      </c>
      <c r="C4688" t="s">
        <v>9721</v>
      </c>
      <c r="D4688" t="s">
        <v>255</v>
      </c>
      <c r="F4688">
        <v>7824271</v>
      </c>
      <c r="G4688">
        <v>6680167</v>
      </c>
      <c r="H4688">
        <v>8214441</v>
      </c>
      <c r="I4688">
        <v>8102918</v>
      </c>
      <c r="J4688">
        <v>6901841</v>
      </c>
      <c r="K4688">
        <v>7432703</v>
      </c>
      <c r="P4688">
        <v>45</v>
      </c>
      <c r="Q4688" t="s">
        <v>9722</v>
      </c>
    </row>
    <row r="4689" spans="1:17" x14ac:dyDescent="0.3">
      <c r="A4689" t="s">
        <v>4729</v>
      </c>
      <c r="B4689" t="str">
        <f>"300902"</f>
        <v>300902</v>
      </c>
      <c r="C4689" t="s">
        <v>9723</v>
      </c>
      <c r="D4689" t="s">
        <v>741</v>
      </c>
      <c r="F4689">
        <v>15159745</v>
      </c>
      <c r="G4689">
        <v>16872815</v>
      </c>
      <c r="H4689">
        <v>16332965</v>
      </c>
      <c r="I4689">
        <v>11234233</v>
      </c>
      <c r="J4689">
        <v>9320886</v>
      </c>
      <c r="K4689">
        <v>8198696</v>
      </c>
      <c r="P4689">
        <v>40</v>
      </c>
      <c r="Q4689" t="s">
        <v>9724</v>
      </c>
    </row>
    <row r="4690" spans="1:17" x14ac:dyDescent="0.3">
      <c r="A4690" t="s">
        <v>4729</v>
      </c>
      <c r="B4690" t="str">
        <f>"300903"</f>
        <v>300903</v>
      </c>
      <c r="C4690" t="s">
        <v>9725</v>
      </c>
      <c r="D4690" t="s">
        <v>425</v>
      </c>
      <c r="F4690">
        <v>113620457</v>
      </c>
      <c r="G4690">
        <v>74805259</v>
      </c>
      <c r="H4690">
        <v>64778477</v>
      </c>
      <c r="I4690">
        <v>58608405</v>
      </c>
      <c r="J4690">
        <v>56731485</v>
      </c>
      <c r="K4690">
        <v>41514319</v>
      </c>
      <c r="P4690">
        <v>61</v>
      </c>
      <c r="Q4690" t="s">
        <v>9726</v>
      </c>
    </row>
    <row r="4691" spans="1:17" x14ac:dyDescent="0.3">
      <c r="A4691" t="s">
        <v>4729</v>
      </c>
      <c r="B4691" t="str">
        <f>"300905"</f>
        <v>300905</v>
      </c>
      <c r="C4691" t="s">
        <v>9727</v>
      </c>
      <c r="D4691" t="s">
        <v>779</v>
      </c>
      <c r="F4691">
        <v>21645084</v>
      </c>
      <c r="G4691">
        <v>16853970</v>
      </c>
      <c r="H4691">
        <v>14507863</v>
      </c>
      <c r="I4691">
        <v>10638269</v>
      </c>
      <c r="J4691">
        <v>7035288</v>
      </c>
      <c r="K4691">
        <v>7652764</v>
      </c>
      <c r="P4691">
        <v>54</v>
      </c>
      <c r="Q4691" t="s">
        <v>9728</v>
      </c>
    </row>
    <row r="4692" spans="1:17" x14ac:dyDescent="0.3">
      <c r="A4692" t="s">
        <v>4729</v>
      </c>
      <c r="B4692" t="str">
        <f>"300906"</f>
        <v>300906</v>
      </c>
      <c r="C4692" t="s">
        <v>9729</v>
      </c>
      <c r="D4692" t="s">
        <v>2566</v>
      </c>
      <c r="F4692">
        <v>11136734</v>
      </c>
      <c r="G4692">
        <v>8821806</v>
      </c>
      <c r="H4692">
        <v>9314372</v>
      </c>
      <c r="I4692">
        <v>9903519</v>
      </c>
      <c r="J4692">
        <v>7903500</v>
      </c>
      <c r="K4692">
        <v>5391672</v>
      </c>
      <c r="P4692">
        <v>60</v>
      </c>
      <c r="Q4692" t="s">
        <v>9730</v>
      </c>
    </row>
    <row r="4693" spans="1:17" x14ac:dyDescent="0.3">
      <c r="A4693" t="s">
        <v>4729</v>
      </c>
      <c r="B4693" t="str">
        <f>"300907"</f>
        <v>300907</v>
      </c>
      <c r="C4693" t="s">
        <v>9731</v>
      </c>
      <c r="D4693" t="s">
        <v>1171</v>
      </c>
      <c r="F4693">
        <v>37008434</v>
      </c>
      <c r="G4693">
        <v>30673432</v>
      </c>
      <c r="H4693">
        <v>27359283</v>
      </c>
      <c r="I4693">
        <v>24864068</v>
      </c>
      <c r="J4693">
        <v>22758122</v>
      </c>
      <c r="K4693">
        <v>24000300</v>
      </c>
      <c r="P4693">
        <v>36</v>
      </c>
      <c r="Q4693" t="s">
        <v>9732</v>
      </c>
    </row>
    <row r="4694" spans="1:17" x14ac:dyDescent="0.3">
      <c r="A4694" t="s">
        <v>4729</v>
      </c>
      <c r="B4694" t="str">
        <f>"300908"</f>
        <v>300908</v>
      </c>
      <c r="C4694" t="s">
        <v>9733</v>
      </c>
      <c r="D4694" t="s">
        <v>433</v>
      </c>
      <c r="F4694">
        <v>32423193</v>
      </c>
      <c r="G4694">
        <v>25779002</v>
      </c>
      <c r="H4694">
        <v>20485833</v>
      </c>
      <c r="I4694">
        <v>19391656</v>
      </c>
      <c r="J4694">
        <v>18991650</v>
      </c>
      <c r="K4694">
        <v>17474862</v>
      </c>
      <c r="P4694">
        <v>173</v>
      </c>
      <c r="Q4694" t="s">
        <v>9734</v>
      </c>
    </row>
    <row r="4695" spans="1:17" x14ac:dyDescent="0.3">
      <c r="A4695" t="s">
        <v>4729</v>
      </c>
      <c r="B4695" t="str">
        <f>"300909"</f>
        <v>300909</v>
      </c>
      <c r="C4695" t="s">
        <v>9735</v>
      </c>
      <c r="D4695" t="s">
        <v>1117</v>
      </c>
      <c r="F4695">
        <v>41018134</v>
      </c>
      <c r="G4695">
        <v>25632421</v>
      </c>
      <c r="H4695">
        <v>21631951</v>
      </c>
      <c r="I4695">
        <v>13095424</v>
      </c>
      <c r="J4695">
        <v>11075467</v>
      </c>
      <c r="K4695">
        <v>6983738</v>
      </c>
      <c r="P4695">
        <v>65</v>
      </c>
      <c r="Q4695" t="s">
        <v>9736</v>
      </c>
    </row>
    <row r="4696" spans="1:17" x14ac:dyDescent="0.3">
      <c r="A4696" t="s">
        <v>4729</v>
      </c>
      <c r="B4696" t="str">
        <f>"300910"</f>
        <v>300910</v>
      </c>
      <c r="C4696" t="s">
        <v>9737</v>
      </c>
      <c r="D4696" t="s">
        <v>386</v>
      </c>
      <c r="F4696">
        <v>37324309</v>
      </c>
      <c r="G4696">
        <v>23259745</v>
      </c>
      <c r="H4696">
        <v>17263491</v>
      </c>
      <c r="I4696">
        <v>10725949</v>
      </c>
      <c r="J4696">
        <v>8547498</v>
      </c>
      <c r="K4696">
        <v>5936000</v>
      </c>
      <c r="P4696">
        <v>116</v>
      </c>
      <c r="Q4696" t="s">
        <v>9738</v>
      </c>
    </row>
    <row r="4697" spans="1:17" x14ac:dyDescent="0.3">
      <c r="A4697" t="s">
        <v>4729</v>
      </c>
      <c r="B4697" t="str">
        <f>"300911"</f>
        <v>300911</v>
      </c>
      <c r="C4697" t="s">
        <v>9739</v>
      </c>
      <c r="D4697" t="s">
        <v>3707</v>
      </c>
      <c r="F4697">
        <v>55150204</v>
      </c>
      <c r="G4697">
        <v>31423611</v>
      </c>
      <c r="H4697">
        <v>31404187</v>
      </c>
      <c r="I4697">
        <v>26947258</v>
      </c>
      <c r="J4697">
        <v>18905382</v>
      </c>
      <c r="K4697">
        <v>13185103</v>
      </c>
      <c r="P4697">
        <v>153</v>
      </c>
      <c r="Q4697" t="s">
        <v>9740</v>
      </c>
    </row>
    <row r="4698" spans="1:17" x14ac:dyDescent="0.3">
      <c r="A4698" t="s">
        <v>4729</v>
      </c>
      <c r="B4698" t="str">
        <f>"300912"</f>
        <v>300912</v>
      </c>
      <c r="C4698" t="s">
        <v>9741</v>
      </c>
      <c r="D4698" t="s">
        <v>985</v>
      </c>
      <c r="F4698">
        <v>140491044</v>
      </c>
      <c r="G4698">
        <v>96177558</v>
      </c>
      <c r="H4698">
        <v>80123200</v>
      </c>
      <c r="I4698">
        <v>71560507</v>
      </c>
      <c r="J4698">
        <v>64316730</v>
      </c>
      <c r="K4698">
        <v>46853573</v>
      </c>
      <c r="P4698">
        <v>39</v>
      </c>
      <c r="Q4698" t="s">
        <v>9742</v>
      </c>
    </row>
    <row r="4699" spans="1:17" x14ac:dyDescent="0.3">
      <c r="A4699" t="s">
        <v>4729</v>
      </c>
      <c r="B4699" t="str">
        <f>"300913"</f>
        <v>300913</v>
      </c>
      <c r="C4699" t="s">
        <v>9743</v>
      </c>
      <c r="D4699" t="s">
        <v>250</v>
      </c>
      <c r="F4699">
        <v>54194368</v>
      </c>
      <c r="G4699">
        <v>44021997</v>
      </c>
      <c r="H4699">
        <v>41558037</v>
      </c>
      <c r="I4699">
        <v>42952593</v>
      </c>
      <c r="J4699">
        <v>36234816</v>
      </c>
      <c r="K4699">
        <v>24322387</v>
      </c>
      <c r="P4699">
        <v>33</v>
      </c>
      <c r="Q4699" t="s">
        <v>9744</v>
      </c>
    </row>
    <row r="4700" spans="1:17" x14ac:dyDescent="0.3">
      <c r="A4700" t="s">
        <v>4729</v>
      </c>
      <c r="B4700" t="str">
        <f>"300915"</f>
        <v>300915</v>
      </c>
      <c r="C4700" t="s">
        <v>9745</v>
      </c>
      <c r="D4700" t="s">
        <v>900</v>
      </c>
      <c r="F4700">
        <v>32253824</v>
      </c>
      <c r="G4700">
        <v>22114124</v>
      </c>
      <c r="H4700">
        <v>21586955</v>
      </c>
      <c r="I4700">
        <v>21478179</v>
      </c>
      <c r="J4700">
        <v>17417137</v>
      </c>
      <c r="K4700">
        <v>12212988</v>
      </c>
      <c r="P4700">
        <v>101</v>
      </c>
      <c r="Q4700" t="s">
        <v>9746</v>
      </c>
    </row>
    <row r="4701" spans="1:17" x14ac:dyDescent="0.3">
      <c r="A4701" t="s">
        <v>4729</v>
      </c>
      <c r="B4701" t="str">
        <f>"300916"</f>
        <v>300916</v>
      </c>
      <c r="C4701" t="s">
        <v>9747</v>
      </c>
      <c r="D4701" t="s">
        <v>313</v>
      </c>
      <c r="F4701">
        <v>35393155</v>
      </c>
      <c r="G4701">
        <v>27039515</v>
      </c>
      <c r="H4701">
        <v>22742583</v>
      </c>
      <c r="I4701">
        <v>21020031</v>
      </c>
      <c r="J4701">
        <v>14632600</v>
      </c>
      <c r="K4701">
        <v>14869518</v>
      </c>
      <c r="P4701">
        <v>79</v>
      </c>
      <c r="Q4701" t="s">
        <v>9748</v>
      </c>
    </row>
    <row r="4702" spans="1:17" x14ac:dyDescent="0.3">
      <c r="A4702" t="s">
        <v>4729</v>
      </c>
      <c r="B4702" t="str">
        <f>"300917"</f>
        <v>300917</v>
      </c>
      <c r="C4702" t="s">
        <v>9749</v>
      </c>
      <c r="D4702" t="s">
        <v>2975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P4702">
        <v>81</v>
      </c>
      <c r="Q4702" t="s">
        <v>9750</v>
      </c>
    </row>
    <row r="4703" spans="1:17" x14ac:dyDescent="0.3">
      <c r="A4703" t="s">
        <v>4729</v>
      </c>
      <c r="B4703" t="str">
        <f>"300918"</f>
        <v>300918</v>
      </c>
      <c r="C4703" t="s">
        <v>9751</v>
      </c>
      <c r="D4703" t="s">
        <v>366</v>
      </c>
      <c r="F4703">
        <v>53859135</v>
      </c>
      <c r="G4703">
        <v>39959720</v>
      </c>
      <c r="H4703">
        <v>54219669</v>
      </c>
      <c r="I4703">
        <v>60933964</v>
      </c>
      <c r="J4703">
        <v>49024076</v>
      </c>
      <c r="K4703">
        <v>43129654</v>
      </c>
      <c r="P4703">
        <v>38</v>
      </c>
      <c r="Q4703" t="s">
        <v>9752</v>
      </c>
    </row>
    <row r="4704" spans="1:17" x14ac:dyDescent="0.3">
      <c r="A4704" t="s">
        <v>4729</v>
      </c>
      <c r="B4704" t="str">
        <f>"300919"</f>
        <v>300919</v>
      </c>
      <c r="C4704" t="s">
        <v>9753</v>
      </c>
      <c r="D4704" t="s">
        <v>1790</v>
      </c>
      <c r="F4704">
        <v>769196155</v>
      </c>
      <c r="G4704">
        <v>270106975</v>
      </c>
      <c r="H4704">
        <v>175470212</v>
      </c>
      <c r="I4704">
        <v>107870450</v>
      </c>
      <c r="J4704">
        <v>69322598</v>
      </c>
      <c r="P4704">
        <v>175</v>
      </c>
      <c r="Q4704" t="s">
        <v>9754</v>
      </c>
    </row>
    <row r="4705" spans="1:17" x14ac:dyDescent="0.3">
      <c r="A4705" t="s">
        <v>4729</v>
      </c>
      <c r="B4705" t="str">
        <f>"300920"</f>
        <v>300920</v>
      </c>
      <c r="C4705" t="s">
        <v>9755</v>
      </c>
      <c r="D4705" t="s">
        <v>1192</v>
      </c>
      <c r="F4705">
        <v>22860191</v>
      </c>
      <c r="G4705">
        <v>15834659</v>
      </c>
      <c r="H4705">
        <v>11840448</v>
      </c>
      <c r="I4705">
        <v>9742601</v>
      </c>
      <c r="J4705">
        <v>7897490</v>
      </c>
      <c r="K4705">
        <v>3757200</v>
      </c>
      <c r="P4705">
        <v>46</v>
      </c>
      <c r="Q4705" t="s">
        <v>9756</v>
      </c>
    </row>
    <row r="4706" spans="1:17" x14ac:dyDescent="0.3">
      <c r="A4706" t="s">
        <v>4729</v>
      </c>
      <c r="B4706" t="str">
        <f>"300921"</f>
        <v>300921</v>
      </c>
      <c r="C4706" t="s">
        <v>9757</v>
      </c>
      <c r="D4706" t="s">
        <v>5670</v>
      </c>
      <c r="F4706">
        <v>52436029</v>
      </c>
      <c r="G4706">
        <v>33303220</v>
      </c>
      <c r="H4706">
        <v>31942776</v>
      </c>
      <c r="I4706">
        <v>28142578</v>
      </c>
      <c r="J4706">
        <v>23770540</v>
      </c>
      <c r="K4706">
        <v>17469613</v>
      </c>
      <c r="P4706">
        <v>39</v>
      </c>
      <c r="Q4706" t="s">
        <v>9758</v>
      </c>
    </row>
    <row r="4707" spans="1:17" x14ac:dyDescent="0.3">
      <c r="A4707" t="s">
        <v>4729</v>
      </c>
      <c r="B4707" t="str">
        <f>"300922"</f>
        <v>300922</v>
      </c>
      <c r="C4707" t="s">
        <v>9759</v>
      </c>
      <c r="D4707" t="s">
        <v>428</v>
      </c>
      <c r="F4707">
        <v>10218911</v>
      </c>
      <c r="G4707">
        <v>10646329</v>
      </c>
      <c r="H4707">
        <v>10446168</v>
      </c>
      <c r="I4707">
        <v>10600044</v>
      </c>
      <c r="J4707">
        <v>8346519</v>
      </c>
      <c r="K4707">
        <v>7118843</v>
      </c>
      <c r="P4707">
        <v>83</v>
      </c>
      <c r="Q4707" t="s">
        <v>9760</v>
      </c>
    </row>
    <row r="4708" spans="1:17" x14ac:dyDescent="0.3">
      <c r="A4708" t="s">
        <v>4729</v>
      </c>
      <c r="B4708" t="str">
        <f>"300923"</f>
        <v>300923</v>
      </c>
      <c r="C4708" t="s">
        <v>9761</v>
      </c>
      <c r="D4708" t="s">
        <v>1012</v>
      </c>
      <c r="F4708">
        <v>16771722</v>
      </c>
      <c r="G4708">
        <v>12050294</v>
      </c>
      <c r="H4708">
        <v>13189883</v>
      </c>
      <c r="I4708">
        <v>15005385</v>
      </c>
      <c r="J4708">
        <v>15903245</v>
      </c>
      <c r="K4708">
        <v>11417558</v>
      </c>
      <c r="P4708">
        <v>28</v>
      </c>
      <c r="Q4708" t="s">
        <v>9762</v>
      </c>
    </row>
    <row r="4709" spans="1:17" x14ac:dyDescent="0.3">
      <c r="A4709" t="s">
        <v>4729</v>
      </c>
      <c r="B4709" t="str">
        <f>"300925"</f>
        <v>300925</v>
      </c>
      <c r="C4709" t="s">
        <v>9763</v>
      </c>
      <c r="D4709" t="s">
        <v>945</v>
      </c>
      <c r="F4709">
        <v>186166576</v>
      </c>
      <c r="G4709">
        <v>113734884</v>
      </c>
      <c r="H4709">
        <v>67811265</v>
      </c>
      <c r="I4709">
        <v>53053182</v>
      </c>
      <c r="J4709">
        <v>29357052</v>
      </c>
      <c r="K4709">
        <v>22692926</v>
      </c>
      <c r="P4709">
        <v>72</v>
      </c>
      <c r="Q4709" t="s">
        <v>9764</v>
      </c>
    </row>
    <row r="4710" spans="1:17" x14ac:dyDescent="0.3">
      <c r="A4710" t="s">
        <v>4729</v>
      </c>
      <c r="B4710" t="str">
        <f>"300926"</f>
        <v>300926</v>
      </c>
      <c r="C4710" t="s">
        <v>9765</v>
      </c>
      <c r="D4710" t="s">
        <v>985</v>
      </c>
      <c r="F4710">
        <v>31043804</v>
      </c>
      <c r="G4710">
        <v>25993648</v>
      </c>
      <c r="H4710">
        <v>19849030</v>
      </c>
      <c r="I4710">
        <v>18409226</v>
      </c>
      <c r="J4710">
        <v>15261330</v>
      </c>
      <c r="K4710">
        <v>12955002</v>
      </c>
      <c r="P4710">
        <v>45</v>
      </c>
      <c r="Q4710" t="s">
        <v>9766</v>
      </c>
    </row>
    <row r="4711" spans="1:17" x14ac:dyDescent="0.3">
      <c r="A4711" t="s">
        <v>4729</v>
      </c>
      <c r="B4711" t="str">
        <f>"300927"</f>
        <v>300927</v>
      </c>
      <c r="C4711" t="s">
        <v>9767</v>
      </c>
      <c r="D4711" t="s">
        <v>1233</v>
      </c>
      <c r="F4711">
        <v>6863430</v>
      </c>
      <c r="G4711">
        <v>7044546</v>
      </c>
      <c r="H4711">
        <v>6773681</v>
      </c>
      <c r="I4711">
        <v>6490205</v>
      </c>
      <c r="J4711">
        <v>7403647</v>
      </c>
      <c r="K4711">
        <v>7484043</v>
      </c>
      <c r="P4711">
        <v>44</v>
      </c>
      <c r="Q4711" t="s">
        <v>9768</v>
      </c>
    </row>
    <row r="4712" spans="1:17" x14ac:dyDescent="0.3">
      <c r="A4712" t="s">
        <v>4729</v>
      </c>
      <c r="B4712" t="str">
        <f>"300928"</f>
        <v>300928</v>
      </c>
      <c r="C4712" t="s">
        <v>9769</v>
      </c>
      <c r="D4712" t="s">
        <v>1415</v>
      </c>
      <c r="F4712">
        <v>21577673</v>
      </c>
      <c r="G4712">
        <v>16546257</v>
      </c>
      <c r="H4712">
        <v>9755072</v>
      </c>
      <c r="I4712">
        <v>12861467</v>
      </c>
      <c r="J4712">
        <v>11337549</v>
      </c>
      <c r="K4712">
        <v>10989908</v>
      </c>
      <c r="P4712">
        <v>27</v>
      </c>
      <c r="Q4712" t="s">
        <v>9770</v>
      </c>
    </row>
    <row r="4713" spans="1:17" x14ac:dyDescent="0.3">
      <c r="A4713" t="s">
        <v>4729</v>
      </c>
      <c r="B4713" t="str">
        <f>"300929"</f>
        <v>300929</v>
      </c>
      <c r="C4713" t="s">
        <v>9771</v>
      </c>
      <c r="D4713" t="s">
        <v>33</v>
      </c>
      <c r="F4713">
        <v>19816407</v>
      </c>
      <c r="G4713">
        <v>20761950</v>
      </c>
      <c r="H4713">
        <v>16985442</v>
      </c>
      <c r="I4713">
        <v>15504658</v>
      </c>
      <c r="J4713">
        <v>13626611</v>
      </c>
      <c r="K4713">
        <v>8676934</v>
      </c>
      <c r="P4713">
        <v>48</v>
      </c>
      <c r="Q4713" t="s">
        <v>9772</v>
      </c>
    </row>
    <row r="4714" spans="1:17" x14ac:dyDescent="0.3">
      <c r="A4714" t="s">
        <v>4729</v>
      </c>
      <c r="B4714" t="str">
        <f>"300930"</f>
        <v>300930</v>
      </c>
      <c r="C4714" t="s">
        <v>9773</v>
      </c>
      <c r="D4714" t="s">
        <v>581</v>
      </c>
      <c r="F4714">
        <v>17780167</v>
      </c>
      <c r="G4714">
        <v>12062756</v>
      </c>
      <c r="H4714">
        <v>10784806</v>
      </c>
      <c r="I4714">
        <v>10615854</v>
      </c>
      <c r="J4714">
        <v>8442335</v>
      </c>
      <c r="K4714">
        <v>5659300</v>
      </c>
      <c r="P4714">
        <v>75</v>
      </c>
      <c r="Q4714" t="s">
        <v>9774</v>
      </c>
    </row>
    <row r="4715" spans="1:17" x14ac:dyDescent="0.3">
      <c r="A4715" t="s">
        <v>4729</v>
      </c>
      <c r="B4715" t="str">
        <f>"300931"</f>
        <v>300931</v>
      </c>
      <c r="C4715" t="s">
        <v>9775</v>
      </c>
      <c r="D4715" t="s">
        <v>1691</v>
      </c>
      <c r="F4715">
        <v>20929246</v>
      </c>
      <c r="G4715">
        <v>17271050</v>
      </c>
      <c r="H4715">
        <v>17391826</v>
      </c>
      <c r="I4715">
        <v>16052846</v>
      </c>
      <c r="J4715">
        <v>16681761</v>
      </c>
      <c r="K4715">
        <v>16087108</v>
      </c>
      <c r="P4715">
        <v>31</v>
      </c>
      <c r="Q4715" t="s">
        <v>9776</v>
      </c>
    </row>
    <row r="4716" spans="1:17" x14ac:dyDescent="0.3">
      <c r="A4716" t="s">
        <v>4729</v>
      </c>
      <c r="B4716" t="str">
        <f>"300932"</f>
        <v>300932</v>
      </c>
      <c r="C4716" t="s">
        <v>9777</v>
      </c>
      <c r="D4716" t="s">
        <v>657</v>
      </c>
      <c r="F4716">
        <v>73699303</v>
      </c>
      <c r="G4716">
        <v>47143865</v>
      </c>
      <c r="H4716">
        <v>39188049</v>
      </c>
      <c r="I4716">
        <v>35099794</v>
      </c>
      <c r="J4716">
        <v>34039398</v>
      </c>
      <c r="K4716">
        <v>30270313</v>
      </c>
      <c r="P4716">
        <v>29</v>
      </c>
      <c r="Q4716" t="s">
        <v>9778</v>
      </c>
    </row>
    <row r="4717" spans="1:17" x14ac:dyDescent="0.3">
      <c r="A4717" t="s">
        <v>4729</v>
      </c>
      <c r="B4717" t="str">
        <f>"300933"</f>
        <v>300933</v>
      </c>
      <c r="C4717" t="s">
        <v>9779</v>
      </c>
      <c r="D4717" t="s">
        <v>1164</v>
      </c>
      <c r="F4717">
        <v>82571258</v>
      </c>
      <c r="G4717">
        <v>68810076</v>
      </c>
      <c r="H4717">
        <v>73762331</v>
      </c>
      <c r="I4717">
        <v>56791182</v>
      </c>
      <c r="J4717">
        <v>60928475</v>
      </c>
      <c r="K4717">
        <v>52816123</v>
      </c>
      <c r="P4717">
        <v>30</v>
      </c>
      <c r="Q4717" t="s">
        <v>9780</v>
      </c>
    </row>
    <row r="4718" spans="1:17" x14ac:dyDescent="0.3">
      <c r="A4718" t="s">
        <v>4729</v>
      </c>
      <c r="B4718" t="str">
        <f>"300935"</f>
        <v>300935</v>
      </c>
      <c r="C4718" t="s">
        <v>9781</v>
      </c>
      <c r="D4718" t="s">
        <v>945</v>
      </c>
      <c r="F4718">
        <v>48239540</v>
      </c>
      <c r="G4718">
        <v>27441662</v>
      </c>
      <c r="H4718">
        <v>27647563</v>
      </c>
      <c r="I4718">
        <v>21687612</v>
      </c>
      <c r="J4718">
        <v>17582084</v>
      </c>
      <c r="K4718">
        <v>13201600</v>
      </c>
      <c r="P4718">
        <v>55</v>
      </c>
      <c r="Q4718" t="s">
        <v>9782</v>
      </c>
    </row>
    <row r="4719" spans="1:17" x14ac:dyDescent="0.3">
      <c r="A4719" t="s">
        <v>4729</v>
      </c>
      <c r="B4719" t="str">
        <f>"300936"</f>
        <v>300936</v>
      </c>
      <c r="C4719" t="s">
        <v>9783</v>
      </c>
      <c r="D4719" t="s">
        <v>425</v>
      </c>
      <c r="F4719">
        <v>10033310</v>
      </c>
      <c r="G4719">
        <v>9104282</v>
      </c>
      <c r="H4719">
        <v>9506327</v>
      </c>
      <c r="I4719">
        <v>8986518</v>
      </c>
      <c r="J4719">
        <v>6662529</v>
      </c>
      <c r="K4719">
        <v>4972030</v>
      </c>
      <c r="P4719">
        <v>54</v>
      </c>
      <c r="Q4719" t="s">
        <v>9784</v>
      </c>
    </row>
    <row r="4720" spans="1:17" x14ac:dyDescent="0.3">
      <c r="A4720" t="s">
        <v>4729</v>
      </c>
      <c r="B4720" t="str">
        <f>"300937"</f>
        <v>300937</v>
      </c>
      <c r="C4720" t="s">
        <v>9785</v>
      </c>
      <c r="D4720" t="s">
        <v>125</v>
      </c>
      <c r="F4720">
        <v>11377796</v>
      </c>
      <c r="G4720">
        <v>0</v>
      </c>
      <c r="H4720">
        <v>0</v>
      </c>
      <c r="I4720">
        <v>0</v>
      </c>
      <c r="J4720">
        <v>0</v>
      </c>
      <c r="P4720">
        <v>35</v>
      </c>
      <c r="Q4720" t="s">
        <v>9786</v>
      </c>
    </row>
    <row r="4721" spans="1:17" x14ac:dyDescent="0.3">
      <c r="A4721" t="s">
        <v>4729</v>
      </c>
      <c r="B4721" t="str">
        <f>"300938"</f>
        <v>300938</v>
      </c>
      <c r="C4721" t="s">
        <v>9787</v>
      </c>
      <c r="D4721" t="s">
        <v>2510</v>
      </c>
      <c r="F4721">
        <v>31143576</v>
      </c>
      <c r="G4721">
        <v>19716910</v>
      </c>
      <c r="H4721">
        <v>18228811</v>
      </c>
      <c r="I4721">
        <v>16606451</v>
      </c>
      <c r="J4721">
        <v>15518019</v>
      </c>
      <c r="K4721">
        <v>12228700</v>
      </c>
      <c r="P4721">
        <v>43</v>
      </c>
      <c r="Q4721" t="s">
        <v>9788</v>
      </c>
    </row>
    <row r="4722" spans="1:17" x14ac:dyDescent="0.3">
      <c r="A4722" t="s">
        <v>4729</v>
      </c>
      <c r="B4722" t="str">
        <f>"300939"</f>
        <v>300939</v>
      </c>
      <c r="C4722" t="s">
        <v>9789</v>
      </c>
      <c r="D4722" t="s">
        <v>1117</v>
      </c>
      <c r="F4722">
        <v>49508020</v>
      </c>
      <c r="G4722">
        <v>38895113</v>
      </c>
      <c r="H4722">
        <v>38707678</v>
      </c>
      <c r="I4722">
        <v>38938883</v>
      </c>
      <c r="J4722">
        <v>28034767</v>
      </c>
      <c r="K4722">
        <v>21738500</v>
      </c>
      <c r="P4722">
        <v>31</v>
      </c>
      <c r="Q4722" t="s">
        <v>9790</v>
      </c>
    </row>
    <row r="4723" spans="1:17" x14ac:dyDescent="0.3">
      <c r="A4723" t="s">
        <v>4729</v>
      </c>
      <c r="B4723" t="str">
        <f>"300940"</f>
        <v>300940</v>
      </c>
      <c r="C4723" t="s">
        <v>9791</v>
      </c>
      <c r="D4723" t="s">
        <v>803</v>
      </c>
      <c r="F4723">
        <v>39752050</v>
      </c>
      <c r="G4723">
        <v>44540515</v>
      </c>
      <c r="H4723">
        <v>33359503</v>
      </c>
      <c r="I4723">
        <v>26969106</v>
      </c>
      <c r="J4723">
        <v>24238095</v>
      </c>
      <c r="K4723">
        <v>19116714</v>
      </c>
      <c r="P4723">
        <v>39</v>
      </c>
      <c r="Q4723" t="s">
        <v>9792</v>
      </c>
    </row>
    <row r="4724" spans="1:17" x14ac:dyDescent="0.3">
      <c r="A4724" t="s">
        <v>4729</v>
      </c>
      <c r="B4724" t="str">
        <f>"300941"</f>
        <v>300941</v>
      </c>
      <c r="C4724" t="s">
        <v>9793</v>
      </c>
      <c r="D4724" t="s">
        <v>236</v>
      </c>
      <c r="F4724">
        <v>43988345</v>
      </c>
      <c r="G4724">
        <v>36217966</v>
      </c>
      <c r="H4724">
        <v>29757377</v>
      </c>
      <c r="I4724">
        <v>24819752</v>
      </c>
      <c r="J4724">
        <v>18425698</v>
      </c>
      <c r="K4724">
        <v>15116290</v>
      </c>
      <c r="P4724">
        <v>69</v>
      </c>
      <c r="Q4724" t="s">
        <v>9794</v>
      </c>
    </row>
    <row r="4725" spans="1:17" x14ac:dyDescent="0.3">
      <c r="A4725" t="s">
        <v>4729</v>
      </c>
      <c r="B4725" t="str">
        <f>"300942"</f>
        <v>300942</v>
      </c>
      <c r="C4725" t="s">
        <v>9795</v>
      </c>
      <c r="D4725" t="s">
        <v>1305</v>
      </c>
      <c r="F4725">
        <v>72432063</v>
      </c>
      <c r="G4725">
        <v>40462594</v>
      </c>
      <c r="H4725">
        <v>33685208</v>
      </c>
      <c r="I4725">
        <v>24420850</v>
      </c>
      <c r="J4725">
        <v>23955681</v>
      </c>
      <c r="K4725">
        <v>16904675</v>
      </c>
      <c r="P4725">
        <v>98</v>
      </c>
      <c r="Q4725" t="s">
        <v>9796</v>
      </c>
    </row>
    <row r="4726" spans="1:17" x14ac:dyDescent="0.3">
      <c r="A4726" t="s">
        <v>4729</v>
      </c>
      <c r="B4726" t="str">
        <f>"300943"</f>
        <v>300943</v>
      </c>
      <c r="C4726" t="s">
        <v>9797</v>
      </c>
      <c r="D4726" t="s">
        <v>274</v>
      </c>
      <c r="F4726">
        <v>30559889</v>
      </c>
      <c r="G4726">
        <v>28496143</v>
      </c>
      <c r="H4726">
        <v>25809599</v>
      </c>
      <c r="I4726">
        <v>28493024</v>
      </c>
      <c r="J4726">
        <v>27704876</v>
      </c>
      <c r="P4726">
        <v>35</v>
      </c>
      <c r="Q4726" t="s">
        <v>9798</v>
      </c>
    </row>
    <row r="4727" spans="1:17" x14ac:dyDescent="0.3">
      <c r="A4727" t="s">
        <v>4729</v>
      </c>
      <c r="B4727" t="str">
        <f>"300945"</f>
        <v>300945</v>
      </c>
      <c r="C4727" t="s">
        <v>9799</v>
      </c>
      <c r="D4727" t="s">
        <v>1238</v>
      </c>
      <c r="F4727">
        <v>776642</v>
      </c>
      <c r="G4727">
        <v>1049358</v>
      </c>
      <c r="H4727">
        <v>883709</v>
      </c>
      <c r="I4727">
        <v>454912</v>
      </c>
      <c r="J4727">
        <v>380871</v>
      </c>
      <c r="K4727">
        <v>265464</v>
      </c>
      <c r="P4727">
        <v>36</v>
      </c>
      <c r="Q4727" t="s">
        <v>9800</v>
      </c>
    </row>
    <row r="4728" spans="1:17" x14ac:dyDescent="0.3">
      <c r="A4728" t="s">
        <v>4729</v>
      </c>
      <c r="B4728" t="str">
        <f>"300946"</f>
        <v>300946</v>
      </c>
      <c r="C4728" t="s">
        <v>9801</v>
      </c>
      <c r="D4728" t="s">
        <v>274</v>
      </c>
      <c r="F4728">
        <v>15803388</v>
      </c>
      <c r="G4728">
        <v>12169509</v>
      </c>
      <c r="H4728">
        <v>12610117</v>
      </c>
      <c r="I4728">
        <v>12678716</v>
      </c>
      <c r="J4728">
        <v>9768038</v>
      </c>
      <c r="P4728">
        <v>75</v>
      </c>
      <c r="Q4728" t="s">
        <v>9802</v>
      </c>
    </row>
    <row r="4729" spans="1:17" x14ac:dyDescent="0.3">
      <c r="A4729" t="s">
        <v>4729</v>
      </c>
      <c r="B4729" t="str">
        <f>"300947"</f>
        <v>300947</v>
      </c>
      <c r="C4729" t="s">
        <v>9803</v>
      </c>
      <c r="D4729" t="s">
        <v>271</v>
      </c>
      <c r="F4729">
        <v>5128457</v>
      </c>
      <c r="G4729">
        <v>5471359</v>
      </c>
      <c r="H4729">
        <v>5149800</v>
      </c>
      <c r="I4729">
        <v>5353062</v>
      </c>
      <c r="J4729">
        <v>6998532</v>
      </c>
      <c r="K4729">
        <v>1678082</v>
      </c>
      <c r="P4729">
        <v>28</v>
      </c>
      <c r="Q4729" t="s">
        <v>9804</v>
      </c>
    </row>
    <row r="4730" spans="1:17" x14ac:dyDescent="0.3">
      <c r="A4730" t="s">
        <v>4729</v>
      </c>
      <c r="B4730" t="str">
        <f>"300948"</f>
        <v>300948</v>
      </c>
      <c r="C4730" t="s">
        <v>9805</v>
      </c>
      <c r="D4730" t="s">
        <v>2417</v>
      </c>
      <c r="F4730">
        <v>14635471</v>
      </c>
      <c r="G4730">
        <v>14569696</v>
      </c>
      <c r="H4730">
        <v>13203287</v>
      </c>
      <c r="I4730">
        <v>12696337</v>
      </c>
      <c r="J4730">
        <v>9515009</v>
      </c>
      <c r="K4730">
        <v>6567636</v>
      </c>
      <c r="P4730">
        <v>38</v>
      </c>
      <c r="Q4730" t="s">
        <v>9806</v>
      </c>
    </row>
    <row r="4731" spans="1:17" x14ac:dyDescent="0.3">
      <c r="A4731" t="s">
        <v>4729</v>
      </c>
      <c r="B4731" t="str">
        <f>"300949"</f>
        <v>300949</v>
      </c>
      <c r="C4731" t="s">
        <v>9807</v>
      </c>
      <c r="D4731" t="s">
        <v>2417</v>
      </c>
      <c r="F4731">
        <v>27145152</v>
      </c>
      <c r="G4731">
        <v>21957134</v>
      </c>
      <c r="H4731">
        <v>21664787</v>
      </c>
      <c r="I4731">
        <v>13865696</v>
      </c>
      <c r="J4731">
        <v>11655890</v>
      </c>
      <c r="K4731">
        <v>10626350</v>
      </c>
      <c r="P4731">
        <v>39</v>
      </c>
      <c r="Q4731" t="s">
        <v>9808</v>
      </c>
    </row>
    <row r="4732" spans="1:17" x14ac:dyDescent="0.3">
      <c r="A4732" t="s">
        <v>4729</v>
      </c>
      <c r="B4732" t="str">
        <f>"300950"</f>
        <v>300950</v>
      </c>
      <c r="C4732" t="s">
        <v>9809</v>
      </c>
      <c r="D4732" t="s">
        <v>395</v>
      </c>
      <c r="F4732">
        <v>13189173</v>
      </c>
      <c r="G4732">
        <v>10819234</v>
      </c>
      <c r="H4732">
        <v>9965214</v>
      </c>
      <c r="I4732">
        <v>9329086</v>
      </c>
      <c r="J4732">
        <v>9772873</v>
      </c>
      <c r="K4732">
        <v>10245746</v>
      </c>
      <c r="P4732">
        <v>58</v>
      </c>
      <c r="Q4732" t="s">
        <v>9810</v>
      </c>
    </row>
    <row r="4733" spans="1:17" x14ac:dyDescent="0.3">
      <c r="A4733" t="s">
        <v>4729</v>
      </c>
      <c r="B4733" t="str">
        <f>"300951"</f>
        <v>300951</v>
      </c>
      <c r="C4733" t="s">
        <v>9811</v>
      </c>
      <c r="D4733" t="s">
        <v>313</v>
      </c>
      <c r="F4733">
        <v>50015260</v>
      </c>
      <c r="G4733">
        <v>44770321</v>
      </c>
      <c r="H4733">
        <v>29850128</v>
      </c>
      <c r="I4733">
        <v>19711703</v>
      </c>
      <c r="J4733">
        <v>9428298</v>
      </c>
      <c r="P4733">
        <v>67</v>
      </c>
      <c r="Q4733" t="s">
        <v>9812</v>
      </c>
    </row>
    <row r="4734" spans="1:17" x14ac:dyDescent="0.3">
      <c r="A4734" t="s">
        <v>4729</v>
      </c>
      <c r="B4734" t="str">
        <f>"300952"</f>
        <v>300952</v>
      </c>
      <c r="C4734" t="s">
        <v>9813</v>
      </c>
      <c r="D4734" t="s">
        <v>330</v>
      </c>
      <c r="F4734">
        <v>50693667</v>
      </c>
      <c r="G4734">
        <v>27170453</v>
      </c>
      <c r="H4734">
        <v>20112312</v>
      </c>
      <c r="I4734">
        <v>19293955</v>
      </c>
      <c r="J4734">
        <v>17375565</v>
      </c>
      <c r="K4734">
        <v>10010376</v>
      </c>
      <c r="P4734">
        <v>38</v>
      </c>
      <c r="Q4734" t="s">
        <v>9814</v>
      </c>
    </row>
    <row r="4735" spans="1:17" x14ac:dyDescent="0.3">
      <c r="A4735" t="s">
        <v>4729</v>
      </c>
      <c r="B4735" t="str">
        <f>"300953"</f>
        <v>300953</v>
      </c>
      <c r="C4735" t="s">
        <v>9815</v>
      </c>
      <c r="D4735" t="s">
        <v>274</v>
      </c>
      <c r="F4735">
        <v>132811104</v>
      </c>
      <c r="G4735">
        <v>41716599</v>
      </c>
      <c r="H4735">
        <v>25518513</v>
      </c>
      <c r="I4735">
        <v>20551230</v>
      </c>
      <c r="J4735">
        <v>13777341</v>
      </c>
      <c r="K4735">
        <v>17705727</v>
      </c>
      <c r="P4735">
        <v>84</v>
      </c>
      <c r="Q4735" t="s">
        <v>9816</v>
      </c>
    </row>
    <row r="4736" spans="1:17" x14ac:dyDescent="0.3">
      <c r="A4736" t="s">
        <v>4729</v>
      </c>
      <c r="B4736" t="str">
        <f>"300955"</f>
        <v>300955</v>
      </c>
      <c r="C4736" t="s">
        <v>9817</v>
      </c>
      <c r="D4736" t="s">
        <v>5979</v>
      </c>
      <c r="F4736">
        <v>21954337</v>
      </c>
      <c r="G4736">
        <v>18530557</v>
      </c>
      <c r="H4736">
        <v>18168629</v>
      </c>
      <c r="I4736">
        <v>14417343</v>
      </c>
      <c r="J4736">
        <v>10060958</v>
      </c>
      <c r="P4736">
        <v>42</v>
      </c>
      <c r="Q4736" t="s">
        <v>9818</v>
      </c>
    </row>
    <row r="4737" spans="1:17" x14ac:dyDescent="0.3">
      <c r="A4737" t="s">
        <v>4729</v>
      </c>
      <c r="B4737" t="str">
        <f>"300956"</f>
        <v>300956</v>
      </c>
      <c r="C4737" t="s">
        <v>9819</v>
      </c>
      <c r="D4737" t="s">
        <v>313</v>
      </c>
      <c r="F4737">
        <v>67031378</v>
      </c>
      <c r="G4737">
        <v>49130567</v>
      </c>
      <c r="H4737">
        <v>40550564</v>
      </c>
      <c r="I4737">
        <v>23932724</v>
      </c>
      <c r="J4737">
        <v>14818021</v>
      </c>
      <c r="P4737">
        <v>45</v>
      </c>
      <c r="Q4737" t="s">
        <v>9820</v>
      </c>
    </row>
    <row r="4738" spans="1:17" x14ac:dyDescent="0.3">
      <c r="A4738" t="s">
        <v>4729</v>
      </c>
      <c r="B4738" t="str">
        <f>"300957"</f>
        <v>300957</v>
      </c>
      <c r="C4738" t="s">
        <v>9821</v>
      </c>
      <c r="D4738" t="s">
        <v>709</v>
      </c>
      <c r="F4738">
        <v>113221150</v>
      </c>
      <c r="G4738">
        <v>63441047</v>
      </c>
      <c r="H4738">
        <v>54109130</v>
      </c>
      <c r="I4738">
        <v>46012695</v>
      </c>
      <c r="J4738">
        <v>28917494</v>
      </c>
      <c r="P4738">
        <v>350</v>
      </c>
      <c r="Q4738" t="s">
        <v>9822</v>
      </c>
    </row>
    <row r="4739" spans="1:17" x14ac:dyDescent="0.3">
      <c r="A4739" t="s">
        <v>4729</v>
      </c>
      <c r="B4739" t="str">
        <f>"300958"</f>
        <v>300958</v>
      </c>
      <c r="C4739" t="s">
        <v>9823</v>
      </c>
      <c r="D4739" t="s">
        <v>3575</v>
      </c>
      <c r="F4739">
        <v>36055999</v>
      </c>
      <c r="G4739">
        <v>29174131</v>
      </c>
      <c r="H4739">
        <v>23809937</v>
      </c>
      <c r="I4739">
        <v>20522047</v>
      </c>
      <c r="J4739">
        <v>16871889</v>
      </c>
      <c r="P4739">
        <v>28</v>
      </c>
      <c r="Q4739" t="s">
        <v>9824</v>
      </c>
    </row>
    <row r="4740" spans="1:17" x14ac:dyDescent="0.3">
      <c r="A4740" t="s">
        <v>4729</v>
      </c>
      <c r="B4740" t="str">
        <f>"300959"</f>
        <v>300959</v>
      </c>
      <c r="C4740" t="s">
        <v>9825</v>
      </c>
      <c r="D4740" t="s">
        <v>5670</v>
      </c>
      <c r="F4740">
        <v>14654216</v>
      </c>
      <c r="G4740">
        <v>7967350</v>
      </c>
      <c r="H4740">
        <v>5620003</v>
      </c>
      <c r="I4740">
        <v>3281907</v>
      </c>
      <c r="J4740">
        <v>1234603</v>
      </c>
      <c r="K4740">
        <v>1183907</v>
      </c>
      <c r="P4740">
        <v>31</v>
      </c>
      <c r="Q4740" t="s">
        <v>9826</v>
      </c>
    </row>
    <row r="4741" spans="1:17" x14ac:dyDescent="0.3">
      <c r="A4741" t="s">
        <v>4729</v>
      </c>
      <c r="B4741" t="str">
        <f>"300960"</f>
        <v>300960</v>
      </c>
      <c r="C4741" t="s">
        <v>9827</v>
      </c>
      <c r="D4741" t="s">
        <v>1012</v>
      </c>
      <c r="F4741">
        <v>44016477</v>
      </c>
      <c r="G4741">
        <v>33853035</v>
      </c>
      <c r="H4741">
        <v>36032871</v>
      </c>
      <c r="I4741">
        <v>46359692</v>
      </c>
      <c r="J4741">
        <v>34189568</v>
      </c>
      <c r="K4741">
        <v>31238329</v>
      </c>
      <c r="P4741">
        <v>26</v>
      </c>
      <c r="Q4741" t="s">
        <v>9828</v>
      </c>
    </row>
    <row r="4742" spans="1:17" x14ac:dyDescent="0.3">
      <c r="A4742" t="s">
        <v>4729</v>
      </c>
      <c r="B4742" t="str">
        <f>"300961"</f>
        <v>300961</v>
      </c>
      <c r="C4742" t="s">
        <v>9829</v>
      </c>
      <c r="D4742" t="s">
        <v>33</v>
      </c>
      <c r="F4742">
        <v>22163284</v>
      </c>
      <c r="G4742">
        <v>15984305</v>
      </c>
      <c r="H4742">
        <v>14106918</v>
      </c>
      <c r="I4742">
        <v>12603823</v>
      </c>
      <c r="J4742">
        <v>9771085</v>
      </c>
      <c r="K4742">
        <v>9045995</v>
      </c>
      <c r="P4742">
        <v>27</v>
      </c>
      <c r="Q4742" t="s">
        <v>9830</v>
      </c>
    </row>
    <row r="4743" spans="1:17" x14ac:dyDescent="0.3">
      <c r="A4743" t="s">
        <v>4729</v>
      </c>
      <c r="B4743" t="str">
        <f>"300962"</f>
        <v>300962</v>
      </c>
      <c r="C4743" t="s">
        <v>9831</v>
      </c>
      <c r="D4743" t="s">
        <v>9832</v>
      </c>
      <c r="F4743">
        <v>21089583</v>
      </c>
      <c r="G4743">
        <v>17837372</v>
      </c>
      <c r="H4743">
        <v>15595841</v>
      </c>
      <c r="I4743">
        <v>15069410</v>
      </c>
      <c r="J4743">
        <v>10691510</v>
      </c>
      <c r="K4743">
        <v>11432909</v>
      </c>
      <c r="P4743">
        <v>32</v>
      </c>
      <c r="Q4743" t="s">
        <v>9833</v>
      </c>
    </row>
    <row r="4744" spans="1:17" x14ac:dyDescent="0.3">
      <c r="A4744" t="s">
        <v>4729</v>
      </c>
      <c r="B4744" t="str">
        <f>"300963"</f>
        <v>300963</v>
      </c>
      <c r="C4744" t="s">
        <v>9834</v>
      </c>
      <c r="D4744" t="s">
        <v>581</v>
      </c>
      <c r="F4744">
        <v>32275703</v>
      </c>
      <c r="G4744">
        <v>29630026</v>
      </c>
      <c r="H4744">
        <v>32189597</v>
      </c>
      <c r="I4744">
        <v>31731909</v>
      </c>
      <c r="J4744">
        <v>20633338</v>
      </c>
      <c r="K4744">
        <v>18346628</v>
      </c>
      <c r="P4744">
        <v>35</v>
      </c>
      <c r="Q4744" t="s">
        <v>9835</v>
      </c>
    </row>
    <row r="4745" spans="1:17" x14ac:dyDescent="0.3">
      <c r="A4745" t="s">
        <v>4729</v>
      </c>
      <c r="B4745" t="str">
        <f>"300964"</f>
        <v>300964</v>
      </c>
      <c r="C4745" t="s">
        <v>9836</v>
      </c>
      <c r="D4745" t="s">
        <v>425</v>
      </c>
      <c r="F4745">
        <v>23913974</v>
      </c>
      <c r="G4745">
        <v>21186859</v>
      </c>
      <c r="H4745">
        <v>20644001</v>
      </c>
      <c r="I4745">
        <v>19729825</v>
      </c>
      <c r="J4745">
        <v>17111626</v>
      </c>
      <c r="P4745">
        <v>20</v>
      </c>
      <c r="Q4745" t="s">
        <v>9837</v>
      </c>
    </row>
    <row r="4746" spans="1:17" x14ac:dyDescent="0.3">
      <c r="A4746" t="s">
        <v>4729</v>
      </c>
      <c r="B4746" t="str">
        <f>"300965"</f>
        <v>300965</v>
      </c>
      <c r="C4746" t="s">
        <v>9838</v>
      </c>
      <c r="D4746" t="s">
        <v>98</v>
      </c>
      <c r="F4746">
        <v>20953559</v>
      </c>
      <c r="G4746">
        <v>17293148</v>
      </c>
      <c r="H4746">
        <v>16401209</v>
      </c>
      <c r="I4746">
        <v>8537588</v>
      </c>
      <c r="J4746">
        <v>8933100</v>
      </c>
      <c r="K4746">
        <v>3878400</v>
      </c>
      <c r="P4746">
        <v>31</v>
      </c>
      <c r="Q4746" t="s">
        <v>9839</v>
      </c>
    </row>
    <row r="4747" spans="1:17" x14ac:dyDescent="0.3">
      <c r="A4747" t="s">
        <v>4729</v>
      </c>
      <c r="B4747" t="str">
        <f>"300966"</f>
        <v>300966</v>
      </c>
      <c r="C4747" t="s">
        <v>9840</v>
      </c>
      <c r="D4747" t="s">
        <v>496</v>
      </c>
      <c r="F4747">
        <v>37123310</v>
      </c>
      <c r="G4747">
        <v>21604139</v>
      </c>
      <c r="H4747">
        <v>26055662</v>
      </c>
      <c r="I4747">
        <v>27104142</v>
      </c>
      <c r="J4747">
        <v>23464355</v>
      </c>
      <c r="P4747">
        <v>32</v>
      </c>
      <c r="Q4747" t="s">
        <v>9841</v>
      </c>
    </row>
    <row r="4748" spans="1:17" x14ac:dyDescent="0.3">
      <c r="A4748" t="s">
        <v>4729</v>
      </c>
      <c r="B4748" t="str">
        <f>"300967"</f>
        <v>300967</v>
      </c>
      <c r="C4748" t="s">
        <v>9842</v>
      </c>
      <c r="D4748" t="s">
        <v>6260</v>
      </c>
      <c r="F4748">
        <v>25139451</v>
      </c>
      <c r="G4748">
        <v>20700158</v>
      </c>
      <c r="H4748">
        <v>20020473</v>
      </c>
      <c r="I4748">
        <v>11228910</v>
      </c>
      <c r="J4748">
        <v>7621613</v>
      </c>
      <c r="P4748">
        <v>34</v>
      </c>
      <c r="Q4748" t="s">
        <v>9843</v>
      </c>
    </row>
    <row r="4749" spans="1:17" x14ac:dyDescent="0.3">
      <c r="A4749" t="s">
        <v>4729</v>
      </c>
      <c r="B4749" t="str">
        <f>"300968"</f>
        <v>300968</v>
      </c>
      <c r="C4749" t="s">
        <v>9844</v>
      </c>
      <c r="D4749" t="s">
        <v>313</v>
      </c>
      <c r="F4749">
        <v>108806802</v>
      </c>
      <c r="G4749">
        <v>104515665</v>
      </c>
      <c r="H4749">
        <v>75591764</v>
      </c>
      <c r="I4749">
        <v>70183304</v>
      </c>
      <c r="J4749">
        <v>70052681</v>
      </c>
      <c r="K4749">
        <v>60422463</v>
      </c>
      <c r="P4749">
        <v>31</v>
      </c>
      <c r="Q4749" t="s">
        <v>9845</v>
      </c>
    </row>
    <row r="4750" spans="1:17" x14ac:dyDescent="0.3">
      <c r="A4750" t="s">
        <v>4729</v>
      </c>
      <c r="B4750" t="str">
        <f>"300969"</f>
        <v>300969</v>
      </c>
      <c r="C4750" t="s">
        <v>9846</v>
      </c>
      <c r="D4750" t="s">
        <v>191</v>
      </c>
      <c r="F4750">
        <v>20347905</v>
      </c>
      <c r="G4750">
        <v>12477112</v>
      </c>
      <c r="H4750">
        <v>12664336</v>
      </c>
      <c r="I4750">
        <v>12744092</v>
      </c>
      <c r="J4750">
        <v>10104119</v>
      </c>
      <c r="P4750">
        <v>42</v>
      </c>
      <c r="Q4750" t="s">
        <v>9847</v>
      </c>
    </row>
    <row r="4751" spans="1:17" x14ac:dyDescent="0.3">
      <c r="A4751" t="s">
        <v>4729</v>
      </c>
      <c r="B4751" t="str">
        <f>"300970"</f>
        <v>300970</v>
      </c>
      <c r="C4751" t="s">
        <v>9848</v>
      </c>
      <c r="D4751" t="s">
        <v>7331</v>
      </c>
      <c r="F4751">
        <v>8624944</v>
      </c>
      <c r="G4751">
        <v>8816948</v>
      </c>
      <c r="H4751">
        <v>7561606</v>
      </c>
      <c r="I4751">
        <v>6906567</v>
      </c>
      <c r="J4751">
        <v>6066736</v>
      </c>
      <c r="K4751">
        <v>3868799</v>
      </c>
      <c r="P4751">
        <v>25</v>
      </c>
      <c r="Q4751" t="s">
        <v>9849</v>
      </c>
    </row>
    <row r="4752" spans="1:17" x14ac:dyDescent="0.3">
      <c r="A4752" t="s">
        <v>4729</v>
      </c>
      <c r="B4752" t="str">
        <f>"300971"</f>
        <v>300971</v>
      </c>
      <c r="C4752" t="s">
        <v>9850</v>
      </c>
      <c r="D4752" t="s">
        <v>741</v>
      </c>
      <c r="F4752">
        <v>37567640</v>
      </c>
      <c r="G4752">
        <v>34625286</v>
      </c>
      <c r="H4752">
        <v>25632640</v>
      </c>
      <c r="I4752">
        <v>27549445</v>
      </c>
      <c r="J4752">
        <v>21936139</v>
      </c>
      <c r="P4752">
        <v>39</v>
      </c>
      <c r="Q4752" t="s">
        <v>9851</v>
      </c>
    </row>
    <row r="4753" spans="1:17" x14ac:dyDescent="0.3">
      <c r="A4753" t="s">
        <v>4729</v>
      </c>
      <c r="B4753" t="str">
        <f>"300972"</f>
        <v>300972</v>
      </c>
      <c r="C4753" t="s">
        <v>9852</v>
      </c>
      <c r="D4753" t="s">
        <v>7331</v>
      </c>
      <c r="F4753">
        <v>1989000</v>
      </c>
      <c r="G4753">
        <v>429200</v>
      </c>
      <c r="H4753">
        <v>171200</v>
      </c>
      <c r="I4753">
        <v>0</v>
      </c>
      <c r="J4753">
        <v>0</v>
      </c>
      <c r="P4753">
        <v>22</v>
      </c>
      <c r="Q4753" t="s">
        <v>9853</v>
      </c>
    </row>
    <row r="4754" spans="1:17" x14ac:dyDescent="0.3">
      <c r="A4754" t="s">
        <v>4729</v>
      </c>
      <c r="B4754" t="str">
        <f>"300973"</f>
        <v>300973</v>
      </c>
      <c r="C4754" t="s">
        <v>9854</v>
      </c>
      <c r="D4754" t="s">
        <v>2488</v>
      </c>
      <c r="F4754">
        <v>82199399</v>
      </c>
      <c r="G4754">
        <v>52677301</v>
      </c>
      <c r="H4754">
        <v>41505231</v>
      </c>
      <c r="I4754">
        <v>36106179</v>
      </c>
      <c r="J4754">
        <v>29587797</v>
      </c>
      <c r="P4754">
        <v>140</v>
      </c>
      <c r="Q4754" t="s">
        <v>9855</v>
      </c>
    </row>
    <row r="4755" spans="1:17" x14ac:dyDescent="0.3">
      <c r="A4755" t="s">
        <v>4729</v>
      </c>
      <c r="B4755" t="str">
        <f>"300975"</f>
        <v>300975</v>
      </c>
      <c r="C4755" t="s">
        <v>9856</v>
      </c>
      <c r="D4755" t="s">
        <v>651</v>
      </c>
      <c r="F4755">
        <v>12529728</v>
      </c>
      <c r="G4755">
        <v>4672543</v>
      </c>
      <c r="H4755">
        <v>2663685</v>
      </c>
      <c r="I4755">
        <v>58871</v>
      </c>
      <c r="J4755">
        <v>0</v>
      </c>
      <c r="P4755">
        <v>30</v>
      </c>
      <c r="Q4755" t="s">
        <v>9857</v>
      </c>
    </row>
    <row r="4756" spans="1:17" x14ac:dyDescent="0.3">
      <c r="A4756" t="s">
        <v>4729</v>
      </c>
      <c r="B4756" t="str">
        <f>"300976"</f>
        <v>300976</v>
      </c>
      <c r="C4756" t="s">
        <v>9858</v>
      </c>
      <c r="D4756" t="s">
        <v>313</v>
      </c>
      <c r="F4756">
        <v>90251415</v>
      </c>
      <c r="G4756">
        <v>57661930</v>
      </c>
      <c r="H4756">
        <v>44606560</v>
      </c>
      <c r="I4756">
        <v>26138403</v>
      </c>
      <c r="J4756">
        <v>21900750</v>
      </c>
      <c r="P4756">
        <v>35</v>
      </c>
      <c r="Q4756" t="s">
        <v>9859</v>
      </c>
    </row>
    <row r="4757" spans="1:17" x14ac:dyDescent="0.3">
      <c r="A4757" t="s">
        <v>4729</v>
      </c>
      <c r="B4757" t="str">
        <f>"300977"</f>
        <v>300977</v>
      </c>
      <c r="C4757" t="s">
        <v>9860</v>
      </c>
      <c r="D4757" t="s">
        <v>1272</v>
      </c>
      <c r="F4757">
        <v>34377890</v>
      </c>
      <c r="G4757">
        <v>30293209</v>
      </c>
      <c r="H4757">
        <v>28269262</v>
      </c>
      <c r="I4757">
        <v>15123279</v>
      </c>
      <c r="J4757">
        <v>9984451</v>
      </c>
      <c r="K4757">
        <v>7398277</v>
      </c>
      <c r="P4757">
        <v>46</v>
      </c>
      <c r="Q4757" t="s">
        <v>9861</v>
      </c>
    </row>
    <row r="4758" spans="1:17" x14ac:dyDescent="0.3">
      <c r="A4758" t="s">
        <v>4729</v>
      </c>
      <c r="B4758" t="str">
        <f>"300978"</f>
        <v>300978</v>
      </c>
      <c r="C4758" t="s">
        <v>9862</v>
      </c>
      <c r="D4758" t="s">
        <v>191</v>
      </c>
      <c r="F4758">
        <v>65967076</v>
      </c>
      <c r="G4758">
        <v>54267241</v>
      </c>
      <c r="H4758">
        <v>58111631</v>
      </c>
      <c r="I4758">
        <v>66365682</v>
      </c>
      <c r="J4758">
        <v>62024056</v>
      </c>
      <c r="K4758">
        <v>57040796</v>
      </c>
      <c r="P4758">
        <v>37</v>
      </c>
      <c r="Q4758" t="s">
        <v>9863</v>
      </c>
    </row>
    <row r="4759" spans="1:17" x14ac:dyDescent="0.3">
      <c r="A4759" t="s">
        <v>4729</v>
      </c>
      <c r="B4759" t="str">
        <f>"300979"</f>
        <v>300979</v>
      </c>
      <c r="C4759" t="s">
        <v>9864</v>
      </c>
      <c r="D4759" t="s">
        <v>9865</v>
      </c>
      <c r="F4759">
        <v>234276882</v>
      </c>
      <c r="G4759">
        <v>209111711</v>
      </c>
      <c r="H4759">
        <v>294663565</v>
      </c>
      <c r="I4759">
        <v>243604983</v>
      </c>
      <c r="J4759">
        <v>217431127</v>
      </c>
      <c r="P4759">
        <v>93</v>
      </c>
      <c r="Q4759" t="s">
        <v>9866</v>
      </c>
    </row>
    <row r="4760" spans="1:17" x14ac:dyDescent="0.3">
      <c r="A4760" t="s">
        <v>4729</v>
      </c>
      <c r="B4760" t="str">
        <f>"300980"</f>
        <v>300980</v>
      </c>
      <c r="C4760" t="s">
        <v>9867</v>
      </c>
      <c r="D4760" t="s">
        <v>1192</v>
      </c>
      <c r="F4760">
        <v>24428213</v>
      </c>
      <c r="G4760">
        <v>16533796</v>
      </c>
      <c r="H4760">
        <v>13206599</v>
      </c>
      <c r="I4760">
        <v>11241622</v>
      </c>
      <c r="J4760">
        <v>10907823</v>
      </c>
      <c r="P4760">
        <v>77</v>
      </c>
      <c r="Q4760" t="s">
        <v>9868</v>
      </c>
    </row>
    <row r="4761" spans="1:17" x14ac:dyDescent="0.3">
      <c r="A4761" t="s">
        <v>4729</v>
      </c>
      <c r="B4761" t="str">
        <f>"300981"</f>
        <v>300981</v>
      </c>
      <c r="C4761" t="s">
        <v>9869</v>
      </c>
      <c r="D4761" t="s">
        <v>1077</v>
      </c>
      <c r="F4761">
        <v>21789351</v>
      </c>
      <c r="G4761">
        <v>11648995</v>
      </c>
      <c r="H4761">
        <v>9308937</v>
      </c>
      <c r="I4761">
        <v>9233162</v>
      </c>
      <c r="J4761">
        <v>1922353</v>
      </c>
      <c r="P4761">
        <v>127</v>
      </c>
      <c r="Q4761" t="s">
        <v>9870</v>
      </c>
    </row>
    <row r="4762" spans="1:17" x14ac:dyDescent="0.3">
      <c r="A4762" t="s">
        <v>4729</v>
      </c>
      <c r="B4762" t="str">
        <f>"300982"</f>
        <v>300982</v>
      </c>
      <c r="C4762" t="s">
        <v>9871</v>
      </c>
      <c r="D4762" t="s">
        <v>101</v>
      </c>
      <c r="F4762">
        <v>64856853</v>
      </c>
      <c r="G4762">
        <v>47667623</v>
      </c>
      <c r="H4762">
        <v>34862744</v>
      </c>
      <c r="I4762">
        <v>28956487</v>
      </c>
      <c r="J4762">
        <v>22549900</v>
      </c>
      <c r="K4762">
        <v>18000596</v>
      </c>
      <c r="P4762">
        <v>65</v>
      </c>
      <c r="Q4762" t="s">
        <v>9872</v>
      </c>
    </row>
    <row r="4763" spans="1:17" x14ac:dyDescent="0.3">
      <c r="A4763" t="s">
        <v>4729</v>
      </c>
      <c r="B4763" t="str">
        <f>"300983"</f>
        <v>300983</v>
      </c>
      <c r="C4763" t="s">
        <v>9873</v>
      </c>
      <c r="D4763" t="s">
        <v>1272</v>
      </c>
      <c r="F4763">
        <v>47003717</v>
      </c>
      <c r="G4763">
        <v>45558809</v>
      </c>
      <c r="H4763">
        <v>45089958</v>
      </c>
      <c r="I4763">
        <v>44378897</v>
      </c>
      <c r="J4763">
        <v>32210040</v>
      </c>
      <c r="P4763">
        <v>34</v>
      </c>
      <c r="Q4763" t="s">
        <v>9874</v>
      </c>
    </row>
    <row r="4764" spans="1:17" x14ac:dyDescent="0.3">
      <c r="A4764" t="s">
        <v>4729</v>
      </c>
      <c r="B4764" t="str">
        <f>"300984"</f>
        <v>300984</v>
      </c>
      <c r="C4764" t="s">
        <v>9875</v>
      </c>
      <c r="D4764" t="s">
        <v>560</v>
      </c>
      <c r="F4764">
        <v>29112155</v>
      </c>
      <c r="G4764">
        <v>17628991</v>
      </c>
      <c r="H4764">
        <v>16074248</v>
      </c>
      <c r="I4764">
        <v>17378505</v>
      </c>
      <c r="J4764">
        <v>11467835</v>
      </c>
      <c r="P4764">
        <v>18</v>
      </c>
      <c r="Q4764" t="s">
        <v>9876</v>
      </c>
    </row>
    <row r="4765" spans="1:17" x14ac:dyDescent="0.3">
      <c r="A4765" t="s">
        <v>4729</v>
      </c>
      <c r="B4765" t="str">
        <f>"300985"</f>
        <v>300985</v>
      </c>
      <c r="C4765" t="s">
        <v>9877</v>
      </c>
      <c r="D4765" t="s">
        <v>274</v>
      </c>
      <c r="F4765">
        <v>20757748</v>
      </c>
      <c r="G4765">
        <v>43934152</v>
      </c>
      <c r="H4765">
        <v>27458380</v>
      </c>
      <c r="I4765">
        <v>13362815</v>
      </c>
      <c r="J4765">
        <v>7627643</v>
      </c>
      <c r="P4765">
        <v>32</v>
      </c>
      <c r="Q4765" t="s">
        <v>9878</v>
      </c>
    </row>
    <row r="4766" spans="1:17" x14ac:dyDescent="0.3">
      <c r="A4766" t="s">
        <v>4729</v>
      </c>
      <c r="B4766" t="str">
        <f>"300986"</f>
        <v>300986</v>
      </c>
      <c r="C4766" t="s">
        <v>9879</v>
      </c>
      <c r="D4766" t="s">
        <v>504</v>
      </c>
      <c r="F4766">
        <v>74706474</v>
      </c>
      <c r="G4766">
        <v>49942711</v>
      </c>
      <c r="H4766">
        <v>45677590</v>
      </c>
      <c r="I4766">
        <v>28255218</v>
      </c>
      <c r="J4766">
        <v>14252060</v>
      </c>
      <c r="K4766">
        <v>7848600</v>
      </c>
      <c r="P4766">
        <v>34</v>
      </c>
      <c r="Q4766" t="s">
        <v>9880</v>
      </c>
    </row>
    <row r="4767" spans="1:17" x14ac:dyDescent="0.3">
      <c r="A4767" t="s">
        <v>4729</v>
      </c>
      <c r="B4767" t="str">
        <f>"300987"</f>
        <v>300987</v>
      </c>
      <c r="C4767" t="s">
        <v>9881</v>
      </c>
      <c r="D4767" t="s">
        <v>522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P4767">
        <v>24</v>
      </c>
      <c r="Q4767" t="s">
        <v>9882</v>
      </c>
    </row>
    <row r="4768" spans="1:17" x14ac:dyDescent="0.3">
      <c r="A4768" t="s">
        <v>4729</v>
      </c>
      <c r="B4768" t="str">
        <f>"300988"</f>
        <v>300988</v>
      </c>
      <c r="C4768" t="s">
        <v>9883</v>
      </c>
      <c r="D4768" t="s">
        <v>741</v>
      </c>
      <c r="F4768">
        <v>60945514</v>
      </c>
      <c r="G4768">
        <v>35004263</v>
      </c>
      <c r="H4768">
        <v>29389044</v>
      </c>
      <c r="I4768">
        <v>25700805</v>
      </c>
      <c r="J4768">
        <v>24523270</v>
      </c>
      <c r="P4768">
        <v>20</v>
      </c>
      <c r="Q4768" t="s">
        <v>9884</v>
      </c>
    </row>
    <row r="4769" spans="1:17" x14ac:dyDescent="0.3">
      <c r="A4769" t="s">
        <v>4729</v>
      </c>
      <c r="B4769" t="str">
        <f>"300989"</f>
        <v>300989</v>
      </c>
      <c r="C4769" t="s">
        <v>9885</v>
      </c>
      <c r="D4769" t="s">
        <v>1272</v>
      </c>
      <c r="F4769">
        <v>32872327</v>
      </c>
      <c r="G4769">
        <v>29623288</v>
      </c>
      <c r="H4769">
        <v>26926025</v>
      </c>
      <c r="I4769">
        <v>28016206</v>
      </c>
      <c r="J4769">
        <v>15685513</v>
      </c>
      <c r="P4769">
        <v>32</v>
      </c>
      <c r="Q4769" t="s">
        <v>9886</v>
      </c>
    </row>
    <row r="4770" spans="1:17" x14ac:dyDescent="0.3">
      <c r="A4770" t="s">
        <v>4729</v>
      </c>
      <c r="B4770" t="str">
        <f>"300990"</f>
        <v>300990</v>
      </c>
      <c r="C4770" t="s">
        <v>9887</v>
      </c>
      <c r="D4770" t="s">
        <v>988</v>
      </c>
      <c r="F4770">
        <v>29448739</v>
      </c>
      <c r="G4770">
        <v>19890397</v>
      </c>
      <c r="H4770">
        <v>14123736</v>
      </c>
      <c r="I4770">
        <v>12721376</v>
      </c>
      <c r="J4770">
        <v>10515916</v>
      </c>
      <c r="P4770">
        <v>42</v>
      </c>
      <c r="Q4770" t="s">
        <v>9888</v>
      </c>
    </row>
    <row r="4771" spans="1:17" x14ac:dyDescent="0.3">
      <c r="A4771" t="s">
        <v>4729</v>
      </c>
      <c r="B4771" t="str">
        <f>"300991"</f>
        <v>300991</v>
      </c>
      <c r="C4771" t="s">
        <v>9889</v>
      </c>
      <c r="D4771" t="s">
        <v>651</v>
      </c>
      <c r="F4771">
        <v>30484026</v>
      </c>
      <c r="G4771">
        <v>25264278</v>
      </c>
      <c r="H4771">
        <v>22153808</v>
      </c>
      <c r="I4771">
        <v>20243624</v>
      </c>
      <c r="J4771">
        <v>16628670</v>
      </c>
      <c r="P4771">
        <v>58</v>
      </c>
      <c r="Q4771" t="s">
        <v>9890</v>
      </c>
    </row>
    <row r="4772" spans="1:17" x14ac:dyDescent="0.3">
      <c r="A4772" t="s">
        <v>4729</v>
      </c>
      <c r="B4772" t="str">
        <f>"300992"</f>
        <v>300992</v>
      </c>
      <c r="C4772" t="s">
        <v>9891</v>
      </c>
      <c r="D4772" t="s">
        <v>560</v>
      </c>
      <c r="F4772">
        <v>26351257</v>
      </c>
      <c r="G4772">
        <v>17938554</v>
      </c>
      <c r="H4772">
        <v>17062996</v>
      </c>
      <c r="I4772">
        <v>13591718</v>
      </c>
      <c r="J4772">
        <v>11324852</v>
      </c>
      <c r="P4772">
        <v>26</v>
      </c>
      <c r="Q4772" t="s">
        <v>9892</v>
      </c>
    </row>
    <row r="4773" spans="1:17" x14ac:dyDescent="0.3">
      <c r="A4773" t="s">
        <v>4729</v>
      </c>
      <c r="B4773" t="str">
        <f>"300993"</f>
        <v>300993</v>
      </c>
      <c r="C4773" t="s">
        <v>9893</v>
      </c>
      <c r="D4773" t="s">
        <v>2445</v>
      </c>
      <c r="F4773">
        <v>17449658</v>
      </c>
      <c r="G4773">
        <v>12074619</v>
      </c>
      <c r="H4773">
        <v>12330521</v>
      </c>
      <c r="I4773">
        <v>10048658</v>
      </c>
      <c r="J4773">
        <v>9600895</v>
      </c>
      <c r="P4773">
        <v>31</v>
      </c>
      <c r="Q4773" t="s">
        <v>9894</v>
      </c>
    </row>
    <row r="4774" spans="1:17" x14ac:dyDescent="0.3">
      <c r="A4774" t="s">
        <v>4729</v>
      </c>
      <c r="B4774" t="str">
        <f>"300994"</f>
        <v>300994</v>
      </c>
      <c r="C4774" t="s">
        <v>9895</v>
      </c>
      <c r="D4774" t="s">
        <v>233</v>
      </c>
      <c r="F4774">
        <v>18005246</v>
      </c>
      <c r="G4774">
        <v>14788986</v>
      </c>
      <c r="H4774">
        <v>11933320</v>
      </c>
      <c r="I4774">
        <v>11003119</v>
      </c>
      <c r="J4774">
        <v>7259540</v>
      </c>
      <c r="P4774">
        <v>21</v>
      </c>
      <c r="Q4774" t="s">
        <v>9896</v>
      </c>
    </row>
    <row r="4775" spans="1:17" x14ac:dyDescent="0.3">
      <c r="A4775" t="s">
        <v>4729</v>
      </c>
      <c r="B4775" t="str">
        <f>"300995"</f>
        <v>300995</v>
      </c>
      <c r="C4775" t="s">
        <v>9897</v>
      </c>
      <c r="D4775" t="s">
        <v>341</v>
      </c>
      <c r="F4775">
        <v>15441906</v>
      </c>
      <c r="G4775">
        <v>17151759</v>
      </c>
      <c r="H4775">
        <v>14351234</v>
      </c>
      <c r="I4775">
        <v>11407581</v>
      </c>
      <c r="J4775">
        <v>9728975</v>
      </c>
      <c r="P4775">
        <v>26</v>
      </c>
      <c r="Q4775" t="s">
        <v>9898</v>
      </c>
    </row>
    <row r="4776" spans="1:17" x14ac:dyDescent="0.3">
      <c r="A4776" t="s">
        <v>4729</v>
      </c>
      <c r="B4776" t="str">
        <f>"300996"</f>
        <v>300996</v>
      </c>
      <c r="C4776" t="s">
        <v>9899</v>
      </c>
      <c r="D4776" t="s">
        <v>945</v>
      </c>
      <c r="F4776">
        <v>73623585</v>
      </c>
      <c r="G4776">
        <v>51715172</v>
      </c>
      <c r="H4776">
        <v>39093386</v>
      </c>
      <c r="I4776">
        <v>34205611</v>
      </c>
      <c r="J4776">
        <v>31612970</v>
      </c>
      <c r="P4776">
        <v>42</v>
      </c>
      <c r="Q4776" t="s">
        <v>9900</v>
      </c>
    </row>
    <row r="4777" spans="1:17" x14ac:dyDescent="0.3">
      <c r="A4777" t="s">
        <v>4729</v>
      </c>
      <c r="B4777" t="str">
        <f>"300997"</f>
        <v>300997</v>
      </c>
      <c r="C4777" t="s">
        <v>9901</v>
      </c>
      <c r="D4777" t="s">
        <v>440</v>
      </c>
      <c r="F4777">
        <v>1274169</v>
      </c>
      <c r="G4777">
        <v>1095244</v>
      </c>
      <c r="H4777">
        <v>758203</v>
      </c>
      <c r="I4777">
        <v>2926260</v>
      </c>
      <c r="J4777">
        <v>864666</v>
      </c>
      <c r="P4777">
        <v>39</v>
      </c>
      <c r="Q4777" t="s">
        <v>9902</v>
      </c>
    </row>
    <row r="4778" spans="1:17" x14ac:dyDescent="0.3">
      <c r="A4778" t="s">
        <v>4729</v>
      </c>
      <c r="B4778" t="str">
        <f>"300998"</f>
        <v>300998</v>
      </c>
      <c r="C4778" t="s">
        <v>9903</v>
      </c>
      <c r="D4778" t="s">
        <v>985</v>
      </c>
      <c r="F4778">
        <v>21970599</v>
      </c>
      <c r="G4778">
        <v>20347642</v>
      </c>
      <c r="H4778">
        <v>19741704</v>
      </c>
      <c r="I4778">
        <v>18960733</v>
      </c>
      <c r="J4778">
        <v>17246695</v>
      </c>
      <c r="K4778">
        <v>13130403</v>
      </c>
      <c r="P4778">
        <v>26</v>
      </c>
      <c r="Q4778" t="s">
        <v>9904</v>
      </c>
    </row>
    <row r="4779" spans="1:17" x14ac:dyDescent="0.3">
      <c r="A4779" t="s">
        <v>4729</v>
      </c>
      <c r="B4779" t="str">
        <f>"300999"</f>
        <v>300999</v>
      </c>
      <c r="C4779" t="s">
        <v>9905</v>
      </c>
      <c r="D4779" t="s">
        <v>306</v>
      </c>
      <c r="F4779">
        <v>255577000</v>
      </c>
      <c r="G4779">
        <v>182841000</v>
      </c>
      <c r="H4779">
        <v>183823000</v>
      </c>
      <c r="I4779">
        <v>149541000</v>
      </c>
      <c r="J4779">
        <v>136509000</v>
      </c>
      <c r="K4779">
        <v>124950000</v>
      </c>
      <c r="P4779">
        <v>1181</v>
      </c>
      <c r="Q4779" t="s">
        <v>9906</v>
      </c>
    </row>
    <row r="4780" spans="1:17" x14ac:dyDescent="0.3">
      <c r="A4780" t="s">
        <v>4729</v>
      </c>
      <c r="B4780" t="str">
        <f>"301000"</f>
        <v>301000</v>
      </c>
      <c r="C4780" t="s">
        <v>9907</v>
      </c>
      <c r="D4780" t="s">
        <v>985</v>
      </c>
      <c r="F4780">
        <v>23584927</v>
      </c>
      <c r="G4780">
        <v>17076703</v>
      </c>
      <c r="H4780">
        <v>13785617</v>
      </c>
      <c r="I4780">
        <v>14195151</v>
      </c>
      <c r="J4780">
        <v>10195755</v>
      </c>
      <c r="P4780">
        <v>25</v>
      </c>
      <c r="Q4780" t="s">
        <v>9908</v>
      </c>
    </row>
    <row r="4781" spans="1:17" x14ac:dyDescent="0.3">
      <c r="A4781" t="s">
        <v>4729</v>
      </c>
      <c r="B4781" t="str">
        <f>"301001"</f>
        <v>301001</v>
      </c>
      <c r="C4781" t="s">
        <v>9909</v>
      </c>
      <c r="D4781" t="s">
        <v>3617</v>
      </c>
      <c r="F4781">
        <v>4622957</v>
      </c>
      <c r="G4781">
        <v>3929264</v>
      </c>
      <c r="H4781">
        <v>3438049</v>
      </c>
      <c r="I4781">
        <v>1436379</v>
      </c>
      <c r="P4781">
        <v>23</v>
      </c>
      <c r="Q4781" t="s">
        <v>9910</v>
      </c>
    </row>
    <row r="4782" spans="1:17" x14ac:dyDescent="0.3">
      <c r="A4782" t="s">
        <v>4729</v>
      </c>
      <c r="B4782" t="str">
        <f>"301002"</f>
        <v>301002</v>
      </c>
      <c r="C4782" t="s">
        <v>9911</v>
      </c>
      <c r="D4782" t="s">
        <v>210</v>
      </c>
      <c r="F4782">
        <v>49925428</v>
      </c>
      <c r="G4782">
        <v>30342277</v>
      </c>
      <c r="H4782">
        <v>29481783</v>
      </c>
      <c r="I4782">
        <v>22105817</v>
      </c>
      <c r="J4782">
        <v>11133282</v>
      </c>
      <c r="P4782">
        <v>43</v>
      </c>
      <c r="Q4782" t="s">
        <v>9912</v>
      </c>
    </row>
    <row r="4783" spans="1:17" x14ac:dyDescent="0.3">
      <c r="A4783" t="s">
        <v>4729</v>
      </c>
      <c r="B4783" t="str">
        <f>"301003"</f>
        <v>301003</v>
      </c>
      <c r="C4783" t="s">
        <v>9913</v>
      </c>
      <c r="D4783" t="s">
        <v>341</v>
      </c>
      <c r="F4783">
        <v>25638266</v>
      </c>
      <c r="G4783">
        <v>12823015</v>
      </c>
      <c r="H4783">
        <v>14912527</v>
      </c>
      <c r="I4783">
        <v>10752998</v>
      </c>
      <c r="J4783">
        <v>9475950</v>
      </c>
      <c r="P4783">
        <v>31</v>
      </c>
      <c r="Q4783" t="s">
        <v>9914</v>
      </c>
    </row>
    <row r="4784" spans="1:17" x14ac:dyDescent="0.3">
      <c r="A4784" t="s">
        <v>4729</v>
      </c>
      <c r="B4784" t="str">
        <f>"301004"</f>
        <v>301004</v>
      </c>
      <c r="C4784" t="s">
        <v>9915</v>
      </c>
      <c r="D4784" t="s">
        <v>2445</v>
      </c>
      <c r="F4784">
        <v>27422378</v>
      </c>
      <c r="G4784">
        <v>18229264</v>
      </c>
      <c r="H4784">
        <v>20008663</v>
      </c>
      <c r="I4784">
        <v>18160737</v>
      </c>
      <c r="J4784">
        <v>12298447</v>
      </c>
      <c r="P4784">
        <v>25</v>
      </c>
      <c r="Q4784" t="s">
        <v>9916</v>
      </c>
    </row>
    <row r="4785" spans="1:17" x14ac:dyDescent="0.3">
      <c r="A4785" t="s">
        <v>4729</v>
      </c>
      <c r="B4785" t="str">
        <f>"301005"</f>
        <v>301005</v>
      </c>
      <c r="C4785" t="s">
        <v>9917</v>
      </c>
      <c r="D4785" t="s">
        <v>985</v>
      </c>
      <c r="F4785">
        <v>19700173</v>
      </c>
      <c r="G4785">
        <v>15868944</v>
      </c>
      <c r="H4785">
        <v>14151300</v>
      </c>
      <c r="I4785">
        <v>14044296</v>
      </c>
      <c r="J4785">
        <v>12631287</v>
      </c>
      <c r="P4785">
        <v>23</v>
      </c>
      <c r="Q4785" t="s">
        <v>9918</v>
      </c>
    </row>
    <row r="4786" spans="1:17" x14ac:dyDescent="0.3">
      <c r="A4786" t="s">
        <v>4729</v>
      </c>
      <c r="B4786" t="str">
        <f>"301006"</f>
        <v>301006</v>
      </c>
      <c r="C4786" t="s">
        <v>9919</v>
      </c>
      <c r="D4786" t="s">
        <v>2566</v>
      </c>
      <c r="F4786">
        <v>15559626</v>
      </c>
      <c r="G4786">
        <v>15075029</v>
      </c>
      <c r="H4786">
        <v>12741410</v>
      </c>
      <c r="I4786">
        <v>8223535</v>
      </c>
      <c r="J4786">
        <v>5909103</v>
      </c>
      <c r="P4786">
        <v>50</v>
      </c>
      <c r="Q4786" t="s">
        <v>9920</v>
      </c>
    </row>
    <row r="4787" spans="1:17" x14ac:dyDescent="0.3">
      <c r="A4787" t="s">
        <v>4729</v>
      </c>
      <c r="B4787" t="str">
        <f>"301007"</f>
        <v>301007</v>
      </c>
      <c r="C4787" t="s">
        <v>9921</v>
      </c>
      <c r="D4787" t="s">
        <v>348</v>
      </c>
      <c r="F4787">
        <v>27116695</v>
      </c>
      <c r="G4787">
        <v>20048444</v>
      </c>
      <c r="H4787">
        <v>17257782</v>
      </c>
      <c r="I4787">
        <v>15460843</v>
      </c>
      <c r="J4787">
        <v>11441169</v>
      </c>
      <c r="K4787">
        <v>10169104</v>
      </c>
      <c r="P4787">
        <v>44</v>
      </c>
      <c r="Q4787" t="s">
        <v>9922</v>
      </c>
    </row>
    <row r="4788" spans="1:17" x14ac:dyDescent="0.3">
      <c r="A4788" t="s">
        <v>4729</v>
      </c>
      <c r="B4788" t="str">
        <f>"301008"</f>
        <v>301008</v>
      </c>
      <c r="C4788" t="s">
        <v>9923</v>
      </c>
      <c r="D4788" t="s">
        <v>1253</v>
      </c>
      <c r="F4788">
        <v>31819616</v>
      </c>
      <c r="G4788">
        <v>20405589</v>
      </c>
      <c r="H4788">
        <v>19583927</v>
      </c>
      <c r="I4788">
        <v>14769058</v>
      </c>
      <c r="J4788">
        <v>11191072</v>
      </c>
      <c r="P4788">
        <v>36</v>
      </c>
      <c r="Q4788" t="s">
        <v>9924</v>
      </c>
    </row>
    <row r="4789" spans="1:17" x14ac:dyDescent="0.3">
      <c r="A4789" t="s">
        <v>4729</v>
      </c>
      <c r="B4789" t="str">
        <f>"301009"</f>
        <v>301009</v>
      </c>
      <c r="C4789" t="s">
        <v>9925</v>
      </c>
      <c r="D4789" t="s">
        <v>2751</v>
      </c>
      <c r="F4789">
        <v>49274382</v>
      </c>
      <c r="G4789">
        <v>58840198</v>
      </c>
      <c r="H4789">
        <v>44193882</v>
      </c>
      <c r="I4789">
        <v>34161180</v>
      </c>
      <c r="J4789">
        <v>34622417</v>
      </c>
      <c r="P4789">
        <v>59</v>
      </c>
      <c r="Q4789" t="s">
        <v>9926</v>
      </c>
    </row>
    <row r="4790" spans="1:17" x14ac:dyDescent="0.3">
      <c r="A4790" t="s">
        <v>4729</v>
      </c>
      <c r="B4790" t="str">
        <f>"301010"</f>
        <v>301010</v>
      </c>
      <c r="C4790" t="s">
        <v>9927</v>
      </c>
      <c r="D4790" t="s">
        <v>722</v>
      </c>
      <c r="F4790">
        <v>28906467</v>
      </c>
      <c r="G4790">
        <v>23659224</v>
      </c>
      <c r="H4790">
        <v>21807864</v>
      </c>
      <c r="I4790">
        <v>19466602</v>
      </c>
      <c r="J4790">
        <v>17667370</v>
      </c>
      <c r="K4790">
        <v>17204106</v>
      </c>
      <c r="P4790">
        <v>33</v>
      </c>
      <c r="Q4790" t="s">
        <v>9928</v>
      </c>
    </row>
    <row r="4791" spans="1:17" x14ac:dyDescent="0.3">
      <c r="A4791" t="s">
        <v>4729</v>
      </c>
      <c r="B4791" t="str">
        <f>"301011"</f>
        <v>301011</v>
      </c>
      <c r="C4791" t="s">
        <v>9929</v>
      </c>
      <c r="D4791" t="s">
        <v>741</v>
      </c>
      <c r="F4791">
        <v>17249523</v>
      </c>
      <c r="G4791">
        <v>12214224</v>
      </c>
      <c r="H4791">
        <v>14990709</v>
      </c>
      <c r="I4791">
        <v>22975297</v>
      </c>
      <c r="J4791">
        <v>19495629</v>
      </c>
      <c r="P4791">
        <v>28</v>
      </c>
      <c r="Q4791" t="s">
        <v>9930</v>
      </c>
    </row>
    <row r="4792" spans="1:17" x14ac:dyDescent="0.3">
      <c r="A4792" t="s">
        <v>4729</v>
      </c>
      <c r="B4792" t="str">
        <f>"301012"</f>
        <v>301012</v>
      </c>
      <c r="C4792" t="s">
        <v>9931</v>
      </c>
      <c r="D4792" t="s">
        <v>210</v>
      </c>
      <c r="F4792">
        <v>16570335</v>
      </c>
      <c r="G4792">
        <v>15881403</v>
      </c>
      <c r="H4792">
        <v>15563464</v>
      </c>
      <c r="I4792">
        <v>17906693</v>
      </c>
      <c r="J4792">
        <v>16477178</v>
      </c>
      <c r="P4792">
        <v>23</v>
      </c>
      <c r="Q4792" t="s">
        <v>9932</v>
      </c>
    </row>
    <row r="4793" spans="1:17" x14ac:dyDescent="0.3">
      <c r="A4793" t="s">
        <v>4729</v>
      </c>
      <c r="B4793" t="str">
        <f>"301013"</f>
        <v>301013</v>
      </c>
      <c r="C4793" t="s">
        <v>9933</v>
      </c>
      <c r="D4793" t="s">
        <v>741</v>
      </c>
      <c r="F4793">
        <v>44454917</v>
      </c>
      <c r="G4793">
        <v>27156106</v>
      </c>
      <c r="H4793">
        <v>42493517</v>
      </c>
      <c r="I4793">
        <v>26690542</v>
      </c>
      <c r="J4793">
        <v>13457332</v>
      </c>
      <c r="P4793">
        <v>20</v>
      </c>
      <c r="Q4793" t="s">
        <v>9934</v>
      </c>
    </row>
    <row r="4794" spans="1:17" x14ac:dyDescent="0.3">
      <c r="A4794" t="s">
        <v>4729</v>
      </c>
      <c r="B4794" t="str">
        <f>"301015"</f>
        <v>301015</v>
      </c>
      <c r="C4794" t="s">
        <v>9935</v>
      </c>
      <c r="D4794" t="s">
        <v>125</v>
      </c>
      <c r="F4794">
        <v>0</v>
      </c>
      <c r="G4794">
        <v>0</v>
      </c>
      <c r="H4794">
        <v>0</v>
      </c>
      <c r="I4794">
        <v>0</v>
      </c>
      <c r="J4794">
        <v>0</v>
      </c>
      <c r="P4794">
        <v>45</v>
      </c>
      <c r="Q4794" t="s">
        <v>9936</v>
      </c>
    </row>
    <row r="4795" spans="1:17" x14ac:dyDescent="0.3">
      <c r="A4795" t="s">
        <v>4729</v>
      </c>
      <c r="B4795" t="str">
        <f>"301016"</f>
        <v>301016</v>
      </c>
      <c r="C4795" t="s">
        <v>9937</v>
      </c>
      <c r="D4795" t="s">
        <v>1012</v>
      </c>
      <c r="F4795">
        <v>20895343</v>
      </c>
      <c r="G4795">
        <v>19676214</v>
      </c>
      <c r="H4795">
        <v>11985005</v>
      </c>
      <c r="I4795">
        <v>13121998</v>
      </c>
      <c r="J4795">
        <v>11016908</v>
      </c>
      <c r="P4795">
        <v>35</v>
      </c>
      <c r="Q4795" t="s">
        <v>9938</v>
      </c>
    </row>
    <row r="4796" spans="1:17" x14ac:dyDescent="0.3">
      <c r="A4796" t="s">
        <v>4729</v>
      </c>
      <c r="B4796" t="str">
        <f>"301017"</f>
        <v>301017</v>
      </c>
      <c r="C4796" t="s">
        <v>9939</v>
      </c>
      <c r="D4796" t="s">
        <v>1686</v>
      </c>
      <c r="F4796">
        <v>0</v>
      </c>
      <c r="G4796">
        <v>0</v>
      </c>
      <c r="H4796">
        <v>0</v>
      </c>
      <c r="I4796">
        <v>0</v>
      </c>
      <c r="J4796">
        <v>0</v>
      </c>
      <c r="P4796">
        <v>36</v>
      </c>
      <c r="Q4796" t="s">
        <v>9940</v>
      </c>
    </row>
    <row r="4797" spans="1:17" x14ac:dyDescent="0.3">
      <c r="A4797" t="s">
        <v>4729</v>
      </c>
      <c r="B4797" t="str">
        <f>"301018"</f>
        <v>301018</v>
      </c>
      <c r="C4797" t="s">
        <v>9941</v>
      </c>
      <c r="D4797" t="s">
        <v>988</v>
      </c>
      <c r="F4797">
        <v>76452847</v>
      </c>
      <c r="G4797">
        <v>61821733</v>
      </c>
      <c r="H4797">
        <v>51595522</v>
      </c>
      <c r="I4797">
        <v>45951896</v>
      </c>
      <c r="J4797">
        <v>41574018</v>
      </c>
      <c r="P4797">
        <v>37</v>
      </c>
      <c r="Q4797" t="s">
        <v>9942</v>
      </c>
    </row>
    <row r="4798" spans="1:17" x14ac:dyDescent="0.3">
      <c r="A4798" t="s">
        <v>4729</v>
      </c>
      <c r="B4798" t="str">
        <f>"301019"</f>
        <v>301019</v>
      </c>
      <c r="C4798" t="s">
        <v>9943</v>
      </c>
      <c r="D4798" t="s">
        <v>1192</v>
      </c>
      <c r="F4798">
        <v>16851474</v>
      </c>
      <c r="G4798">
        <v>15243904</v>
      </c>
      <c r="H4798">
        <v>13174189</v>
      </c>
      <c r="I4798">
        <v>10899730</v>
      </c>
      <c r="J4798">
        <v>10990583</v>
      </c>
      <c r="P4798">
        <v>39</v>
      </c>
      <c r="Q4798" t="s">
        <v>9944</v>
      </c>
    </row>
    <row r="4799" spans="1:17" x14ac:dyDescent="0.3">
      <c r="A4799" t="s">
        <v>4729</v>
      </c>
      <c r="B4799" t="str">
        <f>"301020"</f>
        <v>301020</v>
      </c>
      <c r="C4799" t="s">
        <v>9945</v>
      </c>
      <c r="D4799" t="s">
        <v>348</v>
      </c>
      <c r="F4799">
        <v>22861013</v>
      </c>
      <c r="G4799">
        <v>21362636</v>
      </c>
      <c r="H4799">
        <v>21491273</v>
      </c>
      <c r="I4799">
        <v>18671217</v>
      </c>
      <c r="J4799">
        <v>17703300</v>
      </c>
      <c r="P4799">
        <v>54</v>
      </c>
      <c r="Q4799" t="s">
        <v>9946</v>
      </c>
    </row>
    <row r="4800" spans="1:17" x14ac:dyDescent="0.3">
      <c r="A4800" t="s">
        <v>4729</v>
      </c>
      <c r="B4800" t="str">
        <f>"301021"</f>
        <v>301021</v>
      </c>
      <c r="C4800" t="s">
        <v>9947</v>
      </c>
      <c r="D4800" t="s">
        <v>3811</v>
      </c>
      <c r="F4800">
        <v>52743506</v>
      </c>
      <c r="G4800">
        <v>39943662</v>
      </c>
      <c r="H4800">
        <v>38540986</v>
      </c>
      <c r="I4800">
        <v>26762279</v>
      </c>
      <c r="J4800">
        <v>24049871</v>
      </c>
      <c r="K4800">
        <v>19836705</v>
      </c>
      <c r="P4800">
        <v>35</v>
      </c>
      <c r="Q4800" t="s">
        <v>9948</v>
      </c>
    </row>
    <row r="4801" spans="1:17" x14ac:dyDescent="0.3">
      <c r="A4801" t="s">
        <v>4729</v>
      </c>
      <c r="B4801" t="str">
        <f>"301022"</f>
        <v>301022</v>
      </c>
      <c r="C4801" t="s">
        <v>9949</v>
      </c>
      <c r="D4801" t="s">
        <v>985</v>
      </c>
      <c r="F4801">
        <v>20352459</v>
      </c>
      <c r="G4801">
        <v>16410602</v>
      </c>
      <c r="H4801">
        <v>13276701</v>
      </c>
      <c r="I4801">
        <v>11293985</v>
      </c>
      <c r="J4801">
        <v>9868018</v>
      </c>
      <c r="P4801">
        <v>24</v>
      </c>
      <c r="Q4801" t="s">
        <v>9950</v>
      </c>
    </row>
    <row r="4802" spans="1:17" x14ac:dyDescent="0.3">
      <c r="A4802" t="s">
        <v>4729</v>
      </c>
      <c r="B4802" t="str">
        <f>"301023"</f>
        <v>301023</v>
      </c>
      <c r="C4802" t="s">
        <v>9951</v>
      </c>
      <c r="D4802" t="s">
        <v>1171</v>
      </c>
      <c r="F4802">
        <v>9837940</v>
      </c>
      <c r="G4802">
        <v>8259743</v>
      </c>
      <c r="H4802">
        <v>8078427</v>
      </c>
      <c r="I4802">
        <v>6385539</v>
      </c>
      <c r="J4802">
        <v>6542506</v>
      </c>
      <c r="P4802">
        <v>22</v>
      </c>
      <c r="Q4802" t="s">
        <v>9952</v>
      </c>
    </row>
    <row r="4803" spans="1:17" x14ac:dyDescent="0.3">
      <c r="A4803" t="s">
        <v>4729</v>
      </c>
      <c r="B4803" t="str">
        <f>"301024"</f>
        <v>301024</v>
      </c>
      <c r="C4803" t="s">
        <v>9953</v>
      </c>
      <c r="D4803" t="s">
        <v>1272</v>
      </c>
      <c r="F4803">
        <v>23101240</v>
      </c>
      <c r="G4803">
        <v>19879058</v>
      </c>
      <c r="H4803">
        <v>20049496</v>
      </c>
      <c r="I4803">
        <v>20502496</v>
      </c>
      <c r="J4803">
        <v>21786581</v>
      </c>
      <c r="K4803">
        <v>18837547</v>
      </c>
      <c r="P4803">
        <v>22</v>
      </c>
      <c r="Q4803" t="s">
        <v>9954</v>
      </c>
    </row>
    <row r="4804" spans="1:17" x14ac:dyDescent="0.3">
      <c r="A4804" t="s">
        <v>4729</v>
      </c>
      <c r="B4804" t="str">
        <f>"301025"</f>
        <v>301025</v>
      </c>
      <c r="C4804" t="s">
        <v>9955</v>
      </c>
      <c r="D4804" t="s">
        <v>525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P4804">
        <v>24</v>
      </c>
      <c r="Q4804" t="s">
        <v>9956</v>
      </c>
    </row>
    <row r="4805" spans="1:17" x14ac:dyDescent="0.3">
      <c r="A4805" t="s">
        <v>4729</v>
      </c>
      <c r="B4805" t="str">
        <f>"301026"</f>
        <v>301026</v>
      </c>
      <c r="C4805" t="s">
        <v>9957</v>
      </c>
      <c r="D4805" t="s">
        <v>636</v>
      </c>
      <c r="F4805">
        <v>12619495</v>
      </c>
      <c r="G4805">
        <v>6521940</v>
      </c>
      <c r="H4805">
        <v>4973535</v>
      </c>
      <c r="I4805">
        <v>3886007</v>
      </c>
      <c r="J4805">
        <v>3861422</v>
      </c>
      <c r="K4805">
        <v>3207149</v>
      </c>
      <c r="P4805">
        <v>41</v>
      </c>
      <c r="Q4805" t="s">
        <v>9958</v>
      </c>
    </row>
    <row r="4806" spans="1:17" x14ac:dyDescent="0.3">
      <c r="A4806" t="s">
        <v>4729</v>
      </c>
      <c r="B4806" t="str">
        <f>"301027"</f>
        <v>301027</v>
      </c>
      <c r="C4806" t="s">
        <v>9959</v>
      </c>
      <c r="D4806" t="s">
        <v>1272</v>
      </c>
      <c r="F4806">
        <v>46328996</v>
      </c>
      <c r="G4806">
        <v>40775386</v>
      </c>
      <c r="H4806">
        <v>35553930</v>
      </c>
      <c r="I4806">
        <v>31213000</v>
      </c>
      <c r="J4806">
        <v>29321166</v>
      </c>
      <c r="P4806">
        <v>25</v>
      </c>
      <c r="Q4806" t="s">
        <v>9960</v>
      </c>
    </row>
    <row r="4807" spans="1:17" x14ac:dyDescent="0.3">
      <c r="A4807" t="s">
        <v>4729</v>
      </c>
      <c r="B4807" t="str">
        <f>"301028"</f>
        <v>301028</v>
      </c>
      <c r="C4807" t="s">
        <v>9961</v>
      </c>
      <c r="D4807" t="s">
        <v>560</v>
      </c>
      <c r="F4807">
        <v>39397083</v>
      </c>
      <c r="G4807">
        <v>34099781</v>
      </c>
      <c r="H4807">
        <v>32449075</v>
      </c>
      <c r="I4807">
        <v>27599626</v>
      </c>
      <c r="J4807">
        <v>27184068</v>
      </c>
      <c r="P4807">
        <v>53</v>
      </c>
      <c r="Q4807" t="s">
        <v>9962</v>
      </c>
    </row>
    <row r="4808" spans="1:17" x14ac:dyDescent="0.3">
      <c r="A4808" t="s">
        <v>4729</v>
      </c>
      <c r="B4808" t="str">
        <f>"301029"</f>
        <v>301029</v>
      </c>
      <c r="C4808" t="s">
        <v>9963</v>
      </c>
      <c r="D4808" t="s">
        <v>3477</v>
      </c>
      <c r="F4808">
        <v>66185764</v>
      </c>
      <c r="G4808">
        <v>49603215</v>
      </c>
      <c r="H4808">
        <v>33317971</v>
      </c>
      <c r="I4808">
        <v>23977961</v>
      </c>
      <c r="J4808">
        <v>18170482</v>
      </c>
      <c r="P4808">
        <v>67</v>
      </c>
      <c r="Q4808" t="s">
        <v>9964</v>
      </c>
    </row>
    <row r="4809" spans="1:17" x14ac:dyDescent="0.3">
      <c r="A4809" t="s">
        <v>4729</v>
      </c>
      <c r="B4809" t="str">
        <f>"301030"</f>
        <v>301030</v>
      </c>
      <c r="C4809" t="s">
        <v>9965</v>
      </c>
      <c r="D4809" t="s">
        <v>1070</v>
      </c>
      <c r="F4809">
        <v>32261956</v>
      </c>
      <c r="G4809">
        <v>24390155</v>
      </c>
      <c r="H4809">
        <v>23936771</v>
      </c>
      <c r="I4809">
        <v>21332592</v>
      </c>
      <c r="J4809">
        <v>13830067</v>
      </c>
      <c r="K4809">
        <v>10430400</v>
      </c>
      <c r="P4809">
        <v>19</v>
      </c>
      <c r="Q4809" t="s">
        <v>9966</v>
      </c>
    </row>
    <row r="4810" spans="1:17" x14ac:dyDescent="0.3">
      <c r="A4810" t="s">
        <v>4729</v>
      </c>
      <c r="B4810" t="str">
        <f>"301031"</f>
        <v>301031</v>
      </c>
      <c r="C4810" t="s">
        <v>9967</v>
      </c>
      <c r="D4810" t="s">
        <v>651</v>
      </c>
      <c r="F4810">
        <v>27868282</v>
      </c>
      <c r="G4810">
        <v>14647207</v>
      </c>
      <c r="H4810">
        <v>14354755</v>
      </c>
      <c r="I4810">
        <v>11711820</v>
      </c>
      <c r="J4810">
        <v>9403756</v>
      </c>
      <c r="P4810">
        <v>77</v>
      </c>
      <c r="Q4810" t="s">
        <v>9968</v>
      </c>
    </row>
    <row r="4811" spans="1:17" x14ac:dyDescent="0.3">
      <c r="A4811" t="s">
        <v>4729</v>
      </c>
      <c r="B4811" t="str">
        <f>"301032"</f>
        <v>301032</v>
      </c>
      <c r="C4811" t="s">
        <v>9969</v>
      </c>
      <c r="D4811" t="s">
        <v>560</v>
      </c>
      <c r="F4811">
        <v>84737921</v>
      </c>
      <c r="G4811">
        <v>77726896</v>
      </c>
      <c r="H4811">
        <v>63264318</v>
      </c>
      <c r="I4811">
        <v>58255173</v>
      </c>
      <c r="J4811">
        <v>58328368</v>
      </c>
      <c r="P4811">
        <v>19</v>
      </c>
      <c r="Q4811" t="s">
        <v>9970</v>
      </c>
    </row>
    <row r="4812" spans="1:17" x14ac:dyDescent="0.3">
      <c r="A4812" t="s">
        <v>4729</v>
      </c>
      <c r="B4812" t="str">
        <f>"301033"</f>
        <v>301033</v>
      </c>
      <c r="C4812" t="s">
        <v>9971</v>
      </c>
      <c r="D4812" t="s">
        <v>1077</v>
      </c>
      <c r="F4812">
        <v>25875405</v>
      </c>
      <c r="G4812">
        <v>16279615</v>
      </c>
      <c r="H4812">
        <v>18211622</v>
      </c>
      <c r="I4812">
        <v>20790733</v>
      </c>
      <c r="J4812">
        <v>21229496</v>
      </c>
      <c r="P4812">
        <v>31</v>
      </c>
      <c r="Q4812" t="s">
        <v>9972</v>
      </c>
    </row>
    <row r="4813" spans="1:17" x14ac:dyDescent="0.3">
      <c r="A4813" t="s">
        <v>4729</v>
      </c>
      <c r="B4813" t="str">
        <f>"301035"</f>
        <v>301035</v>
      </c>
      <c r="C4813" t="s">
        <v>9973</v>
      </c>
      <c r="D4813" t="s">
        <v>853</v>
      </c>
      <c r="F4813">
        <v>312438470</v>
      </c>
      <c r="G4813">
        <v>227225895</v>
      </c>
      <c r="H4813">
        <v>191792897</v>
      </c>
      <c r="I4813">
        <v>149389142</v>
      </c>
      <c r="J4813">
        <v>95349947</v>
      </c>
      <c r="P4813">
        <v>40</v>
      </c>
      <c r="Q4813" t="s">
        <v>9974</v>
      </c>
    </row>
    <row r="4814" spans="1:17" x14ac:dyDescent="0.3">
      <c r="A4814" t="s">
        <v>4729</v>
      </c>
      <c r="B4814" t="str">
        <f>"301036"</f>
        <v>301036</v>
      </c>
      <c r="C4814" t="s">
        <v>9975</v>
      </c>
      <c r="D4814" t="s">
        <v>2585</v>
      </c>
      <c r="F4814">
        <v>56448123</v>
      </c>
      <c r="G4814">
        <v>52455587</v>
      </c>
      <c r="H4814">
        <v>48736546</v>
      </c>
      <c r="I4814">
        <v>34216095</v>
      </c>
      <c r="J4814">
        <v>31653698</v>
      </c>
      <c r="P4814">
        <v>20</v>
      </c>
      <c r="Q4814" t="s">
        <v>9976</v>
      </c>
    </row>
    <row r="4815" spans="1:17" x14ac:dyDescent="0.3">
      <c r="A4815" t="s">
        <v>4729</v>
      </c>
      <c r="B4815" t="str">
        <f>"301037"</f>
        <v>301037</v>
      </c>
      <c r="C4815" t="s">
        <v>9977</v>
      </c>
      <c r="D4815" t="s">
        <v>2585</v>
      </c>
      <c r="F4815">
        <v>51897264</v>
      </c>
      <c r="G4815">
        <v>34997608</v>
      </c>
      <c r="H4815">
        <v>33089599</v>
      </c>
      <c r="I4815">
        <v>27538187</v>
      </c>
      <c r="J4815">
        <v>25350046</v>
      </c>
      <c r="P4815">
        <v>13</v>
      </c>
      <c r="Q4815" t="s">
        <v>9978</v>
      </c>
    </row>
    <row r="4816" spans="1:17" x14ac:dyDescent="0.3">
      <c r="A4816" t="s">
        <v>4729</v>
      </c>
      <c r="B4816" t="str">
        <f>"301038"</f>
        <v>301038</v>
      </c>
      <c r="C4816" t="s">
        <v>9979</v>
      </c>
      <c r="D4816" t="s">
        <v>1272</v>
      </c>
      <c r="F4816">
        <v>40045535</v>
      </c>
      <c r="G4816">
        <v>39950791</v>
      </c>
      <c r="H4816">
        <v>30331401</v>
      </c>
      <c r="I4816">
        <v>24791514</v>
      </c>
      <c r="J4816">
        <v>19896987</v>
      </c>
      <c r="P4816">
        <v>21</v>
      </c>
      <c r="Q4816" t="s">
        <v>9980</v>
      </c>
    </row>
    <row r="4817" spans="1:17" x14ac:dyDescent="0.3">
      <c r="A4817" t="s">
        <v>4729</v>
      </c>
      <c r="B4817" t="str">
        <f>"301039"</f>
        <v>301039</v>
      </c>
      <c r="C4817" t="s">
        <v>9981</v>
      </c>
      <c r="D4817" t="s">
        <v>27</v>
      </c>
      <c r="F4817">
        <v>397817430</v>
      </c>
      <c r="G4817">
        <v>371412141</v>
      </c>
      <c r="H4817">
        <v>333034256</v>
      </c>
      <c r="I4817">
        <v>277938291</v>
      </c>
      <c r="J4817">
        <v>138631999</v>
      </c>
      <c r="P4817">
        <v>35</v>
      </c>
      <c r="Q4817" t="s">
        <v>9982</v>
      </c>
    </row>
    <row r="4818" spans="1:17" x14ac:dyDescent="0.3">
      <c r="A4818" t="s">
        <v>4729</v>
      </c>
      <c r="B4818" t="str">
        <f>"301040"</f>
        <v>301040</v>
      </c>
      <c r="C4818" t="s">
        <v>9983</v>
      </c>
      <c r="D4818" t="s">
        <v>950</v>
      </c>
      <c r="F4818">
        <v>34937301</v>
      </c>
      <c r="G4818">
        <v>34010565</v>
      </c>
      <c r="H4818">
        <v>24922337</v>
      </c>
      <c r="I4818">
        <v>19891272</v>
      </c>
      <c r="J4818">
        <v>17158107</v>
      </c>
      <c r="P4818">
        <v>22</v>
      </c>
      <c r="Q4818" t="s">
        <v>9984</v>
      </c>
    </row>
    <row r="4819" spans="1:17" x14ac:dyDescent="0.3">
      <c r="A4819" t="s">
        <v>4729</v>
      </c>
      <c r="B4819" t="str">
        <f>"301041"</f>
        <v>301041</v>
      </c>
      <c r="C4819" t="s">
        <v>9985</v>
      </c>
      <c r="D4819" t="s">
        <v>425</v>
      </c>
      <c r="F4819">
        <v>43530430</v>
      </c>
      <c r="G4819">
        <v>32108689</v>
      </c>
      <c r="H4819">
        <v>31079120</v>
      </c>
      <c r="I4819">
        <v>30507645</v>
      </c>
      <c r="J4819">
        <v>36820270</v>
      </c>
      <c r="P4819">
        <v>31</v>
      </c>
      <c r="Q4819" t="s">
        <v>9986</v>
      </c>
    </row>
    <row r="4820" spans="1:17" x14ac:dyDescent="0.3">
      <c r="A4820" t="s">
        <v>4729</v>
      </c>
      <c r="B4820" t="str">
        <f>"301042"</f>
        <v>301042</v>
      </c>
      <c r="C4820" t="s">
        <v>9987</v>
      </c>
      <c r="D4820" t="s">
        <v>2980</v>
      </c>
      <c r="F4820">
        <v>52730674</v>
      </c>
      <c r="G4820">
        <v>54131966</v>
      </c>
      <c r="H4820">
        <v>45453634</v>
      </c>
      <c r="I4820">
        <v>44379584</v>
      </c>
      <c r="J4820">
        <v>38825801</v>
      </c>
      <c r="K4820">
        <v>23327709</v>
      </c>
      <c r="P4820">
        <v>14</v>
      </c>
      <c r="Q4820" t="s">
        <v>9988</v>
      </c>
    </row>
    <row r="4821" spans="1:17" x14ac:dyDescent="0.3">
      <c r="A4821" t="s">
        <v>4729</v>
      </c>
      <c r="B4821" t="str">
        <f>"301043"</f>
        <v>301043</v>
      </c>
      <c r="C4821" t="s">
        <v>9989</v>
      </c>
      <c r="D4821" t="s">
        <v>560</v>
      </c>
      <c r="F4821">
        <v>17052360</v>
      </c>
      <c r="G4821">
        <v>12875344</v>
      </c>
      <c r="H4821">
        <v>13379534</v>
      </c>
      <c r="I4821">
        <v>12692249</v>
      </c>
      <c r="J4821">
        <v>9301244</v>
      </c>
      <c r="P4821">
        <v>18</v>
      </c>
      <c r="Q4821" t="s">
        <v>9990</v>
      </c>
    </row>
    <row r="4822" spans="1:17" x14ac:dyDescent="0.3">
      <c r="A4822" t="s">
        <v>4729</v>
      </c>
      <c r="B4822" t="str">
        <f>"301045"</f>
        <v>301045</v>
      </c>
      <c r="C4822" t="s">
        <v>9991</v>
      </c>
      <c r="D4822" t="s">
        <v>164</v>
      </c>
      <c r="F4822">
        <v>34018514</v>
      </c>
      <c r="G4822">
        <v>25794589</v>
      </c>
      <c r="H4822">
        <v>21418926</v>
      </c>
      <c r="I4822">
        <v>19429811</v>
      </c>
      <c r="J4822">
        <v>12749232</v>
      </c>
      <c r="P4822">
        <v>17</v>
      </c>
      <c r="Q4822" t="s">
        <v>9992</v>
      </c>
    </row>
    <row r="4823" spans="1:17" x14ac:dyDescent="0.3">
      <c r="A4823" t="s">
        <v>4729</v>
      </c>
      <c r="B4823" t="str">
        <f>"301046"</f>
        <v>301046</v>
      </c>
      <c r="C4823" t="s">
        <v>9993</v>
      </c>
      <c r="D4823" t="s">
        <v>1992</v>
      </c>
      <c r="F4823">
        <v>18378788</v>
      </c>
      <c r="G4823">
        <v>13864204</v>
      </c>
      <c r="H4823">
        <v>11208767</v>
      </c>
      <c r="I4823">
        <v>9611192</v>
      </c>
      <c r="J4823">
        <v>10664004</v>
      </c>
      <c r="P4823">
        <v>33</v>
      </c>
      <c r="Q4823" t="s">
        <v>9994</v>
      </c>
    </row>
    <row r="4824" spans="1:17" x14ac:dyDescent="0.3">
      <c r="A4824" t="s">
        <v>4729</v>
      </c>
      <c r="B4824" t="str">
        <f>"301047"</f>
        <v>301047</v>
      </c>
      <c r="C4824" t="s">
        <v>9995</v>
      </c>
      <c r="D4824" t="s">
        <v>1461</v>
      </c>
      <c r="F4824">
        <v>40129307</v>
      </c>
      <c r="G4824">
        <v>26059125</v>
      </c>
      <c r="H4824">
        <v>23279874</v>
      </c>
      <c r="I4824">
        <v>22366481</v>
      </c>
      <c r="J4824">
        <v>22191969</v>
      </c>
      <c r="P4824">
        <v>71</v>
      </c>
      <c r="Q4824" t="s">
        <v>9996</v>
      </c>
    </row>
    <row r="4825" spans="1:17" x14ac:dyDescent="0.3">
      <c r="A4825" t="s">
        <v>4729</v>
      </c>
      <c r="B4825" t="str">
        <f>"301048"</f>
        <v>301048</v>
      </c>
      <c r="C4825" t="s">
        <v>9997</v>
      </c>
      <c r="D4825" t="s">
        <v>1012</v>
      </c>
      <c r="F4825">
        <v>138044951</v>
      </c>
      <c r="G4825">
        <v>75960929</v>
      </c>
      <c r="H4825">
        <v>96100165</v>
      </c>
      <c r="I4825">
        <v>94264997</v>
      </c>
      <c r="J4825">
        <v>155530889</v>
      </c>
      <c r="P4825">
        <v>16</v>
      </c>
      <c r="Q4825" t="s">
        <v>9998</v>
      </c>
    </row>
    <row r="4826" spans="1:17" x14ac:dyDescent="0.3">
      <c r="A4826" t="s">
        <v>4729</v>
      </c>
      <c r="B4826" t="str">
        <f>"301049"</f>
        <v>301049</v>
      </c>
      <c r="C4826" t="s">
        <v>9999</v>
      </c>
      <c r="D4826" t="s">
        <v>499</v>
      </c>
      <c r="F4826">
        <v>10448486</v>
      </c>
      <c r="G4826">
        <v>12986505</v>
      </c>
      <c r="H4826">
        <v>13224890</v>
      </c>
      <c r="I4826">
        <v>9014051</v>
      </c>
      <c r="J4826">
        <v>10098678</v>
      </c>
      <c r="P4826">
        <v>26</v>
      </c>
      <c r="Q4826" t="s">
        <v>10000</v>
      </c>
    </row>
    <row r="4827" spans="1:17" x14ac:dyDescent="0.3">
      <c r="A4827" t="s">
        <v>4729</v>
      </c>
      <c r="B4827" t="str">
        <f>"301050"</f>
        <v>301050</v>
      </c>
      <c r="C4827" t="s">
        <v>10001</v>
      </c>
      <c r="D4827" t="s">
        <v>1136</v>
      </c>
      <c r="F4827">
        <v>33574479</v>
      </c>
      <c r="G4827">
        <v>21132711</v>
      </c>
      <c r="H4827">
        <v>22040655</v>
      </c>
      <c r="I4827">
        <v>20381949</v>
      </c>
      <c r="J4827">
        <v>22160172</v>
      </c>
      <c r="P4827">
        <v>31</v>
      </c>
      <c r="Q4827" t="s">
        <v>10002</v>
      </c>
    </row>
    <row r="4828" spans="1:17" x14ac:dyDescent="0.3">
      <c r="A4828" t="s">
        <v>4729</v>
      </c>
      <c r="B4828" t="str">
        <f>"301051"</f>
        <v>301051</v>
      </c>
      <c r="C4828" t="s">
        <v>10003</v>
      </c>
      <c r="D4828" t="s">
        <v>313</v>
      </c>
      <c r="F4828">
        <v>89288226</v>
      </c>
      <c r="G4828">
        <v>54906094</v>
      </c>
      <c r="H4828">
        <v>83192624</v>
      </c>
      <c r="I4828">
        <v>40856516</v>
      </c>
      <c r="J4828">
        <v>29505263</v>
      </c>
      <c r="K4828">
        <v>17338172</v>
      </c>
      <c r="P4828">
        <v>18</v>
      </c>
      <c r="Q4828" t="s">
        <v>10004</v>
      </c>
    </row>
    <row r="4829" spans="1:17" x14ac:dyDescent="0.3">
      <c r="A4829" t="s">
        <v>4729</v>
      </c>
      <c r="B4829" t="str">
        <f>"301052"</f>
        <v>301052</v>
      </c>
      <c r="C4829" t="s">
        <v>10005</v>
      </c>
      <c r="D4829" t="s">
        <v>525</v>
      </c>
      <c r="F4829">
        <v>14103143</v>
      </c>
      <c r="G4829">
        <v>11374473</v>
      </c>
      <c r="H4829">
        <v>13763355</v>
      </c>
      <c r="I4829">
        <v>13414967</v>
      </c>
      <c r="J4829">
        <v>10721071</v>
      </c>
      <c r="P4829">
        <v>16</v>
      </c>
      <c r="Q4829" t="s">
        <v>10006</v>
      </c>
    </row>
    <row r="4830" spans="1:17" x14ac:dyDescent="0.3">
      <c r="A4830" t="s">
        <v>4729</v>
      </c>
      <c r="B4830" t="str">
        <f>"301053"</f>
        <v>301053</v>
      </c>
      <c r="C4830" t="s">
        <v>10007</v>
      </c>
      <c r="D4830" t="s">
        <v>534</v>
      </c>
      <c r="F4830">
        <v>27099960</v>
      </c>
      <c r="G4830">
        <v>17845673</v>
      </c>
      <c r="H4830">
        <v>17049019</v>
      </c>
      <c r="I4830">
        <v>12696416</v>
      </c>
      <c r="J4830">
        <v>8529953</v>
      </c>
      <c r="P4830">
        <v>24</v>
      </c>
      <c r="Q4830" t="s">
        <v>10008</v>
      </c>
    </row>
    <row r="4831" spans="1:17" x14ac:dyDescent="0.3">
      <c r="A4831" t="s">
        <v>4729</v>
      </c>
      <c r="B4831" t="str">
        <f>"301055"</f>
        <v>301055</v>
      </c>
      <c r="C4831" t="s">
        <v>10009</v>
      </c>
      <c r="D4831" t="s">
        <v>2445</v>
      </c>
      <c r="F4831">
        <v>22877695</v>
      </c>
      <c r="G4831">
        <v>20065149</v>
      </c>
      <c r="H4831">
        <v>16778210</v>
      </c>
      <c r="I4831">
        <v>8789704</v>
      </c>
      <c r="J4831">
        <v>5214626</v>
      </c>
      <c r="P4831">
        <v>28</v>
      </c>
      <c r="Q4831" t="s">
        <v>10010</v>
      </c>
    </row>
    <row r="4832" spans="1:17" x14ac:dyDescent="0.3">
      <c r="A4832" t="s">
        <v>4729</v>
      </c>
      <c r="B4832" t="str">
        <f>"301056"</f>
        <v>301056</v>
      </c>
      <c r="C4832" t="s">
        <v>10011</v>
      </c>
      <c r="D4832" t="s">
        <v>1691</v>
      </c>
      <c r="F4832">
        <v>19828188</v>
      </c>
      <c r="G4832">
        <v>17348294</v>
      </c>
      <c r="H4832">
        <v>18130174</v>
      </c>
      <c r="I4832">
        <v>18372743</v>
      </c>
      <c r="J4832">
        <v>18704697</v>
      </c>
      <c r="P4832">
        <v>16</v>
      </c>
      <c r="Q4832" t="s">
        <v>10012</v>
      </c>
    </row>
    <row r="4833" spans="1:17" x14ac:dyDescent="0.3">
      <c r="A4833" t="s">
        <v>4729</v>
      </c>
      <c r="B4833" t="str">
        <f>"301057"</f>
        <v>301057</v>
      </c>
      <c r="C4833" t="s">
        <v>10013</v>
      </c>
      <c r="D4833" t="s">
        <v>2731</v>
      </c>
      <c r="F4833">
        <v>29011021</v>
      </c>
      <c r="G4833">
        <v>25810664</v>
      </c>
      <c r="H4833">
        <v>29687553</v>
      </c>
      <c r="I4833">
        <v>25240311</v>
      </c>
      <c r="J4833">
        <v>17901962</v>
      </c>
      <c r="P4833">
        <v>16</v>
      </c>
      <c r="Q4833" t="s">
        <v>10014</v>
      </c>
    </row>
    <row r="4834" spans="1:17" x14ac:dyDescent="0.3">
      <c r="A4834" t="s">
        <v>4729</v>
      </c>
      <c r="B4834" t="str">
        <f>"301058"</f>
        <v>301058</v>
      </c>
      <c r="C4834" t="s">
        <v>10015</v>
      </c>
      <c r="D4834" t="s">
        <v>1272</v>
      </c>
      <c r="F4834">
        <v>81420928</v>
      </c>
      <c r="G4834">
        <v>53154555</v>
      </c>
      <c r="H4834">
        <v>41269539</v>
      </c>
      <c r="I4834">
        <v>29597110</v>
      </c>
      <c r="J4834">
        <v>29946025</v>
      </c>
      <c r="P4834">
        <v>24</v>
      </c>
      <c r="Q4834" t="s">
        <v>10016</v>
      </c>
    </row>
    <row r="4835" spans="1:17" x14ac:dyDescent="0.3">
      <c r="A4835" t="s">
        <v>4729</v>
      </c>
      <c r="B4835" t="str">
        <f>"301059"</f>
        <v>301059</v>
      </c>
      <c r="C4835" t="s">
        <v>10017</v>
      </c>
      <c r="D4835" t="s">
        <v>386</v>
      </c>
      <c r="F4835">
        <v>10081739</v>
      </c>
      <c r="G4835">
        <v>9474419</v>
      </c>
      <c r="H4835">
        <v>10986802</v>
      </c>
      <c r="I4835">
        <v>8034416</v>
      </c>
      <c r="J4835">
        <v>6853077</v>
      </c>
      <c r="P4835">
        <v>21</v>
      </c>
      <c r="Q4835" t="s">
        <v>10018</v>
      </c>
    </row>
    <row r="4836" spans="1:17" x14ac:dyDescent="0.3">
      <c r="A4836" t="s">
        <v>4729</v>
      </c>
      <c r="B4836" t="str">
        <f>"301060"</f>
        <v>301060</v>
      </c>
      <c r="C4836" t="s">
        <v>10019</v>
      </c>
      <c r="D4836" t="s">
        <v>2580</v>
      </c>
      <c r="F4836">
        <v>39441529</v>
      </c>
      <c r="G4836">
        <v>21801958</v>
      </c>
      <c r="H4836">
        <v>18803796</v>
      </c>
      <c r="I4836">
        <v>16885228</v>
      </c>
      <c r="J4836">
        <v>13835739</v>
      </c>
      <c r="P4836">
        <v>41</v>
      </c>
      <c r="Q4836" t="s">
        <v>10020</v>
      </c>
    </row>
    <row r="4837" spans="1:17" x14ac:dyDescent="0.3">
      <c r="A4837" t="s">
        <v>4729</v>
      </c>
      <c r="B4837" t="str">
        <f>"301061"</f>
        <v>301061</v>
      </c>
      <c r="C4837" t="s">
        <v>10021</v>
      </c>
      <c r="D4837" t="s">
        <v>757</v>
      </c>
      <c r="F4837">
        <v>93820209</v>
      </c>
      <c r="G4837">
        <v>71364871</v>
      </c>
      <c r="H4837">
        <v>66666864</v>
      </c>
      <c r="I4837">
        <v>66840040</v>
      </c>
      <c r="J4837">
        <v>52464693</v>
      </c>
      <c r="P4837">
        <v>28</v>
      </c>
      <c r="Q4837" t="s">
        <v>10022</v>
      </c>
    </row>
    <row r="4838" spans="1:17" x14ac:dyDescent="0.3">
      <c r="A4838" t="s">
        <v>4729</v>
      </c>
      <c r="B4838" t="str">
        <f>"301062"</f>
        <v>301062</v>
      </c>
      <c r="C4838" t="s">
        <v>10023</v>
      </c>
      <c r="D4838" t="s">
        <v>2165</v>
      </c>
      <c r="F4838">
        <v>38001091</v>
      </c>
      <c r="G4838">
        <v>26333574</v>
      </c>
      <c r="H4838">
        <v>20813506</v>
      </c>
      <c r="I4838">
        <v>17118031</v>
      </c>
      <c r="J4838">
        <v>13513769</v>
      </c>
      <c r="P4838">
        <v>13</v>
      </c>
      <c r="Q4838" t="s">
        <v>10024</v>
      </c>
    </row>
    <row r="4839" spans="1:17" x14ac:dyDescent="0.3">
      <c r="A4839" t="s">
        <v>4729</v>
      </c>
      <c r="B4839" t="str">
        <f>"301063"</f>
        <v>301063</v>
      </c>
      <c r="C4839" t="s">
        <v>10025</v>
      </c>
      <c r="D4839" t="s">
        <v>274</v>
      </c>
      <c r="F4839">
        <v>33983657</v>
      </c>
      <c r="G4839">
        <v>32913341</v>
      </c>
      <c r="H4839">
        <v>20271823</v>
      </c>
      <c r="I4839">
        <v>15093333</v>
      </c>
      <c r="J4839">
        <v>10641769</v>
      </c>
      <c r="P4839">
        <v>17</v>
      </c>
      <c r="Q4839" t="s">
        <v>10026</v>
      </c>
    </row>
    <row r="4840" spans="1:17" x14ac:dyDescent="0.3">
      <c r="A4840" t="s">
        <v>4729</v>
      </c>
      <c r="B4840" t="str">
        <f>"301065"</f>
        <v>301065</v>
      </c>
      <c r="C4840" t="s">
        <v>10027</v>
      </c>
      <c r="D4840" t="s">
        <v>386</v>
      </c>
      <c r="F4840">
        <v>19862676</v>
      </c>
      <c r="G4840">
        <v>21692533</v>
      </c>
      <c r="H4840">
        <v>18554674</v>
      </c>
      <c r="I4840">
        <v>17542217</v>
      </c>
      <c r="J4840">
        <v>12490899</v>
      </c>
      <c r="P4840">
        <v>12</v>
      </c>
      <c r="Q4840" t="s">
        <v>10028</v>
      </c>
    </row>
    <row r="4841" spans="1:17" x14ac:dyDescent="0.3">
      <c r="A4841" t="s">
        <v>4729</v>
      </c>
      <c r="B4841" t="str">
        <f>"301066"</f>
        <v>301066</v>
      </c>
      <c r="C4841" t="s">
        <v>10029</v>
      </c>
      <c r="D4841" t="s">
        <v>330</v>
      </c>
      <c r="F4841">
        <v>38549717</v>
      </c>
      <c r="G4841">
        <v>36519758</v>
      </c>
      <c r="H4841">
        <v>32586304</v>
      </c>
      <c r="I4841">
        <v>32721043</v>
      </c>
      <c r="J4841">
        <v>29956410</v>
      </c>
      <c r="P4841">
        <v>21</v>
      </c>
      <c r="Q4841" t="s">
        <v>10030</v>
      </c>
    </row>
    <row r="4842" spans="1:17" x14ac:dyDescent="0.3">
      <c r="A4842" t="s">
        <v>4729</v>
      </c>
      <c r="B4842" t="str">
        <f>"301067"</f>
        <v>301067</v>
      </c>
      <c r="C4842" t="s">
        <v>10031</v>
      </c>
      <c r="D4842" t="s">
        <v>313</v>
      </c>
      <c r="F4842">
        <v>26812928</v>
      </c>
      <c r="G4842">
        <v>19961903</v>
      </c>
      <c r="H4842">
        <v>18394141</v>
      </c>
      <c r="I4842">
        <v>14680551</v>
      </c>
      <c r="J4842">
        <v>12051622</v>
      </c>
      <c r="P4842">
        <v>18</v>
      </c>
      <c r="Q4842" t="s">
        <v>10032</v>
      </c>
    </row>
    <row r="4843" spans="1:17" x14ac:dyDescent="0.3">
      <c r="A4843" t="s">
        <v>4729</v>
      </c>
      <c r="B4843" t="str">
        <f>"301068"</f>
        <v>301068</v>
      </c>
      <c r="C4843" t="s">
        <v>10033</v>
      </c>
      <c r="D4843" t="s">
        <v>499</v>
      </c>
      <c r="F4843">
        <v>23280320</v>
      </c>
      <c r="G4843">
        <v>13169255</v>
      </c>
      <c r="H4843">
        <v>12097458</v>
      </c>
      <c r="I4843">
        <v>10225242</v>
      </c>
      <c r="J4843">
        <v>9996518</v>
      </c>
      <c r="P4843">
        <v>14</v>
      </c>
      <c r="Q4843" t="s">
        <v>10034</v>
      </c>
    </row>
    <row r="4844" spans="1:17" x14ac:dyDescent="0.3">
      <c r="A4844" t="s">
        <v>4729</v>
      </c>
      <c r="B4844" t="str">
        <f>"301069"</f>
        <v>301069</v>
      </c>
      <c r="C4844" t="s">
        <v>10035</v>
      </c>
      <c r="D4844" t="s">
        <v>1233</v>
      </c>
      <c r="F4844">
        <v>43096738</v>
      </c>
      <c r="G4844">
        <v>29564186</v>
      </c>
      <c r="H4844">
        <v>25757459</v>
      </c>
      <c r="I4844">
        <v>19223036</v>
      </c>
      <c r="J4844">
        <v>13763575</v>
      </c>
      <c r="P4844">
        <v>29</v>
      </c>
      <c r="Q4844" t="s">
        <v>10036</v>
      </c>
    </row>
    <row r="4845" spans="1:17" x14ac:dyDescent="0.3">
      <c r="A4845" t="s">
        <v>4729</v>
      </c>
      <c r="B4845" t="str">
        <f>"301070"</f>
        <v>301070</v>
      </c>
      <c r="C4845" t="s">
        <v>10037</v>
      </c>
      <c r="D4845" t="s">
        <v>560</v>
      </c>
      <c r="F4845">
        <v>13797764</v>
      </c>
      <c r="G4845">
        <v>11485729</v>
      </c>
      <c r="H4845">
        <v>12488812</v>
      </c>
      <c r="I4845">
        <v>10029131</v>
      </c>
      <c r="J4845">
        <v>12069249</v>
      </c>
      <c r="P4845">
        <v>19</v>
      </c>
      <c r="Q4845" t="s">
        <v>10038</v>
      </c>
    </row>
    <row r="4846" spans="1:17" x14ac:dyDescent="0.3">
      <c r="A4846" t="s">
        <v>4729</v>
      </c>
      <c r="B4846" t="str">
        <f>"301071"</f>
        <v>301071</v>
      </c>
      <c r="C4846" t="s">
        <v>10039</v>
      </c>
      <c r="D4846" t="s">
        <v>404</v>
      </c>
      <c r="F4846">
        <v>26554014</v>
      </c>
      <c r="G4846">
        <v>9969856</v>
      </c>
      <c r="H4846">
        <v>9223206</v>
      </c>
      <c r="I4846">
        <v>7865760</v>
      </c>
      <c r="J4846">
        <v>6316321</v>
      </c>
      <c r="P4846">
        <v>76</v>
      </c>
      <c r="Q4846" t="s">
        <v>10040</v>
      </c>
    </row>
    <row r="4847" spans="1:17" x14ac:dyDescent="0.3">
      <c r="A4847" t="s">
        <v>4729</v>
      </c>
      <c r="B4847" t="str">
        <f>"301072"</f>
        <v>301072</v>
      </c>
      <c r="C4847" t="s">
        <v>10041</v>
      </c>
      <c r="D4847" t="s">
        <v>348</v>
      </c>
      <c r="F4847">
        <v>26994197</v>
      </c>
      <c r="G4847">
        <v>22558849</v>
      </c>
      <c r="H4847">
        <v>25115727</v>
      </c>
      <c r="I4847">
        <v>24662833</v>
      </c>
      <c r="J4847">
        <v>25376158</v>
      </c>
      <c r="P4847">
        <v>17</v>
      </c>
      <c r="Q4847" t="s">
        <v>10042</v>
      </c>
    </row>
    <row r="4848" spans="1:17" x14ac:dyDescent="0.3">
      <c r="A4848" t="s">
        <v>4729</v>
      </c>
      <c r="B4848" t="str">
        <f>"301073"</f>
        <v>301073</v>
      </c>
      <c r="C4848" t="s">
        <v>10043</v>
      </c>
      <c r="D4848" t="s">
        <v>590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P4848">
        <v>22</v>
      </c>
      <c r="Q4848" t="s">
        <v>10044</v>
      </c>
    </row>
    <row r="4849" spans="1:17" x14ac:dyDescent="0.3">
      <c r="A4849" t="s">
        <v>4729</v>
      </c>
      <c r="B4849" t="str">
        <f>"301075"</f>
        <v>301075</v>
      </c>
      <c r="C4849" t="s">
        <v>10045</v>
      </c>
      <c r="D4849" t="s">
        <v>143</v>
      </c>
      <c r="F4849">
        <v>24067136</v>
      </c>
      <c r="G4849">
        <v>23351847</v>
      </c>
      <c r="H4849">
        <v>26648765</v>
      </c>
      <c r="I4849">
        <v>16196195</v>
      </c>
      <c r="J4849">
        <v>9239250</v>
      </c>
      <c r="P4849">
        <v>22</v>
      </c>
      <c r="Q4849" t="s">
        <v>10046</v>
      </c>
    </row>
    <row r="4850" spans="1:17" x14ac:dyDescent="0.3">
      <c r="A4850" t="s">
        <v>4729</v>
      </c>
      <c r="B4850" t="str">
        <f>"301076"</f>
        <v>301076</v>
      </c>
      <c r="C4850" t="s">
        <v>10047</v>
      </c>
      <c r="D4850" t="s">
        <v>386</v>
      </c>
      <c r="F4850">
        <v>10906666</v>
      </c>
      <c r="G4850">
        <v>10163024</v>
      </c>
      <c r="H4850">
        <v>11373889</v>
      </c>
      <c r="I4850">
        <v>8696573</v>
      </c>
      <c r="J4850">
        <v>10055888</v>
      </c>
      <c r="P4850">
        <v>20</v>
      </c>
      <c r="Q4850" t="s">
        <v>10048</v>
      </c>
    </row>
    <row r="4851" spans="1:17" x14ac:dyDescent="0.3">
      <c r="A4851" t="s">
        <v>4729</v>
      </c>
      <c r="B4851" t="str">
        <f>"301077"</f>
        <v>301077</v>
      </c>
      <c r="C4851" t="s">
        <v>10049</v>
      </c>
      <c r="D4851" t="s">
        <v>386</v>
      </c>
      <c r="F4851">
        <v>45529212</v>
      </c>
      <c r="G4851">
        <v>31777591</v>
      </c>
      <c r="H4851">
        <v>30539046</v>
      </c>
      <c r="I4851">
        <v>24471188</v>
      </c>
      <c r="J4851">
        <v>14904536</v>
      </c>
      <c r="P4851">
        <v>30</v>
      </c>
      <c r="Q4851" t="s">
        <v>10050</v>
      </c>
    </row>
    <row r="4852" spans="1:17" x14ac:dyDescent="0.3">
      <c r="A4852" t="s">
        <v>4729</v>
      </c>
      <c r="B4852" t="str">
        <f>"301078"</f>
        <v>301078</v>
      </c>
      <c r="C4852" t="s">
        <v>10051</v>
      </c>
      <c r="D4852" t="s">
        <v>295</v>
      </c>
      <c r="F4852">
        <v>100945151</v>
      </c>
      <c r="G4852">
        <v>87057244</v>
      </c>
      <c r="H4852">
        <v>104472332</v>
      </c>
      <c r="I4852">
        <v>41224748</v>
      </c>
      <c r="J4852">
        <v>13771471</v>
      </c>
      <c r="P4852">
        <v>23</v>
      </c>
      <c r="Q4852" t="s">
        <v>10052</v>
      </c>
    </row>
    <row r="4853" spans="1:17" x14ac:dyDescent="0.3">
      <c r="A4853" t="s">
        <v>4729</v>
      </c>
      <c r="B4853" t="str">
        <f>"301079"</f>
        <v>301079</v>
      </c>
      <c r="C4853" t="s">
        <v>10053</v>
      </c>
      <c r="D4853" t="s">
        <v>2007</v>
      </c>
      <c r="F4853">
        <v>15041938</v>
      </c>
      <c r="G4853">
        <v>11201099</v>
      </c>
      <c r="H4853">
        <v>10497424</v>
      </c>
      <c r="I4853">
        <v>9602326</v>
      </c>
      <c r="J4853">
        <v>6595296</v>
      </c>
      <c r="P4853">
        <v>22</v>
      </c>
      <c r="Q4853" t="s">
        <v>10054</v>
      </c>
    </row>
    <row r="4854" spans="1:17" x14ac:dyDescent="0.3">
      <c r="A4854" t="s">
        <v>4729</v>
      </c>
      <c r="B4854" t="str">
        <f>"301080"</f>
        <v>301080</v>
      </c>
      <c r="C4854" t="s">
        <v>10055</v>
      </c>
      <c r="D4854" t="s">
        <v>1461</v>
      </c>
      <c r="F4854">
        <v>59554859</v>
      </c>
      <c r="G4854">
        <v>30650644</v>
      </c>
      <c r="H4854">
        <v>21307092</v>
      </c>
      <c r="I4854">
        <v>18277904</v>
      </c>
      <c r="J4854">
        <v>10439859</v>
      </c>
      <c r="P4854">
        <v>52</v>
      </c>
      <c r="Q4854" t="s">
        <v>10056</v>
      </c>
    </row>
    <row r="4855" spans="1:17" x14ac:dyDescent="0.3">
      <c r="A4855" t="s">
        <v>4729</v>
      </c>
      <c r="B4855" t="str">
        <f>"301081"</f>
        <v>301081</v>
      </c>
      <c r="C4855" t="s">
        <v>10057</v>
      </c>
      <c r="D4855" t="s">
        <v>1070</v>
      </c>
      <c r="F4855">
        <v>25497492</v>
      </c>
      <c r="G4855">
        <v>20116434</v>
      </c>
      <c r="H4855">
        <v>17091894</v>
      </c>
      <c r="I4855">
        <v>13264455</v>
      </c>
      <c r="J4855">
        <v>9343137</v>
      </c>
      <c r="K4855">
        <v>7183954</v>
      </c>
      <c r="P4855">
        <v>21</v>
      </c>
      <c r="Q4855" t="s">
        <v>10058</v>
      </c>
    </row>
    <row r="4856" spans="1:17" x14ac:dyDescent="0.3">
      <c r="A4856" t="s">
        <v>4729</v>
      </c>
      <c r="B4856" t="str">
        <f>"301082"</f>
        <v>301082</v>
      </c>
      <c r="C4856" t="s">
        <v>10059</v>
      </c>
      <c r="D4856" t="s">
        <v>1164</v>
      </c>
      <c r="F4856">
        <v>62553472</v>
      </c>
      <c r="G4856">
        <v>32767125</v>
      </c>
      <c r="H4856">
        <v>28942474</v>
      </c>
      <c r="I4856">
        <v>30403109</v>
      </c>
      <c r="J4856">
        <v>31885456</v>
      </c>
      <c r="P4856">
        <v>17</v>
      </c>
      <c r="Q4856" t="s">
        <v>10060</v>
      </c>
    </row>
    <row r="4857" spans="1:17" x14ac:dyDescent="0.3">
      <c r="A4857" t="s">
        <v>4729</v>
      </c>
      <c r="B4857" t="str">
        <f>"301083"</f>
        <v>301083</v>
      </c>
      <c r="C4857" t="s">
        <v>10061</v>
      </c>
      <c r="D4857" t="s">
        <v>741</v>
      </c>
      <c r="F4857">
        <v>18075561</v>
      </c>
      <c r="G4857">
        <v>17116961</v>
      </c>
      <c r="H4857">
        <v>16464056</v>
      </c>
      <c r="I4857">
        <v>14496643</v>
      </c>
      <c r="J4857">
        <v>14187052</v>
      </c>
      <c r="P4857">
        <v>16</v>
      </c>
      <c r="Q4857" t="s">
        <v>10062</v>
      </c>
    </row>
    <row r="4858" spans="1:17" x14ac:dyDescent="0.3">
      <c r="A4858" t="s">
        <v>4729</v>
      </c>
      <c r="B4858" t="str">
        <f>"301085"</f>
        <v>301085</v>
      </c>
      <c r="C4858" t="s">
        <v>10063</v>
      </c>
      <c r="D4858" t="s">
        <v>316</v>
      </c>
      <c r="F4858">
        <v>10732375</v>
      </c>
      <c r="G4858">
        <v>10374568</v>
      </c>
      <c r="H4858">
        <v>9580443</v>
      </c>
      <c r="I4858">
        <v>7274582</v>
      </c>
      <c r="J4858">
        <v>6420065</v>
      </c>
      <c r="P4858">
        <v>16</v>
      </c>
      <c r="Q4858" t="s">
        <v>10064</v>
      </c>
    </row>
    <row r="4859" spans="1:17" x14ac:dyDescent="0.3">
      <c r="A4859" t="s">
        <v>4729</v>
      </c>
      <c r="B4859" t="str">
        <f>"301086"</f>
        <v>301086</v>
      </c>
      <c r="C4859" t="s">
        <v>10065</v>
      </c>
      <c r="D4859" t="s">
        <v>313</v>
      </c>
      <c r="F4859">
        <v>43133817</v>
      </c>
      <c r="G4859">
        <v>38455557</v>
      </c>
      <c r="H4859">
        <v>27508850</v>
      </c>
      <c r="I4859">
        <v>20254201</v>
      </c>
      <c r="J4859">
        <v>12289606</v>
      </c>
      <c r="P4859">
        <v>28</v>
      </c>
      <c r="Q4859" t="s">
        <v>10066</v>
      </c>
    </row>
    <row r="4860" spans="1:17" x14ac:dyDescent="0.3">
      <c r="A4860" t="s">
        <v>4729</v>
      </c>
      <c r="B4860" t="str">
        <f>"301087"</f>
        <v>301087</v>
      </c>
      <c r="C4860" t="s">
        <v>10067</v>
      </c>
      <c r="D4860" t="s">
        <v>1305</v>
      </c>
      <c r="F4860">
        <v>70588166</v>
      </c>
      <c r="G4860">
        <v>44263546</v>
      </c>
      <c r="H4860">
        <v>16014937</v>
      </c>
      <c r="I4860">
        <v>11925169</v>
      </c>
      <c r="J4860">
        <v>10713094</v>
      </c>
      <c r="P4860">
        <v>33</v>
      </c>
      <c r="Q4860" t="s">
        <v>10068</v>
      </c>
    </row>
    <row r="4861" spans="1:17" x14ac:dyDescent="0.3">
      <c r="A4861" t="s">
        <v>4729</v>
      </c>
      <c r="B4861" t="str">
        <f>"301088"</f>
        <v>301088</v>
      </c>
      <c r="C4861" t="s">
        <v>10069</v>
      </c>
      <c r="D4861" t="s">
        <v>255</v>
      </c>
      <c r="F4861">
        <v>13821826</v>
      </c>
      <c r="G4861">
        <v>12060271</v>
      </c>
      <c r="H4861">
        <v>11365078</v>
      </c>
      <c r="I4861">
        <v>11294357</v>
      </c>
      <c r="J4861">
        <v>7830841</v>
      </c>
      <c r="P4861">
        <v>28</v>
      </c>
      <c r="Q4861" t="s">
        <v>10070</v>
      </c>
    </row>
    <row r="4862" spans="1:17" x14ac:dyDescent="0.3">
      <c r="A4862" t="s">
        <v>4729</v>
      </c>
      <c r="B4862" t="str">
        <f>"301089"</f>
        <v>301089</v>
      </c>
      <c r="C4862" t="s">
        <v>10071</v>
      </c>
      <c r="D4862" t="s">
        <v>496</v>
      </c>
      <c r="F4862">
        <v>20972191</v>
      </c>
      <c r="G4862">
        <v>18824804</v>
      </c>
      <c r="H4862">
        <v>15524052</v>
      </c>
      <c r="I4862">
        <v>13448860</v>
      </c>
      <c r="J4862">
        <v>12004242</v>
      </c>
      <c r="P4862">
        <v>37</v>
      </c>
      <c r="Q4862" t="s">
        <v>10072</v>
      </c>
    </row>
    <row r="4863" spans="1:17" x14ac:dyDescent="0.3">
      <c r="A4863" t="s">
        <v>4729</v>
      </c>
      <c r="B4863" t="str">
        <f>"301090"</f>
        <v>301090</v>
      </c>
      <c r="C4863" t="s">
        <v>10073</v>
      </c>
      <c r="D4863" t="s">
        <v>528</v>
      </c>
      <c r="F4863">
        <v>43990730</v>
      </c>
      <c r="G4863">
        <v>27529826</v>
      </c>
      <c r="H4863">
        <v>24773284</v>
      </c>
      <c r="I4863">
        <v>27721330</v>
      </c>
      <c r="J4863">
        <v>22476625</v>
      </c>
      <c r="P4863">
        <v>18</v>
      </c>
      <c r="Q4863" t="s">
        <v>10074</v>
      </c>
    </row>
    <row r="4864" spans="1:17" x14ac:dyDescent="0.3">
      <c r="A4864" t="s">
        <v>4729</v>
      </c>
      <c r="B4864" t="str">
        <f>"301091"</f>
        <v>301091</v>
      </c>
      <c r="C4864" t="s">
        <v>10075</v>
      </c>
      <c r="D4864" t="s">
        <v>1272</v>
      </c>
      <c r="F4864">
        <v>110640598</v>
      </c>
      <c r="G4864">
        <v>90924148</v>
      </c>
      <c r="H4864">
        <v>76204143</v>
      </c>
      <c r="I4864">
        <v>56322958</v>
      </c>
      <c r="J4864">
        <v>39448042</v>
      </c>
      <c r="P4864">
        <v>25</v>
      </c>
      <c r="Q4864" t="s">
        <v>10076</v>
      </c>
    </row>
    <row r="4865" spans="1:17" x14ac:dyDescent="0.3">
      <c r="A4865" t="s">
        <v>4729</v>
      </c>
      <c r="B4865" t="str">
        <f>"301092"</f>
        <v>301092</v>
      </c>
      <c r="C4865" t="s">
        <v>10077</v>
      </c>
      <c r="D4865" t="s">
        <v>3377</v>
      </c>
      <c r="F4865">
        <v>17666986</v>
      </c>
      <c r="G4865">
        <v>16377701</v>
      </c>
      <c r="H4865">
        <v>16839717</v>
      </c>
      <c r="I4865">
        <v>14930448</v>
      </c>
      <c r="J4865">
        <v>13603811</v>
      </c>
      <c r="P4865">
        <v>22</v>
      </c>
      <c r="Q4865" t="s">
        <v>10078</v>
      </c>
    </row>
    <row r="4866" spans="1:17" x14ac:dyDescent="0.3">
      <c r="A4866" t="s">
        <v>4729</v>
      </c>
      <c r="B4866" t="str">
        <f>"301093"</f>
        <v>301093</v>
      </c>
      <c r="C4866" t="s">
        <v>10079</v>
      </c>
      <c r="D4866" t="s">
        <v>1077</v>
      </c>
      <c r="F4866">
        <v>42077959</v>
      </c>
      <c r="G4866">
        <v>23663329</v>
      </c>
      <c r="H4866">
        <v>19828438</v>
      </c>
      <c r="I4866">
        <v>20969487</v>
      </c>
      <c r="J4866">
        <v>15842399</v>
      </c>
      <c r="P4866">
        <v>30</v>
      </c>
      <c r="Q4866" t="s">
        <v>10080</v>
      </c>
    </row>
    <row r="4867" spans="1:17" x14ac:dyDescent="0.3">
      <c r="A4867" t="s">
        <v>4729</v>
      </c>
      <c r="B4867" t="str">
        <f>"301096"</f>
        <v>301096</v>
      </c>
      <c r="C4867" t="s">
        <v>10081</v>
      </c>
      <c r="D4867" t="s">
        <v>1461</v>
      </c>
      <c r="F4867">
        <v>81136236</v>
      </c>
      <c r="G4867">
        <v>33502050</v>
      </c>
      <c r="H4867">
        <v>15672802</v>
      </c>
      <c r="I4867">
        <v>12361375</v>
      </c>
      <c r="J4867">
        <v>8511721</v>
      </c>
      <c r="P4867">
        <v>26</v>
      </c>
      <c r="Q4867" t="s">
        <v>10082</v>
      </c>
    </row>
    <row r="4868" spans="1:17" x14ac:dyDescent="0.3">
      <c r="A4868" t="s">
        <v>4729</v>
      </c>
      <c r="B4868" t="str">
        <f>"301097"</f>
        <v>301097</v>
      </c>
      <c r="C4868" t="s">
        <v>10083</v>
      </c>
      <c r="F4868">
        <v>20261432</v>
      </c>
      <c r="G4868">
        <v>15973614</v>
      </c>
      <c r="H4868">
        <v>16072380</v>
      </c>
      <c r="I4868">
        <v>8980989</v>
      </c>
      <c r="J4868">
        <v>9142662</v>
      </c>
      <c r="P4868">
        <v>2</v>
      </c>
      <c r="Q4868" t="s">
        <v>10084</v>
      </c>
    </row>
    <row r="4869" spans="1:17" x14ac:dyDescent="0.3">
      <c r="A4869" t="s">
        <v>4729</v>
      </c>
      <c r="B4869" t="str">
        <f>"301098"</f>
        <v>301098</v>
      </c>
      <c r="C4869" t="s">
        <v>10085</v>
      </c>
      <c r="D4869" t="s">
        <v>2417</v>
      </c>
      <c r="F4869">
        <v>8706548</v>
      </c>
      <c r="G4869">
        <v>3764835</v>
      </c>
      <c r="H4869">
        <v>3060560</v>
      </c>
      <c r="I4869">
        <v>1839198</v>
      </c>
      <c r="J4869">
        <v>1605274</v>
      </c>
      <c r="K4869">
        <v>914761</v>
      </c>
      <c r="P4869">
        <v>13</v>
      </c>
      <c r="Q4869" t="s">
        <v>10086</v>
      </c>
    </row>
    <row r="4870" spans="1:17" x14ac:dyDescent="0.3">
      <c r="A4870" t="s">
        <v>4729</v>
      </c>
      <c r="B4870" t="str">
        <f>"301099"</f>
        <v>301099</v>
      </c>
      <c r="C4870" t="s">
        <v>10087</v>
      </c>
      <c r="D4870" t="s">
        <v>546</v>
      </c>
      <c r="F4870">
        <v>36790921</v>
      </c>
      <c r="G4870">
        <v>22218260</v>
      </c>
      <c r="H4870">
        <v>19165301</v>
      </c>
      <c r="I4870">
        <v>12933862</v>
      </c>
      <c r="J4870">
        <v>6046465</v>
      </c>
      <c r="P4870">
        <v>16</v>
      </c>
      <c r="Q4870" t="s">
        <v>10088</v>
      </c>
    </row>
    <row r="4871" spans="1:17" x14ac:dyDescent="0.3">
      <c r="A4871" t="s">
        <v>4729</v>
      </c>
      <c r="B4871" t="str">
        <f>"301100"</f>
        <v>301100</v>
      </c>
      <c r="C4871" t="s">
        <v>10089</v>
      </c>
      <c r="D4871" t="s">
        <v>386</v>
      </c>
      <c r="F4871">
        <v>24738684</v>
      </c>
      <c r="G4871">
        <v>21306160</v>
      </c>
      <c r="H4871">
        <v>21199702</v>
      </c>
      <c r="I4871">
        <v>19308716</v>
      </c>
      <c r="J4871">
        <v>17034809</v>
      </c>
      <c r="P4871">
        <v>11</v>
      </c>
      <c r="Q4871" t="s">
        <v>10090</v>
      </c>
    </row>
    <row r="4872" spans="1:17" x14ac:dyDescent="0.3">
      <c r="A4872" t="s">
        <v>4729</v>
      </c>
      <c r="B4872" t="str">
        <f>"301101"</f>
        <v>301101</v>
      </c>
      <c r="C4872" t="s">
        <v>10091</v>
      </c>
      <c r="D4872" t="s">
        <v>3410</v>
      </c>
      <c r="F4872">
        <v>17866173</v>
      </c>
      <c r="G4872">
        <v>17624288</v>
      </c>
      <c r="H4872">
        <v>16266168</v>
      </c>
      <c r="I4872">
        <v>15354055</v>
      </c>
      <c r="J4872">
        <v>15204363</v>
      </c>
      <c r="P4872">
        <v>19</v>
      </c>
      <c r="Q4872" t="s">
        <v>10092</v>
      </c>
    </row>
    <row r="4873" spans="1:17" x14ac:dyDescent="0.3">
      <c r="A4873" t="s">
        <v>4729</v>
      </c>
      <c r="B4873" t="str">
        <f>"301102"</f>
        <v>301102</v>
      </c>
      <c r="C4873" t="s">
        <v>10093</v>
      </c>
      <c r="F4873">
        <v>11880974</v>
      </c>
      <c r="G4873">
        <v>12278587</v>
      </c>
      <c r="H4873">
        <v>13242211</v>
      </c>
      <c r="I4873">
        <v>13773495</v>
      </c>
      <c r="J4873">
        <v>11276305</v>
      </c>
      <c r="P4873">
        <v>4</v>
      </c>
      <c r="Q4873" t="s">
        <v>10094</v>
      </c>
    </row>
    <row r="4874" spans="1:17" x14ac:dyDescent="0.3">
      <c r="A4874" t="s">
        <v>4729</v>
      </c>
      <c r="B4874" t="str">
        <f>"301103"</f>
        <v>301103</v>
      </c>
      <c r="C4874" t="s">
        <v>10095</v>
      </c>
      <c r="F4874">
        <v>1230050</v>
      </c>
      <c r="G4874">
        <v>1603626</v>
      </c>
      <c r="H4874">
        <v>1610407</v>
      </c>
      <c r="I4874">
        <v>2159995</v>
      </c>
      <c r="J4874">
        <v>2276025</v>
      </c>
      <c r="P4874">
        <v>5</v>
      </c>
      <c r="Q4874" t="s">
        <v>10096</v>
      </c>
    </row>
    <row r="4875" spans="1:17" x14ac:dyDescent="0.3">
      <c r="A4875" t="s">
        <v>4729</v>
      </c>
      <c r="B4875" t="str">
        <f>"301106"</f>
        <v>301106</v>
      </c>
      <c r="C4875" t="s">
        <v>10097</v>
      </c>
      <c r="F4875">
        <v>25469806</v>
      </c>
      <c r="G4875">
        <v>20371354</v>
      </c>
      <c r="H4875">
        <v>19678516</v>
      </c>
      <c r="I4875">
        <v>17995755</v>
      </c>
      <c r="J4875">
        <v>10823699</v>
      </c>
      <c r="P4875">
        <v>8</v>
      </c>
      <c r="Q4875" t="s">
        <v>10098</v>
      </c>
    </row>
    <row r="4876" spans="1:17" x14ac:dyDescent="0.3">
      <c r="A4876" t="s">
        <v>4729</v>
      </c>
      <c r="B4876" t="str">
        <f>"301108"</f>
        <v>301108</v>
      </c>
      <c r="C4876" t="s">
        <v>10099</v>
      </c>
      <c r="D4876" t="s">
        <v>2751</v>
      </c>
      <c r="F4876">
        <v>36382036</v>
      </c>
      <c r="G4876">
        <v>27361993</v>
      </c>
      <c r="H4876">
        <v>10888244</v>
      </c>
      <c r="I4876">
        <v>10968698</v>
      </c>
      <c r="J4876">
        <v>8589501</v>
      </c>
      <c r="P4876">
        <v>24</v>
      </c>
      <c r="Q4876" t="s">
        <v>10100</v>
      </c>
    </row>
    <row r="4877" spans="1:17" x14ac:dyDescent="0.3">
      <c r="A4877" t="s">
        <v>4729</v>
      </c>
      <c r="B4877" t="str">
        <f>"301109"</f>
        <v>301109</v>
      </c>
      <c r="C4877" t="s">
        <v>10101</v>
      </c>
      <c r="F4877">
        <v>47944369</v>
      </c>
      <c r="G4877">
        <v>30155779</v>
      </c>
      <c r="H4877">
        <v>34448895</v>
      </c>
      <c r="I4877">
        <v>21089734</v>
      </c>
      <c r="J4877">
        <v>10066773</v>
      </c>
      <c r="P4877">
        <v>3</v>
      </c>
      <c r="Q4877" t="s">
        <v>10102</v>
      </c>
    </row>
    <row r="4878" spans="1:17" x14ac:dyDescent="0.3">
      <c r="A4878" t="s">
        <v>4729</v>
      </c>
      <c r="B4878" t="str">
        <f>"301110"</f>
        <v>301110</v>
      </c>
      <c r="C4878" t="s">
        <v>10103</v>
      </c>
      <c r="F4878">
        <v>40032680</v>
      </c>
      <c r="G4878">
        <v>39234582</v>
      </c>
      <c r="H4878">
        <v>23326170</v>
      </c>
      <c r="I4878">
        <v>14089010</v>
      </c>
      <c r="J4878">
        <v>12423796</v>
      </c>
      <c r="P4878">
        <v>9</v>
      </c>
      <c r="Q4878" t="s">
        <v>10104</v>
      </c>
    </row>
    <row r="4879" spans="1:17" x14ac:dyDescent="0.3">
      <c r="A4879" t="s">
        <v>4729</v>
      </c>
      <c r="B4879" t="str">
        <f>"301111"</f>
        <v>301111</v>
      </c>
      <c r="C4879" t="s">
        <v>10105</v>
      </c>
      <c r="D4879" t="s">
        <v>143</v>
      </c>
      <c r="F4879">
        <v>10866556</v>
      </c>
      <c r="G4879">
        <v>10549590</v>
      </c>
      <c r="H4879">
        <v>7816844</v>
      </c>
      <c r="I4879">
        <v>7041077</v>
      </c>
      <c r="J4879">
        <v>6915386</v>
      </c>
      <c r="P4879">
        <v>28</v>
      </c>
      <c r="Q4879" t="s">
        <v>10106</v>
      </c>
    </row>
    <row r="4880" spans="1:17" x14ac:dyDescent="0.3">
      <c r="A4880" t="s">
        <v>4729</v>
      </c>
      <c r="B4880" t="str">
        <f>"301113"</f>
        <v>301113</v>
      </c>
      <c r="C4880" t="s">
        <v>10107</v>
      </c>
      <c r="D4880" t="s">
        <v>2445</v>
      </c>
      <c r="F4880">
        <v>14907237</v>
      </c>
      <c r="G4880">
        <v>9002803</v>
      </c>
      <c r="H4880">
        <v>4880560</v>
      </c>
      <c r="I4880">
        <v>4323606</v>
      </c>
      <c r="J4880">
        <v>4969865</v>
      </c>
      <c r="P4880">
        <v>27</v>
      </c>
      <c r="Q4880" t="s">
        <v>10108</v>
      </c>
    </row>
    <row r="4881" spans="1:17" x14ac:dyDescent="0.3">
      <c r="A4881" t="s">
        <v>4729</v>
      </c>
      <c r="B4881" t="str">
        <f>"301116"</f>
        <v>301116</v>
      </c>
      <c r="C4881" t="s">
        <v>10109</v>
      </c>
      <c r="D4881" t="s">
        <v>6260</v>
      </c>
      <c r="F4881">
        <v>21769760</v>
      </c>
      <c r="G4881">
        <v>10835259</v>
      </c>
      <c r="H4881">
        <v>4770365</v>
      </c>
      <c r="I4881">
        <v>5931452</v>
      </c>
      <c r="J4881">
        <v>4345539</v>
      </c>
      <c r="K4881">
        <v>3866873</v>
      </c>
      <c r="P4881">
        <v>11</v>
      </c>
      <c r="Q4881" t="s">
        <v>10110</v>
      </c>
    </row>
    <row r="4882" spans="1:17" x14ac:dyDescent="0.3">
      <c r="A4882" t="s">
        <v>4729</v>
      </c>
      <c r="B4882" t="str">
        <f>"301117"</f>
        <v>301117</v>
      </c>
      <c r="C4882" t="s">
        <v>10111</v>
      </c>
      <c r="D4882" t="s">
        <v>2980</v>
      </c>
      <c r="F4882">
        <v>29144552</v>
      </c>
      <c r="G4882">
        <v>14229360</v>
      </c>
      <c r="H4882">
        <v>7990032</v>
      </c>
      <c r="I4882">
        <v>5530924</v>
      </c>
      <c r="J4882">
        <v>4863807</v>
      </c>
      <c r="P4882">
        <v>9</v>
      </c>
      <c r="Q4882" t="s">
        <v>10112</v>
      </c>
    </row>
    <row r="4883" spans="1:17" x14ac:dyDescent="0.3">
      <c r="A4883" t="s">
        <v>4729</v>
      </c>
      <c r="B4883" t="str">
        <f>"301118"</f>
        <v>301118</v>
      </c>
      <c r="C4883" t="s">
        <v>10113</v>
      </c>
      <c r="D4883" t="s">
        <v>1233</v>
      </c>
      <c r="F4883">
        <v>37326621</v>
      </c>
      <c r="G4883">
        <v>27115269</v>
      </c>
      <c r="H4883">
        <v>30080535</v>
      </c>
      <c r="I4883">
        <v>30331503</v>
      </c>
      <c r="J4883">
        <v>21542570</v>
      </c>
      <c r="P4883">
        <v>16</v>
      </c>
      <c r="Q4883" t="s">
        <v>10114</v>
      </c>
    </row>
    <row r="4884" spans="1:17" x14ac:dyDescent="0.3">
      <c r="A4884" t="s">
        <v>4729</v>
      </c>
      <c r="B4884" t="str">
        <f>"301119"</f>
        <v>301119</v>
      </c>
      <c r="C4884" t="s">
        <v>10115</v>
      </c>
      <c r="D4884" t="s">
        <v>348</v>
      </c>
      <c r="F4884">
        <v>16088097</v>
      </c>
      <c r="G4884">
        <v>12616169</v>
      </c>
      <c r="H4884">
        <v>12698156</v>
      </c>
      <c r="I4884">
        <v>12870466</v>
      </c>
      <c r="J4884">
        <v>10852521</v>
      </c>
      <c r="P4884">
        <v>12</v>
      </c>
      <c r="Q4884" t="s">
        <v>10116</v>
      </c>
    </row>
    <row r="4885" spans="1:17" x14ac:dyDescent="0.3">
      <c r="A4885" t="s">
        <v>4729</v>
      </c>
      <c r="B4885" t="str">
        <f>"301120"</f>
        <v>301120</v>
      </c>
      <c r="C4885" t="s">
        <v>10117</v>
      </c>
      <c r="F4885">
        <v>16662643</v>
      </c>
      <c r="G4885">
        <v>15671995</v>
      </c>
      <c r="H4885">
        <v>12911150</v>
      </c>
      <c r="I4885">
        <v>9670132</v>
      </c>
      <c r="J4885">
        <v>10293941</v>
      </c>
      <c r="P4885">
        <v>7</v>
      </c>
      <c r="Q4885" t="s">
        <v>10118</v>
      </c>
    </row>
    <row r="4886" spans="1:17" x14ac:dyDescent="0.3">
      <c r="A4886" t="s">
        <v>4729</v>
      </c>
      <c r="B4886" t="str">
        <f>"301122"</f>
        <v>301122</v>
      </c>
      <c r="C4886" t="s">
        <v>10119</v>
      </c>
      <c r="F4886">
        <v>18439988</v>
      </c>
      <c r="G4886">
        <v>18700760</v>
      </c>
      <c r="H4886">
        <v>11407160</v>
      </c>
      <c r="I4886">
        <v>8472251</v>
      </c>
      <c r="J4886">
        <v>7243698</v>
      </c>
      <c r="P4886">
        <v>14</v>
      </c>
      <c r="Q4886" t="s">
        <v>10120</v>
      </c>
    </row>
    <row r="4887" spans="1:17" x14ac:dyDescent="0.3">
      <c r="A4887" t="s">
        <v>4729</v>
      </c>
      <c r="B4887" t="str">
        <f>"301123"</f>
        <v>301123</v>
      </c>
      <c r="C4887" t="s">
        <v>10121</v>
      </c>
      <c r="F4887">
        <v>103352744</v>
      </c>
      <c r="G4887">
        <v>74310168</v>
      </c>
      <c r="H4887">
        <v>66579586</v>
      </c>
      <c r="I4887">
        <v>76590678</v>
      </c>
      <c r="J4887">
        <v>60675452</v>
      </c>
      <c r="P4887">
        <v>6</v>
      </c>
      <c r="Q4887" t="s">
        <v>10122</v>
      </c>
    </row>
    <row r="4888" spans="1:17" x14ac:dyDescent="0.3">
      <c r="A4888" t="s">
        <v>4729</v>
      </c>
      <c r="B4888" t="str">
        <f>"301126"</f>
        <v>301126</v>
      </c>
      <c r="C4888" t="s">
        <v>10123</v>
      </c>
      <c r="D4888" t="s">
        <v>125</v>
      </c>
      <c r="F4888">
        <v>0</v>
      </c>
      <c r="G4888">
        <v>0</v>
      </c>
      <c r="H4888">
        <v>0</v>
      </c>
      <c r="I4888">
        <v>0</v>
      </c>
      <c r="J4888">
        <v>0</v>
      </c>
      <c r="P4888">
        <v>14</v>
      </c>
      <c r="Q4888" t="s">
        <v>10124</v>
      </c>
    </row>
    <row r="4889" spans="1:17" x14ac:dyDescent="0.3">
      <c r="A4889" t="s">
        <v>4729</v>
      </c>
      <c r="B4889" t="str">
        <f>"301127"</f>
        <v>301127</v>
      </c>
      <c r="C4889" t="s">
        <v>10125</v>
      </c>
      <c r="D4889" t="s">
        <v>33</v>
      </c>
      <c r="F4889">
        <v>19171155</v>
      </c>
      <c r="G4889">
        <v>15477531</v>
      </c>
      <c r="H4889">
        <v>15001428</v>
      </c>
      <c r="I4889">
        <v>11022470</v>
      </c>
      <c r="J4889">
        <v>8917077</v>
      </c>
      <c r="P4889">
        <v>13</v>
      </c>
      <c r="Q4889" t="s">
        <v>10126</v>
      </c>
    </row>
    <row r="4890" spans="1:17" x14ac:dyDescent="0.3">
      <c r="A4890" t="s">
        <v>4729</v>
      </c>
      <c r="B4890" t="str">
        <f>"301128"</f>
        <v>301128</v>
      </c>
      <c r="C4890" t="s">
        <v>10127</v>
      </c>
      <c r="D4890" t="s">
        <v>741</v>
      </c>
      <c r="F4890">
        <v>44035583</v>
      </c>
      <c r="G4890">
        <v>34501830</v>
      </c>
      <c r="H4890">
        <v>27566789</v>
      </c>
      <c r="I4890">
        <v>20149125</v>
      </c>
      <c r="J4890">
        <v>9062084</v>
      </c>
      <c r="P4890">
        <v>12</v>
      </c>
      <c r="Q4890" t="s">
        <v>10128</v>
      </c>
    </row>
    <row r="4891" spans="1:17" x14ac:dyDescent="0.3">
      <c r="A4891" t="s">
        <v>4729</v>
      </c>
      <c r="B4891" t="str">
        <f>"301129"</f>
        <v>301129</v>
      </c>
      <c r="C4891" t="s">
        <v>10129</v>
      </c>
      <c r="D4891" t="s">
        <v>2566</v>
      </c>
      <c r="F4891">
        <v>36098503</v>
      </c>
      <c r="G4891">
        <v>29372637</v>
      </c>
      <c r="H4891">
        <v>19816531</v>
      </c>
      <c r="I4891">
        <v>13202337</v>
      </c>
      <c r="J4891">
        <v>8258213</v>
      </c>
      <c r="P4891">
        <v>22</v>
      </c>
      <c r="Q4891" t="s">
        <v>10130</v>
      </c>
    </row>
    <row r="4892" spans="1:17" x14ac:dyDescent="0.3">
      <c r="A4892" t="s">
        <v>4729</v>
      </c>
      <c r="B4892" t="str">
        <f>"301130"</f>
        <v>301130</v>
      </c>
      <c r="C4892" t="s">
        <v>10131</v>
      </c>
      <c r="F4892">
        <v>13314146</v>
      </c>
      <c r="G4892">
        <v>4365691</v>
      </c>
      <c r="H4892">
        <v>16562508</v>
      </c>
      <c r="I4892">
        <v>20553629</v>
      </c>
      <c r="J4892">
        <v>11988895</v>
      </c>
      <c r="P4892">
        <v>7</v>
      </c>
      <c r="Q4892" t="s">
        <v>10132</v>
      </c>
    </row>
    <row r="4893" spans="1:17" x14ac:dyDescent="0.3">
      <c r="A4893" t="s">
        <v>4729</v>
      </c>
      <c r="B4893" t="str">
        <f>"301131"</f>
        <v>301131</v>
      </c>
      <c r="C4893" t="s">
        <v>10133</v>
      </c>
      <c r="F4893">
        <v>41506914</v>
      </c>
      <c r="G4893">
        <v>36233768</v>
      </c>
      <c r="H4893">
        <v>30459988</v>
      </c>
      <c r="I4893">
        <v>26097593</v>
      </c>
      <c r="J4893">
        <v>21886818</v>
      </c>
      <c r="P4893">
        <v>4</v>
      </c>
      <c r="Q4893" t="s">
        <v>10134</v>
      </c>
    </row>
    <row r="4894" spans="1:17" x14ac:dyDescent="0.3">
      <c r="A4894" t="s">
        <v>4729</v>
      </c>
      <c r="B4894" t="str">
        <f>"301133"</f>
        <v>301133</v>
      </c>
      <c r="C4894" t="s">
        <v>10135</v>
      </c>
      <c r="D4894" t="s">
        <v>191</v>
      </c>
      <c r="F4894">
        <v>24317769</v>
      </c>
      <c r="G4894">
        <v>14538176</v>
      </c>
      <c r="H4894">
        <v>17058088</v>
      </c>
      <c r="I4894">
        <v>15026003</v>
      </c>
      <c r="J4894">
        <v>11704492</v>
      </c>
      <c r="P4894">
        <v>15</v>
      </c>
      <c r="Q4894" t="s">
        <v>10136</v>
      </c>
    </row>
    <row r="4895" spans="1:17" x14ac:dyDescent="0.3">
      <c r="A4895" t="s">
        <v>4729</v>
      </c>
      <c r="B4895" t="str">
        <f>"301135"</f>
        <v>301135</v>
      </c>
      <c r="C4895" t="s">
        <v>10137</v>
      </c>
      <c r="F4895">
        <v>65366663</v>
      </c>
      <c r="G4895">
        <v>59482116</v>
      </c>
      <c r="H4895">
        <v>46043740</v>
      </c>
      <c r="I4895">
        <v>38759975</v>
      </c>
      <c r="J4895">
        <v>34394738</v>
      </c>
      <c r="P4895">
        <v>1</v>
      </c>
      <c r="Q4895" t="s">
        <v>10138</v>
      </c>
    </row>
    <row r="4896" spans="1:17" x14ac:dyDescent="0.3">
      <c r="A4896" t="s">
        <v>4729</v>
      </c>
      <c r="B4896" t="str">
        <f>"301136"</f>
        <v>301136</v>
      </c>
      <c r="C4896" t="s">
        <v>10139</v>
      </c>
      <c r="D4896" t="s">
        <v>1272</v>
      </c>
      <c r="F4896">
        <v>26399686</v>
      </c>
      <c r="G4896">
        <v>24201604</v>
      </c>
      <c r="H4896">
        <v>18079544</v>
      </c>
      <c r="I4896">
        <v>12225960</v>
      </c>
      <c r="J4896">
        <v>6540502</v>
      </c>
      <c r="P4896">
        <v>9</v>
      </c>
      <c r="Q4896" t="s">
        <v>10140</v>
      </c>
    </row>
    <row r="4897" spans="1:17" x14ac:dyDescent="0.3">
      <c r="A4897" t="s">
        <v>4729</v>
      </c>
      <c r="B4897" t="str">
        <f>"301137"</f>
        <v>301137</v>
      </c>
      <c r="C4897" t="s">
        <v>10141</v>
      </c>
      <c r="F4897">
        <v>52419333</v>
      </c>
      <c r="G4897">
        <v>43161405</v>
      </c>
      <c r="H4897">
        <v>42209299</v>
      </c>
      <c r="I4897">
        <v>35050908</v>
      </c>
      <c r="J4897">
        <v>29543211</v>
      </c>
      <c r="P4897">
        <v>3</v>
      </c>
      <c r="Q4897" t="s">
        <v>10142</v>
      </c>
    </row>
    <row r="4898" spans="1:17" x14ac:dyDescent="0.3">
      <c r="A4898" t="s">
        <v>4729</v>
      </c>
      <c r="B4898" t="str">
        <f>"301138"</f>
        <v>301138</v>
      </c>
      <c r="C4898" t="s">
        <v>10143</v>
      </c>
      <c r="D4898" t="s">
        <v>741</v>
      </c>
      <c r="F4898">
        <v>25191526</v>
      </c>
      <c r="G4898">
        <v>25865106</v>
      </c>
      <c r="H4898">
        <v>23473193</v>
      </c>
      <c r="I4898">
        <v>19947122</v>
      </c>
      <c r="J4898">
        <v>18222767</v>
      </c>
      <c r="P4898">
        <v>16</v>
      </c>
      <c r="Q4898" t="s">
        <v>10144</v>
      </c>
    </row>
    <row r="4899" spans="1:17" x14ac:dyDescent="0.3">
      <c r="A4899" t="s">
        <v>4729</v>
      </c>
      <c r="B4899" t="str">
        <f>"301148"</f>
        <v>301148</v>
      </c>
      <c r="C4899" t="s">
        <v>10145</v>
      </c>
      <c r="F4899">
        <v>49512874</v>
      </c>
      <c r="G4899">
        <v>35753555</v>
      </c>
      <c r="H4899">
        <v>27401869</v>
      </c>
      <c r="I4899">
        <v>17675868</v>
      </c>
      <c r="J4899">
        <v>8367713</v>
      </c>
      <c r="P4899">
        <v>1</v>
      </c>
      <c r="Q4899" t="s">
        <v>10146</v>
      </c>
    </row>
    <row r="4900" spans="1:17" x14ac:dyDescent="0.3">
      <c r="A4900" t="s">
        <v>4729</v>
      </c>
      <c r="B4900" t="str">
        <f>"301149"</f>
        <v>301149</v>
      </c>
      <c r="C4900" t="s">
        <v>10147</v>
      </c>
      <c r="D4900" t="s">
        <v>386</v>
      </c>
      <c r="F4900">
        <v>6869627</v>
      </c>
      <c r="G4900">
        <v>3965773</v>
      </c>
      <c r="H4900">
        <v>4692019</v>
      </c>
      <c r="I4900">
        <v>4757346</v>
      </c>
      <c r="J4900">
        <v>4552818</v>
      </c>
      <c r="P4900">
        <v>17</v>
      </c>
      <c r="Q4900" t="s">
        <v>10148</v>
      </c>
    </row>
    <row r="4901" spans="1:17" x14ac:dyDescent="0.3">
      <c r="A4901" t="s">
        <v>4729</v>
      </c>
      <c r="B4901" t="str">
        <f>"301150"</f>
        <v>301150</v>
      </c>
      <c r="C4901" t="s">
        <v>10149</v>
      </c>
      <c r="F4901">
        <v>80875452</v>
      </c>
      <c r="G4901">
        <v>45991656</v>
      </c>
      <c r="H4901">
        <v>31432015</v>
      </c>
      <c r="I4901">
        <v>23583848</v>
      </c>
      <c r="J4901">
        <v>17781468</v>
      </c>
      <c r="P4901">
        <v>7</v>
      </c>
      <c r="Q4901" t="s">
        <v>10150</v>
      </c>
    </row>
    <row r="4902" spans="1:17" x14ac:dyDescent="0.3">
      <c r="A4902" t="s">
        <v>4729</v>
      </c>
      <c r="B4902" t="str">
        <f>"301151"</f>
        <v>301151</v>
      </c>
      <c r="C4902" t="s">
        <v>10151</v>
      </c>
      <c r="F4902">
        <v>43037343</v>
      </c>
      <c r="G4902">
        <v>40866559</v>
      </c>
      <c r="H4902">
        <v>37718913</v>
      </c>
      <c r="I4902">
        <v>32071338</v>
      </c>
      <c r="J4902">
        <v>24064305</v>
      </c>
      <c r="P4902">
        <v>5</v>
      </c>
      <c r="Q4902" t="s">
        <v>10152</v>
      </c>
    </row>
    <row r="4903" spans="1:17" x14ac:dyDescent="0.3">
      <c r="A4903" t="s">
        <v>4729</v>
      </c>
      <c r="B4903" t="str">
        <f>"301153"</f>
        <v>301153</v>
      </c>
      <c r="C4903" t="s">
        <v>10153</v>
      </c>
      <c r="F4903">
        <v>130559492</v>
      </c>
      <c r="G4903">
        <v>99584480</v>
      </c>
      <c r="H4903">
        <v>66424218</v>
      </c>
      <c r="I4903">
        <v>41927933</v>
      </c>
      <c r="J4903">
        <v>39348905</v>
      </c>
      <c r="Q4903" t="s">
        <v>10154</v>
      </c>
    </row>
    <row r="4904" spans="1:17" x14ac:dyDescent="0.3">
      <c r="A4904" t="s">
        <v>4729</v>
      </c>
      <c r="B4904" t="str">
        <f>"301155"</f>
        <v>301155</v>
      </c>
      <c r="C4904" t="s">
        <v>10155</v>
      </c>
      <c r="D4904" t="s">
        <v>950</v>
      </c>
      <c r="F4904">
        <v>17653627</v>
      </c>
      <c r="G4904">
        <v>17311475</v>
      </c>
      <c r="H4904">
        <v>10195293</v>
      </c>
      <c r="I4904">
        <v>5875190</v>
      </c>
      <c r="J4904">
        <v>5552460</v>
      </c>
      <c r="P4904">
        <v>40</v>
      </c>
      <c r="Q4904" t="s">
        <v>10156</v>
      </c>
    </row>
    <row r="4905" spans="1:17" x14ac:dyDescent="0.3">
      <c r="A4905" t="s">
        <v>4729</v>
      </c>
      <c r="B4905" t="str">
        <f>"301158"</f>
        <v>301158</v>
      </c>
      <c r="C4905" t="s">
        <v>10157</v>
      </c>
      <c r="D4905" t="s">
        <v>395</v>
      </c>
      <c r="F4905">
        <v>13670408</v>
      </c>
      <c r="G4905">
        <v>12897426</v>
      </c>
      <c r="H4905">
        <v>15583145</v>
      </c>
      <c r="I4905">
        <v>10563303</v>
      </c>
      <c r="J4905">
        <v>7320354</v>
      </c>
      <c r="P4905">
        <v>12</v>
      </c>
      <c r="Q4905" t="s">
        <v>10158</v>
      </c>
    </row>
    <row r="4906" spans="1:17" x14ac:dyDescent="0.3">
      <c r="A4906" t="s">
        <v>4729</v>
      </c>
      <c r="B4906" t="str">
        <f>"301159"</f>
        <v>301159</v>
      </c>
      <c r="C4906" t="s">
        <v>10159</v>
      </c>
      <c r="D4906" t="s">
        <v>945</v>
      </c>
      <c r="F4906">
        <v>41137251</v>
      </c>
      <c r="G4906">
        <v>41468650</v>
      </c>
      <c r="H4906">
        <v>36109944</v>
      </c>
      <c r="I4906">
        <v>26789214</v>
      </c>
      <c r="J4906">
        <v>25179590</v>
      </c>
      <c r="P4906">
        <v>10</v>
      </c>
      <c r="Q4906" t="s">
        <v>10160</v>
      </c>
    </row>
    <row r="4907" spans="1:17" x14ac:dyDescent="0.3">
      <c r="A4907" t="s">
        <v>4729</v>
      </c>
      <c r="B4907" t="str">
        <f>"301162"</f>
        <v>301162</v>
      </c>
      <c r="C4907" t="s">
        <v>10161</v>
      </c>
      <c r="F4907">
        <v>40799355</v>
      </c>
      <c r="G4907">
        <v>28695622</v>
      </c>
      <c r="H4907">
        <v>28374326</v>
      </c>
      <c r="I4907">
        <v>27884929</v>
      </c>
      <c r="J4907">
        <v>22754901</v>
      </c>
      <c r="P4907">
        <v>2</v>
      </c>
      <c r="Q4907" t="s">
        <v>10162</v>
      </c>
    </row>
    <row r="4908" spans="1:17" x14ac:dyDescent="0.3">
      <c r="A4908" t="s">
        <v>4729</v>
      </c>
      <c r="B4908" t="str">
        <f>"301163"</f>
        <v>301163</v>
      </c>
      <c r="C4908" t="s">
        <v>10163</v>
      </c>
      <c r="F4908">
        <v>39785065</v>
      </c>
      <c r="G4908">
        <v>35482964</v>
      </c>
      <c r="H4908">
        <v>29340682</v>
      </c>
      <c r="I4908">
        <v>21276781</v>
      </c>
      <c r="J4908">
        <v>19997503</v>
      </c>
      <c r="P4908">
        <v>3</v>
      </c>
      <c r="Q4908" t="s">
        <v>10164</v>
      </c>
    </row>
    <row r="4909" spans="1:17" x14ac:dyDescent="0.3">
      <c r="A4909" t="s">
        <v>4729</v>
      </c>
      <c r="B4909" t="str">
        <f>"301166"</f>
        <v>301166</v>
      </c>
      <c r="C4909" t="s">
        <v>10165</v>
      </c>
      <c r="D4909" t="s">
        <v>1379</v>
      </c>
      <c r="F4909">
        <v>16768108</v>
      </c>
      <c r="G4909">
        <v>8733650</v>
      </c>
      <c r="H4909">
        <v>8633971</v>
      </c>
      <c r="I4909">
        <v>5898780</v>
      </c>
      <c r="J4909">
        <v>3174400</v>
      </c>
      <c r="P4909">
        <v>21</v>
      </c>
      <c r="Q4909" t="s">
        <v>10166</v>
      </c>
    </row>
    <row r="4910" spans="1:17" x14ac:dyDescent="0.3">
      <c r="A4910" t="s">
        <v>4729</v>
      </c>
      <c r="B4910" t="str">
        <f>"301167"</f>
        <v>301167</v>
      </c>
      <c r="C4910" t="s">
        <v>10167</v>
      </c>
      <c r="D4910" t="s">
        <v>1272</v>
      </c>
      <c r="F4910">
        <v>11773596</v>
      </c>
      <c r="G4910">
        <v>12106456</v>
      </c>
      <c r="H4910">
        <v>10471618</v>
      </c>
      <c r="I4910">
        <v>9482000</v>
      </c>
      <c r="J4910">
        <v>9735530</v>
      </c>
      <c r="P4910">
        <v>17</v>
      </c>
      <c r="Q4910" t="s">
        <v>10168</v>
      </c>
    </row>
    <row r="4911" spans="1:17" x14ac:dyDescent="0.3">
      <c r="A4911" t="s">
        <v>4729</v>
      </c>
      <c r="B4911" t="str">
        <f>"301168"</f>
        <v>301168</v>
      </c>
      <c r="C4911" t="s">
        <v>10169</v>
      </c>
      <c r="D4911" t="s">
        <v>478</v>
      </c>
      <c r="F4911">
        <v>39810956</v>
      </c>
      <c r="G4911">
        <v>29155078</v>
      </c>
      <c r="H4911">
        <v>28771666</v>
      </c>
      <c r="I4911">
        <v>26826599</v>
      </c>
      <c r="J4911">
        <v>27333571</v>
      </c>
      <c r="P4911">
        <v>14</v>
      </c>
      <c r="Q4911" t="s">
        <v>10170</v>
      </c>
    </row>
    <row r="4912" spans="1:17" x14ac:dyDescent="0.3">
      <c r="A4912" t="s">
        <v>4729</v>
      </c>
      <c r="B4912" t="str">
        <f>"301169"</f>
        <v>301169</v>
      </c>
      <c r="C4912" t="s">
        <v>10171</v>
      </c>
      <c r="D4912" t="s">
        <v>9832</v>
      </c>
      <c r="F4912">
        <v>63523785</v>
      </c>
      <c r="G4912">
        <v>51970442</v>
      </c>
      <c r="H4912">
        <v>33233089</v>
      </c>
      <c r="I4912">
        <v>25346629</v>
      </c>
      <c r="J4912">
        <v>15414287</v>
      </c>
      <c r="P4912">
        <v>15</v>
      </c>
      <c r="Q4912" t="s">
        <v>10172</v>
      </c>
    </row>
    <row r="4913" spans="1:17" x14ac:dyDescent="0.3">
      <c r="A4913" t="s">
        <v>4729</v>
      </c>
      <c r="B4913" t="str">
        <f>"301177"</f>
        <v>301177</v>
      </c>
      <c r="C4913" t="s">
        <v>10173</v>
      </c>
      <c r="D4913" t="s">
        <v>1238</v>
      </c>
      <c r="F4913">
        <v>16822043</v>
      </c>
      <c r="G4913">
        <v>16795857</v>
      </c>
      <c r="H4913">
        <v>12964577</v>
      </c>
      <c r="I4913">
        <v>10724052</v>
      </c>
      <c r="J4913">
        <v>6841926</v>
      </c>
      <c r="P4913">
        <v>30</v>
      </c>
      <c r="Q4913" t="s">
        <v>10174</v>
      </c>
    </row>
    <row r="4914" spans="1:17" x14ac:dyDescent="0.3">
      <c r="A4914" t="s">
        <v>4729</v>
      </c>
      <c r="B4914" t="str">
        <f>"301178"</f>
        <v>301178</v>
      </c>
      <c r="C4914" t="s">
        <v>10175</v>
      </c>
      <c r="D4914" t="s">
        <v>316</v>
      </c>
      <c r="F4914">
        <v>17501476</v>
      </c>
      <c r="G4914">
        <v>16091402</v>
      </c>
      <c r="H4914">
        <v>15523711</v>
      </c>
      <c r="I4914">
        <v>15471924</v>
      </c>
      <c r="J4914">
        <v>13757264</v>
      </c>
      <c r="P4914">
        <v>15</v>
      </c>
      <c r="Q4914" t="s">
        <v>10176</v>
      </c>
    </row>
    <row r="4915" spans="1:17" x14ac:dyDescent="0.3">
      <c r="A4915" t="s">
        <v>4729</v>
      </c>
      <c r="B4915" t="str">
        <f>"301179"</f>
        <v>301179</v>
      </c>
      <c r="C4915" t="s">
        <v>10177</v>
      </c>
      <c r="D4915" t="s">
        <v>610</v>
      </c>
      <c r="F4915">
        <v>24434317</v>
      </c>
      <c r="G4915">
        <v>21321924</v>
      </c>
      <c r="H4915">
        <v>13582849</v>
      </c>
      <c r="I4915">
        <v>11598591</v>
      </c>
      <c r="J4915">
        <v>8568644</v>
      </c>
      <c r="P4915">
        <v>17</v>
      </c>
      <c r="Q4915" t="s">
        <v>10178</v>
      </c>
    </row>
    <row r="4916" spans="1:17" x14ac:dyDescent="0.3">
      <c r="A4916" t="s">
        <v>4729</v>
      </c>
      <c r="B4916" t="str">
        <f>"301180"</f>
        <v>301180</v>
      </c>
      <c r="C4916" t="s">
        <v>10179</v>
      </c>
      <c r="D4916" t="s">
        <v>313</v>
      </c>
      <c r="F4916">
        <v>58206237</v>
      </c>
      <c r="G4916">
        <v>38924994</v>
      </c>
      <c r="H4916">
        <v>29665181</v>
      </c>
      <c r="I4916">
        <v>23523806</v>
      </c>
      <c r="J4916">
        <v>16436510</v>
      </c>
      <c r="P4916">
        <v>15</v>
      </c>
      <c r="Q4916" t="s">
        <v>10180</v>
      </c>
    </row>
    <row r="4917" spans="1:17" x14ac:dyDescent="0.3">
      <c r="A4917" t="s">
        <v>4729</v>
      </c>
      <c r="B4917" t="str">
        <f>"301181"</f>
        <v>301181</v>
      </c>
      <c r="C4917" t="s">
        <v>10181</v>
      </c>
      <c r="F4917">
        <v>20506560</v>
      </c>
      <c r="G4917">
        <v>21596260</v>
      </c>
      <c r="H4917">
        <v>17522283</v>
      </c>
      <c r="I4917">
        <v>10547051</v>
      </c>
      <c r="J4917">
        <v>9610585</v>
      </c>
      <c r="P4917">
        <v>5</v>
      </c>
      <c r="Q4917" t="s">
        <v>10182</v>
      </c>
    </row>
    <row r="4918" spans="1:17" x14ac:dyDescent="0.3">
      <c r="A4918" t="s">
        <v>4729</v>
      </c>
      <c r="B4918" t="str">
        <f>"301182"</f>
        <v>301182</v>
      </c>
      <c r="C4918" t="s">
        <v>10183</v>
      </c>
      <c r="D4918" t="s">
        <v>313</v>
      </c>
      <c r="F4918">
        <v>21931902</v>
      </c>
      <c r="G4918">
        <v>18126834</v>
      </c>
      <c r="H4918">
        <v>15857077</v>
      </c>
      <c r="I4918">
        <v>12304934</v>
      </c>
      <c r="J4918">
        <v>11441786</v>
      </c>
      <c r="P4918">
        <v>11</v>
      </c>
      <c r="Q4918" t="s">
        <v>10184</v>
      </c>
    </row>
    <row r="4919" spans="1:17" x14ac:dyDescent="0.3">
      <c r="A4919" t="s">
        <v>4729</v>
      </c>
      <c r="B4919" t="str">
        <f>"301185"</f>
        <v>301185</v>
      </c>
      <c r="C4919" t="s">
        <v>10185</v>
      </c>
      <c r="D4919" t="s">
        <v>316</v>
      </c>
      <c r="F4919">
        <v>25321978</v>
      </c>
      <c r="G4919">
        <v>19691377</v>
      </c>
      <c r="H4919">
        <v>23373465</v>
      </c>
      <c r="I4919">
        <v>20355665</v>
      </c>
      <c r="J4919">
        <v>17732956</v>
      </c>
      <c r="P4919">
        <v>20</v>
      </c>
      <c r="Q4919" t="s">
        <v>10186</v>
      </c>
    </row>
    <row r="4920" spans="1:17" x14ac:dyDescent="0.3">
      <c r="A4920" t="s">
        <v>4729</v>
      </c>
      <c r="B4920" t="str">
        <f>"301186"</f>
        <v>301186</v>
      </c>
      <c r="C4920" t="s">
        <v>10187</v>
      </c>
      <c r="D4920" t="s">
        <v>985</v>
      </c>
      <c r="F4920">
        <v>30574762</v>
      </c>
      <c r="G4920">
        <v>34592379</v>
      </c>
      <c r="H4920">
        <v>35092419</v>
      </c>
      <c r="I4920">
        <v>35104962</v>
      </c>
      <c r="J4920">
        <v>34811361</v>
      </c>
      <c r="P4920">
        <v>10</v>
      </c>
      <c r="Q4920" t="s">
        <v>10188</v>
      </c>
    </row>
    <row r="4921" spans="1:17" x14ac:dyDescent="0.3">
      <c r="A4921" t="s">
        <v>4729</v>
      </c>
      <c r="B4921" t="str">
        <f>"301187"</f>
        <v>301187</v>
      </c>
      <c r="C4921" t="s">
        <v>10189</v>
      </c>
      <c r="F4921">
        <v>34694487</v>
      </c>
      <c r="G4921">
        <v>25443687</v>
      </c>
      <c r="H4921">
        <v>20637572</v>
      </c>
      <c r="I4921">
        <v>27477853</v>
      </c>
      <c r="J4921">
        <v>20809525</v>
      </c>
      <c r="P4921">
        <v>1</v>
      </c>
      <c r="Q4921" t="s">
        <v>10190</v>
      </c>
    </row>
    <row r="4922" spans="1:17" x14ac:dyDescent="0.3">
      <c r="A4922" t="s">
        <v>4729</v>
      </c>
      <c r="B4922" t="str">
        <f>"301188"</f>
        <v>301188</v>
      </c>
      <c r="C4922" t="s">
        <v>10191</v>
      </c>
      <c r="D4922" t="s">
        <v>2445</v>
      </c>
      <c r="F4922">
        <v>32503619</v>
      </c>
      <c r="G4922">
        <v>24264296</v>
      </c>
      <c r="H4922">
        <v>27890015</v>
      </c>
      <c r="I4922">
        <v>25228828</v>
      </c>
      <c r="J4922">
        <v>19422545</v>
      </c>
      <c r="P4922">
        <v>18</v>
      </c>
      <c r="Q4922" t="s">
        <v>10192</v>
      </c>
    </row>
    <row r="4923" spans="1:17" x14ac:dyDescent="0.3">
      <c r="A4923" t="s">
        <v>4729</v>
      </c>
      <c r="B4923" t="str">
        <f>"301189"</f>
        <v>301189</v>
      </c>
      <c r="C4923" t="s">
        <v>10193</v>
      </c>
      <c r="D4923" t="s">
        <v>3526</v>
      </c>
      <c r="F4923">
        <v>55260609</v>
      </c>
      <c r="G4923">
        <v>54733553</v>
      </c>
      <c r="H4923">
        <v>39281240</v>
      </c>
      <c r="I4923">
        <v>23667875</v>
      </c>
      <c r="J4923">
        <v>18563832</v>
      </c>
      <c r="P4923">
        <v>10</v>
      </c>
      <c r="Q4923" t="s">
        <v>10194</v>
      </c>
    </row>
    <row r="4924" spans="1:17" x14ac:dyDescent="0.3">
      <c r="A4924" t="s">
        <v>4729</v>
      </c>
      <c r="B4924" t="str">
        <f>"301190"</f>
        <v>301190</v>
      </c>
      <c r="C4924" t="s">
        <v>10195</v>
      </c>
      <c r="D4924" t="s">
        <v>779</v>
      </c>
      <c r="F4924">
        <v>17997770</v>
      </c>
      <c r="G4924">
        <v>12522633</v>
      </c>
      <c r="H4924">
        <v>16204716</v>
      </c>
      <c r="I4924">
        <v>15743509</v>
      </c>
      <c r="J4924">
        <v>11114219</v>
      </c>
      <c r="P4924">
        <v>11</v>
      </c>
      <c r="Q4924" t="s">
        <v>10196</v>
      </c>
    </row>
    <row r="4925" spans="1:17" x14ac:dyDescent="0.3">
      <c r="A4925" t="s">
        <v>4729</v>
      </c>
      <c r="B4925" t="str">
        <f>"301193"</f>
        <v>301193</v>
      </c>
      <c r="C4925" t="s">
        <v>10197</v>
      </c>
      <c r="D4925" t="s">
        <v>2445</v>
      </c>
      <c r="F4925">
        <v>38120481</v>
      </c>
      <c r="G4925">
        <v>38546879</v>
      </c>
      <c r="H4925">
        <v>37990364</v>
      </c>
      <c r="I4925">
        <v>28708500</v>
      </c>
      <c r="J4925">
        <v>26276738</v>
      </c>
      <c r="P4925">
        <v>15</v>
      </c>
      <c r="Q4925" t="s">
        <v>10198</v>
      </c>
    </row>
    <row r="4926" spans="1:17" x14ac:dyDescent="0.3">
      <c r="A4926" t="s">
        <v>4729</v>
      </c>
      <c r="B4926" t="str">
        <f>"301196"</f>
        <v>301196</v>
      </c>
      <c r="C4926" t="s">
        <v>10199</v>
      </c>
      <c r="D4926" t="s">
        <v>1192</v>
      </c>
      <c r="F4926">
        <v>43848564</v>
      </c>
      <c r="G4926">
        <v>32608063</v>
      </c>
      <c r="H4926">
        <v>33822254</v>
      </c>
      <c r="I4926">
        <v>25901257</v>
      </c>
      <c r="J4926">
        <v>20251790</v>
      </c>
      <c r="P4926">
        <v>7</v>
      </c>
      <c r="Q4926" t="s">
        <v>10200</v>
      </c>
    </row>
    <row r="4927" spans="1:17" x14ac:dyDescent="0.3">
      <c r="A4927" t="s">
        <v>4729</v>
      </c>
      <c r="B4927" t="str">
        <f>"301198"</f>
        <v>301198</v>
      </c>
      <c r="C4927" t="s">
        <v>10201</v>
      </c>
      <c r="D4927" t="s">
        <v>485</v>
      </c>
      <c r="F4927">
        <v>9950802</v>
      </c>
      <c r="G4927">
        <v>8070870</v>
      </c>
      <c r="H4927">
        <v>8940103</v>
      </c>
      <c r="I4927">
        <v>10527040</v>
      </c>
      <c r="J4927">
        <v>8396120</v>
      </c>
      <c r="P4927">
        <v>16</v>
      </c>
      <c r="Q4927" t="s">
        <v>10202</v>
      </c>
    </row>
    <row r="4928" spans="1:17" x14ac:dyDescent="0.3">
      <c r="A4928" t="s">
        <v>4729</v>
      </c>
      <c r="B4928" t="str">
        <f>"301199"</f>
        <v>301199</v>
      </c>
      <c r="C4928" t="s">
        <v>10203</v>
      </c>
      <c r="D4928" t="s">
        <v>2938</v>
      </c>
      <c r="F4928">
        <v>25684936</v>
      </c>
      <c r="G4928">
        <v>20913454</v>
      </c>
      <c r="H4928">
        <v>18154155</v>
      </c>
      <c r="I4928">
        <v>16279863</v>
      </c>
      <c r="J4928">
        <v>14579395</v>
      </c>
      <c r="K4928">
        <v>11511997</v>
      </c>
      <c r="P4928">
        <v>10</v>
      </c>
      <c r="Q4928" t="s">
        <v>10204</v>
      </c>
    </row>
    <row r="4929" spans="1:17" x14ac:dyDescent="0.3">
      <c r="A4929" t="s">
        <v>4729</v>
      </c>
      <c r="B4929" t="str">
        <f>"301200"</f>
        <v>301200</v>
      </c>
      <c r="C4929" t="s">
        <v>10205</v>
      </c>
      <c r="F4929">
        <v>264583954</v>
      </c>
      <c r="G4929">
        <v>166292112</v>
      </c>
      <c r="H4929">
        <v>108136371</v>
      </c>
      <c r="I4929">
        <v>103549366</v>
      </c>
      <c r="P4929">
        <v>13</v>
      </c>
      <c r="Q4929" t="s">
        <v>10206</v>
      </c>
    </row>
    <row r="4930" spans="1:17" x14ac:dyDescent="0.3">
      <c r="A4930" t="s">
        <v>4729</v>
      </c>
      <c r="B4930" t="str">
        <f>"301201"</f>
        <v>301201</v>
      </c>
      <c r="C4930" t="s">
        <v>10207</v>
      </c>
      <c r="D4930" t="s">
        <v>1461</v>
      </c>
      <c r="F4930">
        <v>17223854</v>
      </c>
      <c r="G4930">
        <v>18984434</v>
      </c>
      <c r="H4930">
        <v>12108241</v>
      </c>
      <c r="I4930">
        <v>9486650</v>
      </c>
      <c r="J4930">
        <v>8280890</v>
      </c>
      <c r="P4930">
        <v>18</v>
      </c>
      <c r="Q4930" t="s">
        <v>10208</v>
      </c>
    </row>
    <row r="4931" spans="1:17" x14ac:dyDescent="0.3">
      <c r="A4931" t="s">
        <v>4729</v>
      </c>
      <c r="B4931" t="str">
        <f>"301206"</f>
        <v>301206</v>
      </c>
      <c r="C4931" t="s">
        <v>10209</v>
      </c>
      <c r="F4931">
        <v>59001227</v>
      </c>
      <c r="G4931">
        <v>30340404</v>
      </c>
      <c r="H4931">
        <v>19448943</v>
      </c>
      <c r="I4931">
        <v>14986553</v>
      </c>
      <c r="J4931">
        <v>6839777</v>
      </c>
      <c r="P4931">
        <v>23</v>
      </c>
      <c r="Q4931" t="s">
        <v>10210</v>
      </c>
    </row>
    <row r="4932" spans="1:17" x14ac:dyDescent="0.3">
      <c r="A4932" t="s">
        <v>4729</v>
      </c>
      <c r="B4932" t="str">
        <f>"301207"</f>
        <v>301207</v>
      </c>
      <c r="C4932" t="s">
        <v>10211</v>
      </c>
      <c r="F4932">
        <v>144128187</v>
      </c>
      <c r="G4932">
        <v>110937486</v>
      </c>
      <c r="H4932">
        <v>73042004</v>
      </c>
      <c r="I4932">
        <v>52976548</v>
      </c>
      <c r="J4932">
        <v>64021137</v>
      </c>
      <c r="P4932">
        <v>19</v>
      </c>
      <c r="Q4932" t="s">
        <v>10212</v>
      </c>
    </row>
    <row r="4933" spans="1:17" x14ac:dyDescent="0.3">
      <c r="A4933" t="s">
        <v>4729</v>
      </c>
      <c r="B4933" t="str">
        <f>"301211"</f>
        <v>301211</v>
      </c>
      <c r="C4933" t="s">
        <v>10213</v>
      </c>
      <c r="D4933" t="s">
        <v>496</v>
      </c>
      <c r="F4933">
        <v>18281036</v>
      </c>
      <c r="G4933">
        <v>22975577</v>
      </c>
      <c r="H4933">
        <v>24994706</v>
      </c>
      <c r="I4933">
        <v>20870270</v>
      </c>
      <c r="J4933">
        <v>17704590</v>
      </c>
      <c r="P4933">
        <v>14</v>
      </c>
      <c r="Q4933" t="s">
        <v>10214</v>
      </c>
    </row>
    <row r="4934" spans="1:17" x14ac:dyDescent="0.3">
      <c r="A4934" t="s">
        <v>4729</v>
      </c>
      <c r="B4934" t="str">
        <f>"301212"</f>
        <v>301212</v>
      </c>
      <c r="C4934" t="s">
        <v>10215</v>
      </c>
      <c r="F4934">
        <v>26235613</v>
      </c>
      <c r="G4934">
        <v>22562407</v>
      </c>
      <c r="H4934">
        <v>20527961</v>
      </c>
      <c r="I4934">
        <v>15724051</v>
      </c>
      <c r="J4934">
        <v>11325284</v>
      </c>
      <c r="P4934">
        <v>3</v>
      </c>
      <c r="Q4934" t="s">
        <v>10216</v>
      </c>
    </row>
    <row r="4935" spans="1:17" x14ac:dyDescent="0.3">
      <c r="A4935" t="s">
        <v>4729</v>
      </c>
      <c r="B4935" t="str">
        <f>"301213"</f>
        <v>301213</v>
      </c>
      <c r="C4935" t="s">
        <v>10217</v>
      </c>
      <c r="D4935" t="s">
        <v>1136</v>
      </c>
      <c r="F4935">
        <v>16208305</v>
      </c>
      <c r="G4935">
        <v>12739586</v>
      </c>
      <c r="H4935">
        <v>11185654</v>
      </c>
      <c r="I4935">
        <v>13257745</v>
      </c>
      <c r="J4935">
        <v>10594855</v>
      </c>
      <c r="P4935">
        <v>16</v>
      </c>
      <c r="Q4935" t="s">
        <v>10218</v>
      </c>
    </row>
    <row r="4936" spans="1:17" x14ac:dyDescent="0.3">
      <c r="A4936" t="s">
        <v>4729</v>
      </c>
      <c r="B4936" t="str">
        <f>"301215"</f>
        <v>301215</v>
      </c>
      <c r="C4936" t="s">
        <v>10219</v>
      </c>
      <c r="F4936">
        <v>13077021</v>
      </c>
      <c r="G4936">
        <v>8432029</v>
      </c>
      <c r="H4936">
        <v>7530881</v>
      </c>
      <c r="I4936">
        <v>6023348</v>
      </c>
      <c r="J4936">
        <v>3180654</v>
      </c>
      <c r="P4936">
        <v>7</v>
      </c>
      <c r="Q4936" t="s">
        <v>10220</v>
      </c>
    </row>
    <row r="4937" spans="1:17" x14ac:dyDescent="0.3">
      <c r="A4937" t="s">
        <v>4729</v>
      </c>
      <c r="B4937" t="str">
        <f>"301216"</f>
        <v>301216</v>
      </c>
      <c r="C4937" t="s">
        <v>10221</v>
      </c>
      <c r="F4937">
        <v>27332735</v>
      </c>
      <c r="G4937">
        <v>18261542</v>
      </c>
      <c r="H4937">
        <v>12846914</v>
      </c>
      <c r="I4937">
        <v>10660002</v>
      </c>
      <c r="J4937">
        <v>8085523</v>
      </c>
      <c r="P4937">
        <v>6</v>
      </c>
      <c r="Q4937" t="s">
        <v>10222</v>
      </c>
    </row>
    <row r="4938" spans="1:17" x14ac:dyDescent="0.3">
      <c r="A4938" t="s">
        <v>4729</v>
      </c>
      <c r="B4938" t="str">
        <f>"301217"</f>
        <v>301217</v>
      </c>
      <c r="C4938" t="s">
        <v>10223</v>
      </c>
      <c r="F4938">
        <v>78772143</v>
      </c>
      <c r="G4938">
        <v>48542742</v>
      </c>
      <c r="H4938">
        <v>57481098</v>
      </c>
      <c r="I4938">
        <v>44140348</v>
      </c>
      <c r="J4938">
        <v>39316161</v>
      </c>
      <c r="P4938">
        <v>16</v>
      </c>
      <c r="Q4938" t="s">
        <v>10224</v>
      </c>
    </row>
    <row r="4939" spans="1:17" x14ac:dyDescent="0.3">
      <c r="A4939" t="s">
        <v>4729</v>
      </c>
      <c r="B4939" t="str">
        <f>"301218"</f>
        <v>301218</v>
      </c>
      <c r="C4939" t="s">
        <v>10225</v>
      </c>
      <c r="F4939">
        <v>28030266</v>
      </c>
      <c r="G4939">
        <v>22844913</v>
      </c>
      <c r="H4939">
        <v>20313126</v>
      </c>
      <c r="I4939">
        <v>12571099</v>
      </c>
      <c r="J4939">
        <v>13274877</v>
      </c>
      <c r="P4939">
        <v>8</v>
      </c>
      <c r="Q4939" t="s">
        <v>10226</v>
      </c>
    </row>
    <row r="4940" spans="1:17" x14ac:dyDescent="0.3">
      <c r="A4940" t="s">
        <v>4729</v>
      </c>
      <c r="B4940" t="str">
        <f>"301219"</f>
        <v>301219</v>
      </c>
      <c r="C4940" t="s">
        <v>10227</v>
      </c>
      <c r="F4940">
        <v>111903510</v>
      </c>
      <c r="G4940">
        <v>41344927</v>
      </c>
      <c r="H4940">
        <v>40245530</v>
      </c>
      <c r="I4940">
        <v>52615122</v>
      </c>
      <c r="J4940">
        <v>60059000</v>
      </c>
      <c r="P4940">
        <v>8</v>
      </c>
      <c r="Q4940" t="s">
        <v>10228</v>
      </c>
    </row>
    <row r="4941" spans="1:17" x14ac:dyDescent="0.3">
      <c r="A4941" t="s">
        <v>4729</v>
      </c>
      <c r="B4941" t="str">
        <f>"301221"</f>
        <v>301221</v>
      </c>
      <c r="C4941" t="s">
        <v>10229</v>
      </c>
      <c r="D4941" t="s">
        <v>1415</v>
      </c>
      <c r="F4941">
        <v>35772061</v>
      </c>
      <c r="G4941">
        <v>37185529</v>
      </c>
      <c r="H4941">
        <v>31664241</v>
      </c>
      <c r="I4941">
        <v>21065930</v>
      </c>
      <c r="J4941">
        <v>26275574</v>
      </c>
      <c r="P4941">
        <v>16</v>
      </c>
      <c r="Q4941" t="s">
        <v>10230</v>
      </c>
    </row>
    <row r="4942" spans="1:17" x14ac:dyDescent="0.3">
      <c r="A4942" t="s">
        <v>4729</v>
      </c>
      <c r="B4942" t="str">
        <f>"301222"</f>
        <v>301222</v>
      </c>
      <c r="C4942" t="s">
        <v>10231</v>
      </c>
      <c r="F4942">
        <v>18837443</v>
      </c>
      <c r="G4942">
        <v>17202830</v>
      </c>
      <c r="H4942">
        <v>11994631</v>
      </c>
      <c r="I4942">
        <v>11928203</v>
      </c>
      <c r="J4942">
        <v>10968104</v>
      </c>
      <c r="P4942">
        <v>4</v>
      </c>
      <c r="Q4942" t="s">
        <v>10232</v>
      </c>
    </row>
    <row r="4943" spans="1:17" x14ac:dyDescent="0.3">
      <c r="A4943" t="s">
        <v>4729</v>
      </c>
      <c r="B4943" t="str">
        <f>"301226"</f>
        <v>301226</v>
      </c>
      <c r="C4943" t="s">
        <v>10233</v>
      </c>
      <c r="F4943">
        <v>29651232</v>
      </c>
      <c r="G4943">
        <v>21628891</v>
      </c>
      <c r="H4943">
        <v>22793726</v>
      </c>
      <c r="I4943">
        <v>20820891</v>
      </c>
      <c r="J4943">
        <v>18089159</v>
      </c>
      <c r="P4943">
        <v>4</v>
      </c>
      <c r="Q4943" t="s">
        <v>10234</v>
      </c>
    </row>
    <row r="4944" spans="1:17" x14ac:dyDescent="0.3">
      <c r="A4944" t="s">
        <v>4729</v>
      </c>
      <c r="B4944" t="str">
        <f>"301228"</f>
        <v>301228</v>
      </c>
      <c r="C4944" t="s">
        <v>10235</v>
      </c>
      <c r="F4944">
        <v>31505168</v>
      </c>
      <c r="G4944">
        <v>26854935</v>
      </c>
      <c r="H4944">
        <v>24473704</v>
      </c>
      <c r="I4944">
        <v>19172783</v>
      </c>
      <c r="J4944">
        <v>6498226</v>
      </c>
      <c r="P4944">
        <v>11</v>
      </c>
      <c r="Q4944" t="s">
        <v>10236</v>
      </c>
    </row>
    <row r="4945" spans="1:17" x14ac:dyDescent="0.3">
      <c r="A4945" t="s">
        <v>4729</v>
      </c>
      <c r="B4945" t="str">
        <f>"301229"</f>
        <v>301229</v>
      </c>
      <c r="C4945" t="s">
        <v>10237</v>
      </c>
      <c r="F4945">
        <v>27293255</v>
      </c>
      <c r="G4945">
        <v>27190568</v>
      </c>
      <c r="H4945">
        <v>26543726</v>
      </c>
      <c r="I4945">
        <v>15886959</v>
      </c>
      <c r="J4945">
        <v>10100412</v>
      </c>
      <c r="P4945">
        <v>6</v>
      </c>
      <c r="Q4945" t="s">
        <v>10238</v>
      </c>
    </row>
    <row r="4946" spans="1:17" x14ac:dyDescent="0.3">
      <c r="A4946" t="s">
        <v>4729</v>
      </c>
      <c r="B4946" t="str">
        <f>"301235"</f>
        <v>301235</v>
      </c>
      <c r="C4946" t="s">
        <v>10239</v>
      </c>
      <c r="F4946">
        <v>34210046</v>
      </c>
      <c r="G4946">
        <v>28829431</v>
      </c>
      <c r="H4946">
        <v>21801789</v>
      </c>
      <c r="I4946">
        <v>18080489</v>
      </c>
      <c r="J4946">
        <v>13671513</v>
      </c>
      <c r="P4946">
        <v>11</v>
      </c>
      <c r="Q4946" t="s">
        <v>10240</v>
      </c>
    </row>
    <row r="4947" spans="1:17" x14ac:dyDescent="0.3">
      <c r="A4947" t="s">
        <v>4729</v>
      </c>
      <c r="B4947" t="str">
        <f>"301236"</f>
        <v>301236</v>
      </c>
      <c r="C4947" t="s">
        <v>10241</v>
      </c>
      <c r="F4947">
        <v>1001047045</v>
      </c>
      <c r="G4947">
        <v>834709119</v>
      </c>
      <c r="H4947">
        <v>819835417</v>
      </c>
      <c r="I4947">
        <v>499477543</v>
      </c>
      <c r="J4947">
        <v>594182797</v>
      </c>
      <c r="P4947">
        <v>4</v>
      </c>
      <c r="Q4947" t="s">
        <v>10242</v>
      </c>
    </row>
    <row r="4948" spans="1:17" x14ac:dyDescent="0.3">
      <c r="A4948" t="s">
        <v>4729</v>
      </c>
      <c r="B4948" t="str">
        <f>"301237"</f>
        <v>301237</v>
      </c>
      <c r="C4948" t="s">
        <v>10243</v>
      </c>
      <c r="F4948">
        <v>23455576</v>
      </c>
      <c r="G4948">
        <v>15365397</v>
      </c>
      <c r="H4948">
        <v>11218856</v>
      </c>
      <c r="I4948">
        <v>10632257</v>
      </c>
      <c r="J4948">
        <v>9012557</v>
      </c>
      <c r="P4948">
        <v>6</v>
      </c>
      <c r="Q4948" t="s">
        <v>10244</v>
      </c>
    </row>
    <row r="4949" spans="1:17" x14ac:dyDescent="0.3">
      <c r="A4949" t="s">
        <v>4729</v>
      </c>
      <c r="B4949" t="str">
        <f>"301248"</f>
        <v>301248</v>
      </c>
      <c r="C4949" t="s">
        <v>10245</v>
      </c>
      <c r="F4949">
        <v>62407332</v>
      </c>
      <c r="G4949">
        <v>44431015</v>
      </c>
      <c r="H4949">
        <v>33951476</v>
      </c>
      <c r="I4949">
        <v>28566821</v>
      </c>
      <c r="J4949">
        <v>17614837</v>
      </c>
      <c r="P4949">
        <v>2</v>
      </c>
      <c r="Q4949" t="s">
        <v>10246</v>
      </c>
    </row>
    <row r="4950" spans="1:17" x14ac:dyDescent="0.3">
      <c r="A4950" t="s">
        <v>4729</v>
      </c>
      <c r="B4950" t="str">
        <f>"301256"</f>
        <v>301256</v>
      </c>
      <c r="C4950" t="s">
        <v>10247</v>
      </c>
      <c r="F4950">
        <v>10096784</v>
      </c>
      <c r="G4950">
        <v>8974628</v>
      </c>
      <c r="H4950">
        <v>15738170</v>
      </c>
      <c r="I4950">
        <v>8334981</v>
      </c>
      <c r="J4950">
        <v>137360</v>
      </c>
      <c r="P4950">
        <v>3</v>
      </c>
      <c r="Q4950" t="s">
        <v>10248</v>
      </c>
    </row>
    <row r="4951" spans="1:17" x14ac:dyDescent="0.3">
      <c r="A4951" t="s">
        <v>4729</v>
      </c>
      <c r="B4951" t="str">
        <f>"301257"</f>
        <v>301257</v>
      </c>
      <c r="C4951" t="s">
        <v>10249</v>
      </c>
      <c r="F4951">
        <v>21186833</v>
      </c>
      <c r="G4951">
        <v>14985491</v>
      </c>
      <c r="H4951">
        <v>16383588</v>
      </c>
      <c r="I4951">
        <v>11747944</v>
      </c>
      <c r="J4951">
        <v>4811355</v>
      </c>
      <c r="Q4951" t="s">
        <v>10250</v>
      </c>
    </row>
    <row r="4952" spans="1:17" x14ac:dyDescent="0.3">
      <c r="A4952" t="s">
        <v>4729</v>
      </c>
      <c r="B4952" t="str">
        <f>"301258"</f>
        <v>301258</v>
      </c>
      <c r="C4952" t="s">
        <v>10251</v>
      </c>
      <c r="F4952">
        <v>28514243</v>
      </c>
      <c r="G4952">
        <v>22875470</v>
      </c>
      <c r="H4952">
        <v>18385504</v>
      </c>
      <c r="I4952">
        <v>20743510</v>
      </c>
      <c r="J4952">
        <v>13673750</v>
      </c>
      <c r="P4952">
        <v>4</v>
      </c>
      <c r="Q4952" t="s">
        <v>10252</v>
      </c>
    </row>
    <row r="4953" spans="1:17" x14ac:dyDescent="0.3">
      <c r="A4953" t="s">
        <v>4729</v>
      </c>
      <c r="B4953" t="str">
        <f>"301259"</f>
        <v>301259</v>
      </c>
      <c r="C4953" t="s">
        <v>10253</v>
      </c>
      <c r="F4953">
        <v>19900172</v>
      </c>
      <c r="G4953">
        <v>19270116</v>
      </c>
      <c r="H4953">
        <v>18196280</v>
      </c>
      <c r="I4953">
        <v>13034775</v>
      </c>
      <c r="J4953">
        <v>11877026</v>
      </c>
      <c r="P4953">
        <v>0</v>
      </c>
      <c r="Q4953" t="s">
        <v>10254</v>
      </c>
    </row>
    <row r="4954" spans="1:17" x14ac:dyDescent="0.3">
      <c r="A4954" t="s">
        <v>4729</v>
      </c>
      <c r="B4954" t="str">
        <f>"301263"</f>
        <v>301263</v>
      </c>
      <c r="C4954" t="s">
        <v>10255</v>
      </c>
      <c r="F4954">
        <v>26460922</v>
      </c>
      <c r="G4954">
        <v>31342642</v>
      </c>
      <c r="H4954">
        <v>24040680</v>
      </c>
      <c r="I4954">
        <v>19891217</v>
      </c>
      <c r="J4954">
        <v>23656531</v>
      </c>
      <c r="P4954">
        <v>5</v>
      </c>
      <c r="Q4954" t="s">
        <v>10256</v>
      </c>
    </row>
    <row r="4955" spans="1:17" x14ac:dyDescent="0.3">
      <c r="A4955" t="s">
        <v>4729</v>
      </c>
      <c r="B4955" t="str">
        <f>"301268"</f>
        <v>301268</v>
      </c>
      <c r="C4955" t="s">
        <v>10257</v>
      </c>
      <c r="F4955">
        <v>69347612</v>
      </c>
      <c r="G4955">
        <v>58255327</v>
      </c>
      <c r="H4955">
        <v>66953372</v>
      </c>
      <c r="I4955">
        <v>62071124</v>
      </c>
      <c r="J4955">
        <v>37076422</v>
      </c>
      <c r="P4955">
        <v>2</v>
      </c>
      <c r="Q4955" t="s">
        <v>10258</v>
      </c>
    </row>
    <row r="4956" spans="1:17" x14ac:dyDescent="0.3">
      <c r="A4956" t="s">
        <v>4729</v>
      </c>
      <c r="B4956" t="str">
        <f>"301279"</f>
        <v>301279</v>
      </c>
      <c r="C4956" t="s">
        <v>10259</v>
      </c>
      <c r="F4956">
        <v>25567300</v>
      </c>
      <c r="G4956">
        <v>19438113</v>
      </c>
      <c r="H4956">
        <v>18038537</v>
      </c>
      <c r="I4956">
        <v>17629382</v>
      </c>
      <c r="J4956">
        <v>13168276</v>
      </c>
      <c r="P4956">
        <v>5</v>
      </c>
      <c r="Q4956" t="s">
        <v>10260</v>
      </c>
    </row>
    <row r="4957" spans="1:17" x14ac:dyDescent="0.3">
      <c r="A4957" t="s">
        <v>4729</v>
      </c>
      <c r="B4957" t="str">
        <f>"301288"</f>
        <v>301288</v>
      </c>
      <c r="C4957" t="s">
        <v>10261</v>
      </c>
      <c r="F4957">
        <v>11662300</v>
      </c>
      <c r="G4957">
        <v>9440447</v>
      </c>
      <c r="H4957">
        <v>7318251</v>
      </c>
      <c r="I4957">
        <v>6588919</v>
      </c>
      <c r="P4957">
        <v>4</v>
      </c>
      <c r="Q4957" t="s">
        <v>10262</v>
      </c>
    </row>
    <row r="4959" spans="1:17" x14ac:dyDescent="0.3">
      <c r="A4959" t="s">
        <v>10263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筛选器_大陆_20220501_231353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ChaosongYao 姚超松</dc:creator>
  <cp:lastModifiedBy>Midea</cp:lastModifiedBy>
  <dcterms:created xsi:type="dcterms:W3CDTF">2022-05-01T15:14:12Z</dcterms:created>
  <dcterms:modified xsi:type="dcterms:W3CDTF">2022-05-03T08:29:43Z</dcterms:modified>
</cp:coreProperties>
</file>